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Samuel HERMOUET/Beaulieu-sous-la-roche/Dossier LBC/"/>
    </mc:Choice>
  </mc:AlternateContent>
  <xr:revisionPtr revIDLastSave="56" documentId="8_{023A9674-B7B3-4B2A-AD25-BAE6F023EA12}" xr6:coauthVersionLast="47" xr6:coauthVersionMax="47" xr10:uidLastSave="{A49E9365-B4C1-4026-9D33-4A20E8CCF34D}"/>
  <bookViews>
    <workbookView xWindow="28695" yWindow="0" windowWidth="16335" windowHeight="1630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3" i="1"/>
  <c r="C9" i="1"/>
  <c r="E172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A7" i="2"/>
  <c r="EV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X18" i="2"/>
  <c r="EA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C20" i="2"/>
  <c r="EV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FS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V33" i="2"/>
  <c r="EA33" i="2"/>
  <c r="EB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CM35" i="2"/>
  <c r="FQ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EW38" i="2"/>
  <c r="HH38" i="2"/>
  <c r="HI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FS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EC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HI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HI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EW85" i="2"/>
  <c r="EC85" i="2"/>
  <c r="HH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V105" i="2"/>
  <c r="FS105" i="2"/>
  <c r="HH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C113" i="2"/>
  <c r="FS113" i="2"/>
  <c r="HG113" i="2"/>
  <c r="EX113" i="2"/>
  <c r="HI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EW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HI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W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FS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HI130" i="2"/>
  <c r="EX130" i="2"/>
  <c r="FS130" i="2"/>
  <c r="EB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EC140" i="2"/>
  <c r="FR140" i="2"/>
  <c r="HH140" i="2"/>
  <c r="HG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EA141" i="2"/>
  <c r="HG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EB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FR145" i="2"/>
  <c r="HH145" i="2"/>
  <c r="EX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HH146" i="2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V150" i="2"/>
  <c r="HH150" i="2"/>
  <c r="FS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HJ154" i="2"/>
  <c r="AC154" i="2"/>
  <c r="EW155" i="2"/>
  <c r="EA155" i="2"/>
  <c r="EY154" i="2"/>
  <c r="DI154" i="2"/>
  <c r="HG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X156" i="2"/>
  <c r="ED155" i="2"/>
  <c r="DH156" i="2"/>
  <c r="HI156" i="2"/>
  <c r="FS156" i="2"/>
  <c r="EB156" i="2"/>
  <c r="HH156" i="2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W158" i="2"/>
  <c r="EC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ED158" i="2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FS160" i="2"/>
  <c r="EY159" i="2"/>
  <c r="HI160" i="2"/>
  <c r="HH160" i="2"/>
  <c r="DG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D160" i="2"/>
  <c r="HH161" i="2"/>
  <c r="EA161" i="2"/>
  <c r="HG161" i="2"/>
  <c r="EX161" i="2"/>
  <c r="A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Y161" i="2"/>
  <c r="ED161" i="2"/>
  <c r="EW162" i="2"/>
  <c r="DI161" i="2"/>
  <c r="HG162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B163" i="2"/>
  <c r="HG163" i="2"/>
  <c r="EY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X164" i="2"/>
  <c r="DI163" i="2"/>
  <c r="FS164" i="2"/>
  <c r="DH164" i="2"/>
  <c r="FR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EC166" i="2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A167" i="2"/>
  <c r="EC167" i="2"/>
  <c r="HJ166" i="2"/>
  <c r="HH167" i="2"/>
  <c r="EB167" i="2"/>
  <c r="DG167" i="2"/>
  <c r="HI167" i="2"/>
  <c r="EY166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EV168" i="2"/>
  <c r="HI168" i="2"/>
  <c r="EC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X169" i="2"/>
  <c r="EA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HI172" i="2"/>
  <c r="EV172" i="2"/>
  <c r="EW172" i="2"/>
  <c r="EY171" i="2"/>
  <c r="EB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X173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FS175" i="2"/>
  <c r="EB175" i="2"/>
  <c r="EA175" i="2"/>
  <c r="A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FQ178" i="2"/>
  <c r="HH178" i="2"/>
  <c r="EW178" i="2"/>
  <c r="HG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HH179" i="2"/>
  <c r="EB179" i="2"/>
  <c r="ED178" i="2"/>
  <c r="HG179" i="2"/>
  <c r="HI179" i="2"/>
  <c r="EV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HI185" i="2"/>
  <c r="EA185" i="2"/>
  <c r="EB185" i="2"/>
  <c r="EW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G186" i="2"/>
  <c r="FR186" i="2"/>
  <c r="EW186" i="2"/>
  <c r="EB186" i="2"/>
  <c r="HH186" i="2"/>
  <c r="FS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Y188" i="2"/>
  <c r="EV189" i="2"/>
  <c r="AA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EB190" i="2"/>
  <c r="EW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G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C192" i="2"/>
  <c r="EB192" i="2"/>
  <c r="HH192" i="2"/>
  <c r="HG192" i="2"/>
  <c r="EA192" i="2"/>
  <c r="ED192" i="2" s="1"/>
  <c r="EW192" i="2"/>
  <c r="HI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DI192" i="2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A194" i="2"/>
  <c r="ED193" i="2"/>
  <c r="EB194" i="2"/>
  <c r="CN193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DH195" i="2"/>
  <c r="HG195" i="2"/>
  <c r="FQ195" i="2"/>
  <c r="EY194" i="2"/>
  <c r="EX195" i="2"/>
  <c r="EB195" i="2"/>
  <c r="AA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FS197" i="2"/>
  <c r="EY196" i="2"/>
  <c r="EC197" i="2"/>
  <c r="AA197" i="2"/>
  <c r="HH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HG199" i="2"/>
  <c r="EV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DI200" i="2"/>
  <c r="ED200" i="2"/>
  <c r="EA201" i="2"/>
  <c r="HH201" i="2"/>
  <c r="FS201" i="2"/>
  <c r="EB201" i="2"/>
  <c r="HG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G202" i="2" l="1"/>
  <c r="HH202" i="2"/>
  <c r="EW202" i="2"/>
  <c r="EY201" i="2"/>
  <c r="EX202" i="2"/>
  <c r="ED201" i="2"/>
  <c r="FZ6" i="2"/>
  <c r="FR202" i="2"/>
  <c r="HI202" i="2"/>
  <c r="HJ202" i="2" s="1"/>
  <c r="FS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71" i="2" a="1"/>
  <c r="FY71" i="2" s="1"/>
  <c r="FY120" i="2" a="1"/>
  <c r="FY120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BC68" i="2" a="1"/>
  <c r="BC68" i="2" s="1"/>
  <c r="DN43" i="2" a="1"/>
  <c r="DN43" i="2" s="1"/>
  <c r="DN41" i="2" a="1"/>
  <c r="DN41" i="2" s="1"/>
  <c r="DN29" i="2" a="1"/>
  <c r="DN29" i="2" s="1"/>
  <c r="DN152" i="2" a="1"/>
  <c r="DN152" i="2" s="1"/>
  <c r="DN129" i="2" a="1"/>
  <c r="DN129" i="2" s="1"/>
  <c r="DN170" i="2" a="1"/>
  <c r="DN170" i="2" s="1"/>
  <c r="DN86" i="2" a="1"/>
  <c r="DN86" i="2" s="1"/>
  <c r="DN66" i="2" a="1"/>
  <c r="DN66" i="2" s="1"/>
  <c r="DN150" i="2" a="1"/>
  <c r="DN150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143" i="2" a="1"/>
  <c r="BC143" i="2" s="1"/>
  <c r="BC185" i="2" a="1"/>
  <c r="BC185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EI165" i="2" a="1"/>
  <c r="EI165" i="2" s="1"/>
  <c r="EI20" i="2" a="1"/>
  <c r="EI20" i="2" s="1"/>
  <c r="EI113" i="2" a="1"/>
  <c r="EI113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DN187" i="2" a="1"/>
  <c r="DN187" i="2" s="1"/>
  <c r="AX200" i="2"/>
  <c r="GT68" i="2" l="1" a="1"/>
  <c r="GT68" i="2" s="1"/>
  <c r="GT184" i="2" a="1"/>
  <c r="GT184" i="2" s="1"/>
  <c r="GT122" i="2" a="1"/>
  <c r="GT122" i="2" s="1"/>
  <c r="GT181" i="2" a="1"/>
  <c r="GT181" i="2" s="1"/>
  <c r="GT51" i="2" a="1"/>
  <c r="GT51" i="2" s="1"/>
  <c r="HG203" i="2"/>
  <c r="FY22" i="2" a="1"/>
  <c r="FY22" i="2" s="1"/>
  <c r="FY66" i="2" a="1"/>
  <c r="FY66" i="2" s="1"/>
  <c r="FY90" i="2" a="1"/>
  <c r="FY90" i="2" s="1"/>
  <c r="FY57" i="2" a="1"/>
  <c r="FY57" i="2" s="1"/>
  <c r="FD188" i="2" a="1"/>
  <c r="FD188" i="2" s="1"/>
  <c r="FD60" i="2" a="1"/>
  <c r="FD60" i="2" s="1"/>
  <c r="FD167" i="2" a="1"/>
  <c r="FD167" i="2" s="1"/>
  <c r="EY202" i="2"/>
  <c r="DN192" i="2" a="1"/>
  <c r="DN192" i="2" s="1"/>
  <c r="DN188" i="2" a="1"/>
  <c r="DN188" i="2" s="1"/>
  <c r="DN137" i="2" a="1"/>
  <c r="DN137" i="2" s="1"/>
  <c r="DN177" i="2" a="1"/>
  <c r="DN177" i="2" s="1"/>
  <c r="DN115" i="2" a="1"/>
  <c r="DN115" i="2" s="1"/>
  <c r="DN153" i="2" a="1"/>
  <c r="DN153" i="2" s="1"/>
  <c r="DN186" i="2" a="1"/>
  <c r="DN186" i="2" s="1"/>
  <c r="DN155" i="2" a="1"/>
  <c r="DN155" i="2" s="1"/>
  <c r="DN113" i="2" a="1"/>
  <c r="DN113" i="2" s="1"/>
  <c r="DN25" i="2" a="1"/>
  <c r="DN25" i="2" s="1"/>
  <c r="DN184" i="2" a="1"/>
  <c r="DN184" i="2" s="1"/>
  <c r="DN56" i="2" a="1"/>
  <c r="DN56" i="2" s="1"/>
  <c r="CS24" i="2" a="1"/>
  <c r="CS24" i="2" s="1"/>
  <c r="BC65" i="2" a="1"/>
  <c r="BC65" i="2" s="1"/>
  <c r="BC114" i="2" a="1"/>
  <c r="BC114" i="2" s="1"/>
  <c r="AH19" i="2" a="1"/>
  <c r="AH19" i="2" s="1"/>
  <c r="AH166" i="2" a="1"/>
  <c r="AH166" i="2" s="1"/>
  <c r="AH90" i="2" a="1"/>
  <c r="AH90" i="2" s="1"/>
  <c r="BC117" i="2" a="1"/>
  <c r="BC117" i="2" s="1"/>
  <c r="BC181" i="2" a="1"/>
  <c r="BC181" i="2" s="1"/>
  <c r="BC126" i="2" a="1"/>
  <c r="BC126" i="2" s="1"/>
  <c r="BC82" i="2" a="1"/>
  <c r="BC82" i="2" s="1"/>
  <c r="CS77" i="2" a="1"/>
  <c r="CS77" i="2" s="1"/>
  <c r="CS116" i="2" a="1"/>
  <c r="CS116" i="2" s="1"/>
  <c r="CS134" i="2" a="1"/>
  <c r="CS134" i="2" s="1"/>
  <c r="CS120" i="2" a="1"/>
  <c r="CS120" i="2" s="1"/>
  <c r="CS105" i="2" a="1"/>
  <c r="CS105" i="2" s="1"/>
  <c r="CS38" i="2" a="1"/>
  <c r="CS38" i="2" s="1"/>
  <c r="CS114" i="2" a="1"/>
  <c r="CS114" i="2" s="1"/>
  <c r="CS161" i="2" a="1"/>
  <c r="CS161" i="2" s="1"/>
  <c r="CS56" i="2" a="1"/>
  <c r="CS56" i="2" s="1"/>
  <c r="CS72" i="2" a="1"/>
  <c r="CS72" i="2" s="1"/>
  <c r="CS185" i="2" a="1"/>
  <c r="CS185" i="2" s="1"/>
  <c r="CS129" i="2" a="1"/>
  <c r="CS129" i="2" s="1"/>
  <c r="CS52" i="2" a="1"/>
  <c r="CS52" i="2" s="1"/>
  <c r="CS66" i="2" a="1"/>
  <c r="CS66" i="2" s="1"/>
  <c r="CS137" i="2" a="1"/>
  <c r="CS137" i="2" s="1"/>
  <c r="GT15" i="2" a="1"/>
  <c r="GT15" i="2" s="1"/>
  <c r="GT138" i="2" a="1"/>
  <c r="GT138" i="2" s="1"/>
  <c r="GT107" i="2" a="1"/>
  <c r="GT107" i="2" s="1"/>
  <c r="GT198" i="2" a="1"/>
  <c r="GT198" i="2" s="1"/>
  <c r="GT12" i="2" a="1"/>
  <c r="GT12" i="2" s="1"/>
  <c r="GT178" i="2" a="1"/>
  <c r="GT178" i="2" s="1"/>
  <c r="GT189" i="2" a="1"/>
  <c r="GT189" i="2" s="1"/>
  <c r="GT21" i="2" a="1"/>
  <c r="GT21" i="2" s="1"/>
  <c r="GT11" i="2" a="1"/>
  <c r="GT11" i="2" s="1"/>
  <c r="GT102" i="2" a="1"/>
  <c r="GT102" i="2" s="1"/>
  <c r="GT147" i="2" a="1"/>
  <c r="GT147" i="2" s="1"/>
  <c r="GT152" i="2" a="1"/>
  <c r="GT152" i="2" s="1"/>
  <c r="GT38" i="2" a="1"/>
  <c r="GT38" i="2" s="1"/>
  <c r="GT33" i="2" a="1"/>
  <c r="GT33" i="2" s="1"/>
  <c r="GT174" i="2" a="1"/>
  <c r="GT174" i="2" s="1"/>
  <c r="GT190" i="2" a="1"/>
  <c r="GT190" i="2" s="1"/>
  <c r="GT126" i="2" a="1"/>
  <c r="GT126" i="2" s="1"/>
  <c r="GT133" i="2" a="1"/>
  <c r="GT133" i="2" s="1"/>
  <c r="GT191" i="2" a="1"/>
  <c r="GT191" i="2" s="1"/>
  <c r="GT74" i="2" a="1"/>
  <c r="GT74" i="2" s="1"/>
  <c r="GT121" i="2" a="1"/>
  <c r="GT121" i="2" s="1"/>
  <c r="HH203" i="2"/>
  <c r="FY50" i="2" a="1"/>
  <c r="FY50" i="2" s="1"/>
  <c r="FY196" i="2" a="1"/>
  <c r="FY196" i="2" s="1"/>
  <c r="FY172" i="2" a="1"/>
  <c r="FY172" i="2" s="1"/>
  <c r="FY55" i="2" a="1"/>
  <c r="FY55" i="2" s="1"/>
  <c r="FY186" i="2" a="1"/>
  <c r="FY186" i="2" s="1"/>
  <c r="FY18" i="2" a="1"/>
  <c r="FY18" i="2" s="1"/>
  <c r="FY109" i="2" a="1"/>
  <c r="FY109" i="2" s="1"/>
  <c r="FY82" i="2" a="1"/>
  <c r="FY82" i="2" s="1"/>
  <c r="FY104" i="2" a="1"/>
  <c r="FY104" i="2" s="1"/>
  <c r="FY126" i="2" a="1"/>
  <c r="FY126" i="2" s="1"/>
  <c r="FY173" i="2" a="1"/>
  <c r="FY173" i="2" s="1"/>
  <c r="FY133" i="2" a="1"/>
  <c r="FY133" i="2" s="1"/>
  <c r="FY79" i="2" a="1"/>
  <c r="FY79" i="2" s="1"/>
  <c r="FY182" i="2" a="1"/>
  <c r="FY182" i="2" s="1"/>
  <c r="FY34" i="2" a="1"/>
  <c r="FY34" i="2" s="1"/>
  <c r="FY188" i="2" a="1"/>
  <c r="FY188" i="2" s="1"/>
  <c r="FY159" i="2" a="1"/>
  <c r="FY159" i="2" s="1"/>
  <c r="FY140" i="2" a="1"/>
  <c r="FY140" i="2" s="1"/>
  <c r="FY47" i="2" a="1"/>
  <c r="FY47" i="2" s="1"/>
  <c r="FD160" i="2" a="1"/>
  <c r="FD160" i="2" s="1"/>
  <c r="FD137" i="2" a="1"/>
  <c r="FD137" i="2" s="1"/>
  <c r="FD159" i="2" a="1"/>
  <c r="FD159" i="2" s="1"/>
  <c r="FD107" i="2" a="1"/>
  <c r="FD107" i="2" s="1"/>
  <c r="FD43" i="2" a="1"/>
  <c r="FD43" i="2" s="1"/>
  <c r="FD59" i="2" a="1"/>
  <c r="FD59" i="2" s="1"/>
  <c r="FD82" i="2" a="1"/>
  <c r="FD82" i="2" s="1"/>
  <c r="FD187" i="2" a="1"/>
  <c r="FD187" i="2" s="1"/>
  <c r="FD14" i="2" a="1"/>
  <c r="FD14" i="2" s="1"/>
  <c r="FD131" i="2" a="1"/>
  <c r="FD131" i="2" s="1"/>
  <c r="FD189" i="2" a="1"/>
  <c r="FD189" i="2" s="1"/>
  <c r="FD194" i="2" a="1"/>
  <c r="FD194" i="2" s="1"/>
  <c r="FD48" i="2" a="1"/>
  <c r="FD48" i="2" s="1"/>
  <c r="FD64" i="2" a="1"/>
  <c r="FD64" i="2" s="1"/>
  <c r="FD19" i="2" a="1"/>
  <c r="FD19" i="2" s="1"/>
  <c r="FD44" i="2" a="1"/>
  <c r="FD44" i="2" s="1"/>
  <c r="EI142" i="2" a="1"/>
  <c r="EI142" i="2" s="1"/>
  <c r="DN123" i="2" a="1"/>
  <c r="DN123" i="2" s="1"/>
  <c r="DN50" i="2" a="1"/>
  <c r="DN50" i="2" s="1"/>
  <c r="DN124" i="2" a="1"/>
  <c r="DN124" i="2" s="1"/>
  <c r="BX107" i="2" a="1"/>
  <c r="BX107" i="2" s="1"/>
  <c r="BC7" i="2" a="1"/>
  <c r="BC7" i="2" s="1"/>
  <c r="BC47" i="2" a="1"/>
  <c r="BC47" i="2" s="1"/>
  <c r="BC58" i="2" a="1"/>
  <c r="BC58" i="2" s="1"/>
  <c r="BC31" i="2" a="1"/>
  <c r="BC31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GT115" i="2" a="1"/>
  <c r="GT115" i="2" s="1"/>
  <c r="FY54" i="2" a="1"/>
  <c r="FY54" i="2" s="1"/>
  <c r="FR203" i="2"/>
  <c r="FD144" i="2" a="1"/>
  <c r="FD144" i="2" s="1"/>
  <c r="FD21" i="2" a="1"/>
  <c r="FD21" i="2" s="1"/>
  <c r="EI178" i="2" a="1"/>
  <c r="EI178" i="2" s="1"/>
  <c r="EI71" i="2" a="1"/>
  <c r="EI71" i="2" s="1"/>
  <c r="EI37" i="2" a="1"/>
  <c r="EI37" i="2" s="1"/>
  <c r="EI57" i="2" a="1"/>
  <c r="EI57" i="2" s="1"/>
  <c r="EI145" i="2" a="1"/>
  <c r="EI145" i="2" s="1"/>
  <c r="EI35" i="2" a="1"/>
  <c r="EI35" i="2" s="1"/>
  <c r="EI36" i="2" a="1"/>
  <c r="EI36" i="2" s="1"/>
  <c r="EI162" i="2" a="1"/>
  <c r="EI162" i="2" s="1"/>
  <c r="EI139" i="2" a="1"/>
  <c r="EI139" i="2" s="1"/>
  <c r="EI87" i="2" a="1"/>
  <c r="EI87" i="2" s="1"/>
  <c r="EI150" i="2" a="1"/>
  <c r="EI150" i="2" s="1"/>
  <c r="EI67" i="2" a="1"/>
  <c r="EI67" i="2" s="1"/>
  <c r="EI109" i="2" a="1"/>
  <c r="EI109" i="2" s="1"/>
  <c r="EI29" i="2" a="1"/>
  <c r="EI29" i="2" s="1"/>
  <c r="BP203" i="2"/>
  <c r="EI170" i="2" a="1"/>
  <c r="EI170" i="2" s="1"/>
  <c r="EI38" i="2" a="1"/>
  <c r="EI38" i="2" s="1"/>
  <c r="EI106" i="2" a="1"/>
  <c r="EI106" i="2" s="1"/>
  <c r="EI16" i="2" a="1"/>
  <c r="EI16" i="2" s="1"/>
  <c r="EI153" i="2" a="1"/>
  <c r="EI153" i="2" s="1"/>
  <c r="EI166" i="2" a="1"/>
  <c r="EI166" i="2" s="1"/>
  <c r="EI128" i="2" a="1"/>
  <c r="EI128" i="2" s="1"/>
  <c r="EI195" i="2" a="1"/>
  <c r="EI195" i="2" s="1"/>
  <c r="EI198" i="2" a="1"/>
  <c r="EI198" i="2" s="1"/>
  <c r="FS203" i="2"/>
  <c r="EI34" i="2" a="1"/>
  <c r="EI3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ED203" i="2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GZ70" i="2" l="1"/>
  <c r="GZ177" i="2"/>
  <c r="GZ10" i="2"/>
  <c r="GZ155" i="2"/>
  <c r="GZ165" i="2"/>
  <c r="GZ150" i="2"/>
  <c r="GZ169" i="2"/>
  <c r="GZ186" i="2"/>
  <c r="GZ118" i="2"/>
  <c r="GZ202" i="2"/>
  <c r="GZ125" i="2"/>
  <c r="GZ166" i="2"/>
  <c r="GZ73" i="2"/>
  <c r="GZ100" i="2"/>
  <c r="GZ164" i="2"/>
  <c r="GZ139" i="2"/>
  <c r="GZ26" i="2"/>
  <c r="GZ126" i="2"/>
  <c r="GZ81" i="2"/>
  <c r="GZ151" i="2"/>
  <c r="GZ56" i="2"/>
  <c r="GZ65" i="2"/>
  <c r="GZ6" i="2"/>
  <c r="GZ121" i="2"/>
  <c r="GZ120" i="2"/>
  <c r="GZ133" i="2"/>
  <c r="GZ191" i="2"/>
  <c r="GZ44" i="2"/>
  <c r="GZ144" i="2"/>
  <c r="GZ131" i="2"/>
  <c r="GZ137" i="2"/>
  <c r="GZ147" i="2"/>
  <c r="GZ163" i="2"/>
  <c r="GZ66" i="2"/>
  <c r="GZ189" i="2"/>
  <c r="GZ106" i="2"/>
  <c r="GZ128" i="2"/>
  <c r="GZ17" i="2"/>
  <c r="GZ113" i="2"/>
  <c r="GZ67" i="2"/>
  <c r="GZ160" i="2"/>
  <c r="GZ62" i="2"/>
  <c r="GZ36" i="2"/>
  <c r="GZ43" i="2"/>
  <c r="GZ146" i="2"/>
  <c r="GZ14" i="2"/>
  <c r="GZ149" i="2"/>
  <c r="GZ101" i="2"/>
  <c r="GZ188" i="2"/>
  <c r="GZ82" i="2"/>
  <c r="GZ13" i="2"/>
  <c r="GZ63" i="2"/>
  <c r="GZ80" i="2"/>
  <c r="GZ107" i="2"/>
  <c r="GZ21" i="2"/>
  <c r="GZ179" i="2"/>
  <c r="GZ4" i="2"/>
  <c r="GZ60" i="2"/>
  <c r="GZ122" i="2"/>
  <c r="GZ24" i="2"/>
  <c r="GZ52" i="2"/>
  <c r="GZ152" i="2"/>
  <c r="GZ124" i="2"/>
  <c r="GZ22" i="2"/>
  <c r="GZ112" i="2"/>
  <c r="GZ108" i="2"/>
  <c r="GZ27" i="2"/>
  <c r="GZ84" i="2"/>
  <c r="GZ45" i="2"/>
  <c r="GZ41" i="2"/>
  <c r="GZ32" i="2"/>
  <c r="GZ132" i="2"/>
  <c r="GZ167" i="2"/>
  <c r="GZ83" i="2"/>
  <c r="GZ29" i="2"/>
  <c r="GZ3" i="2"/>
  <c r="C15" i="4" s="1"/>
  <c r="E15" i="4" s="1"/>
  <c r="F15" i="4" s="1"/>
  <c r="G15" i="4" s="1"/>
  <c r="L15" i="4" s="1"/>
  <c r="GZ19" i="2"/>
  <c r="GZ51" i="2"/>
  <c r="GZ159" i="2"/>
  <c r="GZ39" i="2"/>
  <c r="GZ25" i="2"/>
  <c r="GZ85" i="2"/>
  <c r="GZ135" i="2"/>
  <c r="GZ72" i="2"/>
  <c r="GZ187" i="2"/>
  <c r="GZ98" i="2"/>
  <c r="GZ127" i="2"/>
  <c r="GZ174" i="2"/>
  <c r="GZ55" i="2"/>
  <c r="GZ61" i="2"/>
  <c r="GZ86" i="2"/>
  <c r="GZ130" i="2"/>
  <c r="GZ184" i="2"/>
  <c r="GZ117" i="2"/>
  <c r="GZ68" i="2"/>
  <c r="GZ91" i="2"/>
  <c r="GZ141" i="2"/>
  <c r="GZ99" i="2"/>
  <c r="GZ198" i="2"/>
  <c r="GZ75" i="2"/>
  <c r="GZ171" i="2"/>
  <c r="GZ103" i="2"/>
  <c r="GZ168" i="2"/>
  <c r="GZ15" i="2"/>
  <c r="GZ71" i="2"/>
  <c r="GZ114" i="2"/>
  <c r="GZ195" i="2"/>
  <c r="GZ54" i="2"/>
  <c r="GZ50" i="2"/>
  <c r="GZ200" i="2"/>
  <c r="GZ175" i="2"/>
  <c r="GZ95" i="2"/>
  <c r="GZ138" i="2"/>
  <c r="GZ46" i="2"/>
  <c r="GZ110" i="2"/>
  <c r="GZ178" i="2"/>
  <c r="GZ105" i="2"/>
  <c r="GZ87" i="2"/>
  <c r="GZ156" i="2"/>
  <c r="GZ40" i="2"/>
  <c r="GZ143" i="2"/>
  <c r="GZ173" i="2"/>
  <c r="GZ119" i="2"/>
  <c r="GZ9" i="2"/>
  <c r="GZ78" i="2"/>
  <c r="GZ123" i="2"/>
  <c r="GZ11" i="2"/>
  <c r="GZ49" i="2"/>
  <c r="GZ42" i="2"/>
  <c r="GZ35" i="2"/>
  <c r="GZ193" i="2"/>
  <c r="GZ157" i="2"/>
  <c r="GZ59" i="2"/>
  <c r="GZ182" i="2"/>
  <c r="GZ23" i="2"/>
  <c r="GZ129" i="2"/>
  <c r="GZ148" i="2"/>
  <c r="GZ170" i="2"/>
  <c r="GZ48" i="2"/>
  <c r="GZ12" i="2"/>
  <c r="GZ34" i="2"/>
  <c r="GZ158" i="2"/>
  <c r="GZ111" i="2"/>
  <c r="GZ116" i="2"/>
  <c r="GZ89" i="2"/>
  <c r="GZ134" i="2"/>
  <c r="GZ199" i="2"/>
  <c r="GZ64" i="2"/>
  <c r="GZ104" i="2"/>
  <c r="GZ88" i="2"/>
  <c r="GZ190" i="2"/>
  <c r="GZ154" i="2"/>
  <c r="GZ79" i="2"/>
  <c r="GZ69" i="2"/>
  <c r="GZ57" i="2"/>
  <c r="GZ172" i="2"/>
  <c r="GZ20" i="2"/>
  <c r="GZ18" i="2"/>
  <c r="GZ7" i="2"/>
  <c r="GZ97" i="2"/>
  <c r="GZ102" i="2"/>
  <c r="GZ8" i="2"/>
  <c r="GZ92" i="2"/>
  <c r="GZ197" i="2"/>
  <c r="GZ38" i="2"/>
  <c r="GZ109" i="2"/>
  <c r="GZ47" i="2"/>
  <c r="GZ90" i="2"/>
  <c r="GZ37" i="2"/>
  <c r="GZ201" i="2"/>
  <c r="GZ176" i="2"/>
  <c r="GZ77" i="2"/>
  <c r="GZ30" i="2"/>
  <c r="GZ140" i="2"/>
  <c r="GZ33" i="2"/>
  <c r="GZ58" i="2"/>
  <c r="GZ5" i="2"/>
  <c r="GZ185" i="2"/>
  <c r="GZ96" i="2"/>
  <c r="GZ115" i="2"/>
  <c r="GZ203" i="2"/>
  <c r="GZ142" i="2"/>
  <c r="GZ145" i="2"/>
  <c r="GZ183" i="2"/>
  <c r="GZ94" i="2"/>
  <c r="GZ194" i="2"/>
  <c r="GZ76" i="2"/>
  <c r="GZ192" i="2"/>
  <c r="GZ28" i="2"/>
  <c r="GZ74" i="2"/>
  <c r="GZ161" i="2"/>
  <c r="GZ93" i="2"/>
  <c r="GZ196" i="2"/>
  <c r="GZ31" i="2"/>
  <c r="GZ153" i="2"/>
  <c r="GZ180" i="2"/>
  <c r="GZ16" i="2"/>
  <c r="GZ53" i="2"/>
  <c r="GZ162" i="2"/>
  <c r="GZ136" i="2"/>
  <c r="GZ181" i="2"/>
  <c r="FE75" i="2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GE131" i="2" l="1"/>
  <c r="GE109" i="2"/>
  <c r="GE26" i="2"/>
  <c r="GE200" i="2"/>
  <c r="GE198" i="2"/>
  <c r="GE14" i="2"/>
  <c r="GE93" i="2"/>
  <c r="GE187" i="2"/>
  <c r="GE151" i="2"/>
  <c r="GE105" i="2"/>
  <c r="GE203" i="2"/>
  <c r="GE121" i="2"/>
  <c r="GE176" i="2"/>
  <c r="GE35" i="2"/>
  <c r="GE195" i="2"/>
  <c r="GE146" i="2"/>
  <c r="GE120" i="2"/>
  <c r="GE154" i="2"/>
  <c r="GE171" i="2"/>
  <c r="GE44" i="2"/>
  <c r="GE24" i="2"/>
  <c r="GE111" i="2"/>
  <c r="GE37" i="2"/>
  <c r="GE172" i="2"/>
  <c r="GE130" i="2"/>
  <c r="GE115" i="2"/>
  <c r="GE36" i="2"/>
  <c r="GE27" i="2"/>
  <c r="GE155" i="2"/>
  <c r="GE65" i="2"/>
  <c r="GE196" i="2"/>
  <c r="GE114" i="2"/>
  <c r="GE23" i="2"/>
  <c r="GE185" i="2"/>
  <c r="GE129" i="2"/>
  <c r="GE21" i="2"/>
  <c r="GE141" i="2"/>
  <c r="GE149" i="2"/>
  <c r="GE17" i="2"/>
  <c r="GE110" i="2"/>
  <c r="GE100" i="2"/>
  <c r="GE3" i="2"/>
  <c r="C14" i="4" s="1"/>
  <c r="E14" i="4" s="1"/>
  <c r="F14" i="4" s="1"/>
  <c r="G14" i="4" s="1"/>
  <c r="L14" i="4" s="1"/>
  <c r="GE126" i="2"/>
  <c r="GE192" i="2"/>
  <c r="GE132" i="2"/>
  <c r="GE174" i="2"/>
  <c r="GE51" i="2"/>
  <c r="GE94" i="2"/>
  <c r="GE108" i="2"/>
  <c r="GE54" i="2"/>
  <c r="GE142" i="2"/>
  <c r="GE147" i="2"/>
  <c r="GE178" i="2"/>
  <c r="GE117" i="2"/>
  <c r="GE8" i="2"/>
  <c r="GE83" i="2"/>
  <c r="GE139" i="2"/>
  <c r="GE189" i="2"/>
  <c r="GE125" i="2"/>
  <c r="GE5" i="2"/>
  <c r="GE123" i="2"/>
  <c r="GE43" i="2"/>
  <c r="GE127" i="2"/>
  <c r="GE143" i="2"/>
  <c r="GE58" i="2"/>
  <c r="GE71" i="2"/>
  <c r="GE20" i="2"/>
  <c r="GE30" i="2"/>
  <c r="GE95" i="2"/>
  <c r="GE80" i="2"/>
  <c r="GE34" i="2"/>
  <c r="GE76" i="2"/>
  <c r="GE119" i="2"/>
  <c r="GE169" i="2"/>
  <c r="GE159" i="2"/>
  <c r="GE12" i="2"/>
  <c r="GE72" i="2"/>
  <c r="GE59" i="2"/>
  <c r="GE15" i="2"/>
  <c r="GE28" i="2"/>
  <c r="GE13" i="2"/>
  <c r="GE173" i="2"/>
  <c r="GE10" i="2"/>
  <c r="GE116" i="2"/>
  <c r="GE25" i="2"/>
  <c r="GE133" i="2"/>
  <c r="GE41" i="2"/>
  <c r="GE161" i="2"/>
  <c r="GE186" i="2"/>
  <c r="GE153" i="2"/>
  <c r="GE29" i="2"/>
  <c r="GE77" i="2"/>
  <c r="GE50" i="2"/>
  <c r="GE144" i="2"/>
  <c r="GE191" i="2"/>
  <c r="GE104" i="2"/>
  <c r="GE99" i="2"/>
  <c r="GE202" i="2"/>
  <c r="GE183" i="2"/>
  <c r="GE160" i="2"/>
  <c r="GE56" i="2"/>
  <c r="GE47" i="2"/>
  <c r="GE39" i="2"/>
  <c r="GE7" i="2"/>
  <c r="GE87" i="2"/>
  <c r="GE49" i="2"/>
  <c r="GE16" i="2"/>
  <c r="GE190" i="2"/>
  <c r="GE152" i="2"/>
  <c r="GE113" i="2"/>
  <c r="GE88" i="2"/>
  <c r="GE4" i="2"/>
  <c r="GE184" i="2"/>
  <c r="GE180" i="2"/>
  <c r="GE62" i="2"/>
  <c r="GE90" i="2"/>
  <c r="GE61" i="2"/>
  <c r="GE182" i="2"/>
  <c r="GE179" i="2"/>
  <c r="GE163" i="2"/>
  <c r="GE38" i="2"/>
  <c r="GE19" i="2"/>
  <c r="GE64" i="2"/>
  <c r="GE138" i="2"/>
  <c r="GE193" i="2"/>
  <c r="GE32" i="2"/>
  <c r="GE42" i="2"/>
  <c r="GE22" i="2"/>
  <c r="GE81" i="2"/>
  <c r="GE145" i="2"/>
  <c r="GE134" i="2"/>
  <c r="GE135" i="2"/>
  <c r="GE78" i="2"/>
  <c r="GE86" i="2"/>
  <c r="GE63" i="2"/>
  <c r="GE60" i="2"/>
  <c r="GE73" i="2"/>
  <c r="GE124" i="2"/>
  <c r="GE75" i="2"/>
  <c r="GE167" i="2"/>
  <c r="GE164" i="2"/>
  <c r="GE91" i="2"/>
  <c r="GE199" i="2"/>
  <c r="GE157" i="2"/>
  <c r="GE6" i="2"/>
  <c r="GE177" i="2"/>
  <c r="GE52" i="2"/>
  <c r="GE46" i="2"/>
  <c r="GE82" i="2"/>
  <c r="GE128" i="2"/>
  <c r="GE40" i="2"/>
  <c r="GE148" i="2"/>
  <c r="GE85" i="2"/>
  <c r="GE136" i="2"/>
  <c r="GE84" i="2"/>
  <c r="GE188" i="2"/>
  <c r="GE69" i="2"/>
  <c r="GE11" i="2"/>
  <c r="GE140" i="2"/>
  <c r="GE137" i="2"/>
  <c r="GE170" i="2"/>
  <c r="GE162" i="2"/>
  <c r="GE168" i="2"/>
  <c r="GE96" i="2"/>
  <c r="GE122" i="2"/>
  <c r="GE68" i="2"/>
  <c r="GE53" i="2"/>
  <c r="GE103" i="2"/>
  <c r="GE156" i="2"/>
  <c r="GE48" i="2"/>
  <c r="GE66" i="2"/>
  <c r="GE165" i="2"/>
  <c r="GE175" i="2"/>
  <c r="GE158" i="2"/>
  <c r="GE201" i="2"/>
  <c r="GE197" i="2"/>
  <c r="GE18" i="2"/>
  <c r="GE57" i="2"/>
  <c r="GE107" i="2"/>
  <c r="GE45" i="2"/>
  <c r="GE112" i="2"/>
  <c r="GE181" i="2"/>
  <c r="GE102" i="2"/>
  <c r="GE74" i="2"/>
  <c r="GE97" i="2"/>
  <c r="GE101" i="2"/>
  <c r="GE166" i="2"/>
  <c r="GE33" i="2"/>
  <c r="GE150" i="2"/>
  <c r="GE89" i="2"/>
  <c r="GE67" i="2"/>
  <c r="GE106" i="2"/>
  <c r="GE9" i="2"/>
  <c r="GE194" i="2"/>
  <c r="GE98" i="2"/>
  <c r="GE79" i="2"/>
  <c r="GE118" i="2"/>
  <c r="GE70" i="2"/>
  <c r="GE31" i="2"/>
  <c r="GE55" i="2"/>
  <c r="GE92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AN32" i="2" l="1"/>
  <c r="AN53" i="2"/>
  <c r="AN76" i="2"/>
  <c r="AN201" i="2"/>
  <c r="AN200" i="2"/>
  <c r="AN196" i="2"/>
  <c r="AN71" i="2"/>
  <c r="AN79" i="2"/>
  <c r="AN108" i="2"/>
  <c r="AN93" i="2"/>
  <c r="AN57" i="2"/>
  <c r="AN56" i="2"/>
  <c r="AN19" i="2"/>
  <c r="AN101" i="2"/>
  <c r="AN4" i="2"/>
  <c r="AN5" i="2"/>
  <c r="AN30" i="2"/>
  <c r="AN46" i="2"/>
  <c r="AN134" i="2"/>
  <c r="AN140" i="2"/>
  <c r="AN154" i="2"/>
  <c r="AN106" i="2"/>
  <c r="AN159" i="2"/>
  <c r="AN7" i="2"/>
  <c r="AN96" i="2"/>
  <c r="AN145" i="2"/>
  <c r="AN153" i="2"/>
  <c r="AN64" i="2"/>
  <c r="AN36" i="2"/>
  <c r="AN17" i="2"/>
  <c r="AN66" i="2"/>
  <c r="AN158" i="2"/>
  <c r="AN15" i="2"/>
  <c r="AN12" i="2"/>
  <c r="AN132" i="2"/>
  <c r="AN168" i="2"/>
  <c r="AN169" i="2"/>
  <c r="AN41" i="2"/>
  <c r="AN104" i="2"/>
  <c r="AN116" i="2"/>
  <c r="AN9" i="2"/>
  <c r="AN92" i="2"/>
  <c r="AN97" i="2"/>
  <c r="AN177" i="2"/>
  <c r="AN63" i="2"/>
  <c r="AN152" i="2"/>
  <c r="AN83" i="2"/>
  <c r="AN11" i="2"/>
  <c r="AN142" i="2"/>
  <c r="AN74" i="2"/>
  <c r="AN60" i="2"/>
  <c r="AN203" i="2"/>
  <c r="AN81" i="2"/>
  <c r="AN59" i="2"/>
  <c r="AN62" i="2"/>
  <c r="AN149" i="2"/>
  <c r="AN44" i="2"/>
  <c r="AN124" i="2"/>
  <c r="AN72" i="2"/>
  <c r="AN198" i="2"/>
  <c r="AN38" i="2"/>
  <c r="AN84" i="2"/>
  <c r="AN89" i="2"/>
  <c r="AN129" i="2"/>
  <c r="AN144" i="2"/>
  <c r="AN10" i="2"/>
  <c r="AN86" i="2"/>
  <c r="AN23" i="2"/>
  <c r="AN122" i="2"/>
  <c r="AN52" i="2"/>
  <c r="AN190" i="2"/>
  <c r="AN24" i="2"/>
  <c r="AN138" i="2"/>
  <c r="AN13" i="2"/>
  <c r="AN25" i="2"/>
  <c r="AN55" i="2"/>
  <c r="AN49" i="2"/>
  <c r="AN6" i="2"/>
  <c r="AN39" i="2"/>
  <c r="AN88" i="2"/>
  <c r="AN192" i="2"/>
  <c r="AN194" i="2"/>
  <c r="AN16" i="2"/>
  <c r="AN146" i="2"/>
  <c r="AN87" i="2"/>
  <c r="AN151" i="2"/>
  <c r="AN161" i="2"/>
  <c r="AN42" i="2"/>
  <c r="AN70" i="2"/>
  <c r="AN163" i="2"/>
  <c r="AN156" i="2"/>
  <c r="AN148" i="2"/>
  <c r="AN73" i="2"/>
  <c r="AN171" i="2"/>
  <c r="AN181" i="2"/>
  <c r="AN119" i="2"/>
  <c r="AN78" i="2"/>
  <c r="AN20" i="2"/>
  <c r="AN193" i="2"/>
  <c r="AN35" i="2"/>
  <c r="AN126" i="2"/>
  <c r="AN21" i="2"/>
  <c r="AN135" i="2"/>
  <c r="AN80" i="2"/>
  <c r="AN147" i="2"/>
  <c r="AN180" i="2"/>
  <c r="AN14" i="2"/>
  <c r="AN183" i="2"/>
  <c r="AN182" i="2"/>
  <c r="AN105" i="2"/>
  <c r="AN114" i="2"/>
  <c r="AN75" i="2"/>
  <c r="AN186" i="2"/>
  <c r="AN61" i="2"/>
  <c r="AN160" i="2"/>
  <c r="AN175" i="2"/>
  <c r="AN113" i="2"/>
  <c r="AN112" i="2"/>
  <c r="AN188" i="2"/>
  <c r="AN102" i="2"/>
  <c r="AN65" i="2"/>
  <c r="AN141" i="2"/>
  <c r="AN95" i="2"/>
  <c r="AN166" i="2"/>
  <c r="AN121" i="2"/>
  <c r="AN174" i="2"/>
  <c r="AN118" i="2"/>
  <c r="AN128" i="2"/>
  <c r="AN167" i="2"/>
  <c r="AN164" i="2"/>
  <c r="AN195" i="2"/>
  <c r="AN109" i="2"/>
  <c r="AN157" i="2"/>
  <c r="AN47" i="2"/>
  <c r="AN40" i="2"/>
  <c r="AN100" i="2"/>
  <c r="AN103" i="2"/>
  <c r="AN37" i="2"/>
  <c r="AN150" i="2"/>
  <c r="AN28" i="2"/>
  <c r="AN77" i="2"/>
  <c r="AN189" i="2"/>
  <c r="AN115" i="2"/>
  <c r="AN68" i="2"/>
  <c r="AN43" i="2"/>
  <c r="AN155" i="2"/>
  <c r="AN184" i="2"/>
  <c r="AN143" i="2"/>
  <c r="AN90" i="2"/>
  <c r="AN179" i="2"/>
  <c r="AN51" i="2"/>
  <c r="AN110" i="2"/>
  <c r="AN178" i="2"/>
  <c r="AN123" i="2"/>
  <c r="AN187" i="2"/>
  <c r="AN3" i="2"/>
  <c r="C7" i="4" s="1"/>
  <c r="E7" i="4" s="1"/>
  <c r="F7" i="4" s="1"/>
  <c r="G7" i="4" s="1"/>
  <c r="L7" i="4" s="1"/>
  <c r="AN29" i="2"/>
  <c r="AN133" i="2"/>
  <c r="AN50" i="2"/>
  <c r="AN85" i="2"/>
  <c r="AN125" i="2"/>
  <c r="AN45" i="2"/>
  <c r="AN127" i="2"/>
  <c r="AN58" i="2"/>
  <c r="AN137" i="2"/>
  <c r="AN111" i="2"/>
  <c r="AN33" i="2"/>
  <c r="AN54" i="2"/>
  <c r="AN91" i="2"/>
  <c r="AN98" i="2"/>
  <c r="AN191" i="2"/>
  <c r="AN99" i="2"/>
  <c r="AN69" i="2"/>
  <c r="AN131" i="2"/>
  <c r="AN26" i="2"/>
  <c r="AN27" i="2"/>
  <c r="AN170" i="2"/>
  <c r="AN202" i="2"/>
  <c r="AN173" i="2"/>
  <c r="AN48" i="2"/>
  <c r="AN107" i="2"/>
  <c r="AN172" i="2"/>
  <c r="AN34" i="2"/>
  <c r="AN165" i="2"/>
  <c r="AN199" i="2"/>
  <c r="AN82" i="2"/>
  <c r="AN18" i="2"/>
  <c r="AN130" i="2"/>
  <c r="AN197" i="2"/>
  <c r="AN94" i="2"/>
  <c r="AN8" i="2"/>
  <c r="AN139" i="2"/>
  <c r="AN22" i="2"/>
  <c r="AN31" i="2"/>
  <c r="AN185" i="2"/>
  <c r="AN136" i="2"/>
  <c r="AN176" i="2"/>
  <c r="AN120" i="2"/>
  <c r="AN117" i="2"/>
  <c r="AN67" i="2"/>
  <c r="AN162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EO163" i="2" s="1"/>
  <c r="DO165" i="2"/>
  <c r="DP164" i="2"/>
  <c r="DQ164" i="2" s="1"/>
  <c r="DR164" i="2" s="1"/>
  <c r="DS164" i="2" s="1"/>
  <c r="DT93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Y179" i="2" l="1"/>
  <c r="CY44" i="2"/>
  <c r="CY24" i="2"/>
  <c r="CY8" i="2"/>
  <c r="CY83" i="2"/>
  <c r="CY48" i="2"/>
  <c r="CY70" i="2"/>
  <c r="CY45" i="2"/>
  <c r="CY162" i="2"/>
  <c r="CY101" i="2"/>
  <c r="CY191" i="2"/>
  <c r="CY171" i="2"/>
  <c r="CY159" i="2"/>
  <c r="CY192" i="2"/>
  <c r="CY174" i="2"/>
  <c r="CY129" i="2"/>
  <c r="CY151" i="2"/>
  <c r="CY181" i="2"/>
  <c r="CY116" i="2"/>
  <c r="CY103" i="2"/>
  <c r="CY114" i="2"/>
  <c r="CY111" i="2"/>
  <c r="CY64" i="2"/>
  <c r="CY95" i="2"/>
  <c r="CY198" i="2"/>
  <c r="CY72" i="2"/>
  <c r="CY58" i="2"/>
  <c r="CY185" i="2"/>
  <c r="CY148" i="2"/>
  <c r="CY125" i="2"/>
  <c r="CY175" i="2"/>
  <c r="CY65" i="2"/>
  <c r="CY110" i="2"/>
  <c r="CY5" i="2"/>
  <c r="CY7" i="2"/>
  <c r="CY201" i="2"/>
  <c r="CY178" i="2"/>
  <c r="CY166" i="2"/>
  <c r="CY67" i="2"/>
  <c r="CY68" i="2"/>
  <c r="CY169" i="2"/>
  <c r="CY9" i="2"/>
  <c r="CY29" i="2"/>
  <c r="CY49" i="2"/>
  <c r="CY34" i="2"/>
  <c r="CY153" i="2"/>
  <c r="CY141" i="2"/>
  <c r="CY80" i="2"/>
  <c r="CY152" i="2"/>
  <c r="CY109" i="2"/>
  <c r="CY38" i="2"/>
  <c r="CY145" i="2"/>
  <c r="CY25" i="2"/>
  <c r="CY176" i="2"/>
  <c r="CY194" i="2"/>
  <c r="CY6" i="2"/>
  <c r="CY140" i="2"/>
  <c r="CY41" i="2"/>
  <c r="CY37" i="2"/>
  <c r="CY143" i="2"/>
  <c r="CY170" i="2"/>
  <c r="CY10" i="2"/>
  <c r="CY85" i="2"/>
  <c r="CY119" i="2"/>
  <c r="CY74" i="2"/>
  <c r="CY86" i="2"/>
  <c r="CY163" i="2"/>
  <c r="CY177" i="2"/>
  <c r="CY75" i="2"/>
  <c r="CY3" i="2"/>
  <c r="C10" i="4" s="1"/>
  <c r="E10" i="4" s="1"/>
  <c r="F10" i="4" s="1"/>
  <c r="G10" i="4" s="1"/>
  <c r="L10" i="4" s="1"/>
  <c r="CY123" i="2"/>
  <c r="CY180" i="2"/>
  <c r="CY13" i="2"/>
  <c r="CY128" i="2"/>
  <c r="CY94" i="2"/>
  <c r="CY88" i="2"/>
  <c r="CY157" i="2"/>
  <c r="CY186" i="2"/>
  <c r="CY167" i="2"/>
  <c r="CY102" i="2"/>
  <c r="CY126" i="2"/>
  <c r="CY55" i="2"/>
  <c r="CY16" i="2"/>
  <c r="CY161" i="2"/>
  <c r="CY134" i="2"/>
  <c r="CY40" i="2"/>
  <c r="CY124" i="2"/>
  <c r="CY12" i="2"/>
  <c r="CY53" i="2"/>
  <c r="CY137" i="2"/>
  <c r="CY130" i="2"/>
  <c r="CY89" i="2"/>
  <c r="CY127" i="2"/>
  <c r="CY154" i="2"/>
  <c r="CY105" i="2"/>
  <c r="CY189" i="2"/>
  <c r="CY133" i="2"/>
  <c r="CY51" i="2"/>
  <c r="CY35" i="2"/>
  <c r="CY87" i="2"/>
  <c r="CY104" i="2"/>
  <c r="CY73" i="2"/>
  <c r="CY79" i="2"/>
  <c r="CY144" i="2"/>
  <c r="CY99" i="2"/>
  <c r="CY138" i="2"/>
  <c r="CY168" i="2"/>
  <c r="CY91" i="2"/>
  <c r="CY147" i="2"/>
  <c r="CY135" i="2"/>
  <c r="CY57" i="2"/>
  <c r="CY184" i="2"/>
  <c r="CY199" i="2"/>
  <c r="CY158" i="2"/>
  <c r="CY142" i="2"/>
  <c r="CY118" i="2"/>
  <c r="CY108" i="2"/>
  <c r="CY46" i="2"/>
  <c r="CY78" i="2"/>
  <c r="CY33" i="2"/>
  <c r="CY155" i="2"/>
  <c r="CY36" i="2"/>
  <c r="CY54" i="2"/>
  <c r="CY61" i="2"/>
  <c r="CY112" i="2"/>
  <c r="CY62" i="2"/>
  <c r="CY182" i="2"/>
  <c r="CY172" i="2"/>
  <c r="CY14" i="2"/>
  <c r="CY136" i="2"/>
  <c r="CY92" i="2"/>
  <c r="CY200" i="2"/>
  <c r="CY23" i="2"/>
  <c r="CY59" i="2"/>
  <c r="CY113" i="2"/>
  <c r="CY4" i="2"/>
  <c r="CY82" i="2"/>
  <c r="CY26" i="2"/>
  <c r="CY47" i="2"/>
  <c r="CY96" i="2"/>
  <c r="CY31" i="2"/>
  <c r="CY30" i="2"/>
  <c r="CY84" i="2"/>
  <c r="CY90" i="2"/>
  <c r="CY193" i="2"/>
  <c r="CY18" i="2"/>
  <c r="CY173" i="2"/>
  <c r="CY81" i="2"/>
  <c r="CY77" i="2"/>
  <c r="CY66" i="2"/>
  <c r="CY56" i="2"/>
  <c r="CY202" i="2"/>
  <c r="CY52" i="2"/>
  <c r="CY32" i="2"/>
  <c r="CY50" i="2"/>
  <c r="CY132" i="2"/>
  <c r="CY39" i="2"/>
  <c r="CY164" i="2"/>
  <c r="CY106" i="2"/>
  <c r="CY150" i="2"/>
  <c r="CY117" i="2"/>
  <c r="CY20" i="2"/>
  <c r="CY71" i="2"/>
  <c r="CY121" i="2"/>
  <c r="CY190" i="2"/>
  <c r="CY98" i="2"/>
  <c r="CY22" i="2"/>
  <c r="CY19" i="2"/>
  <c r="CY188" i="2"/>
  <c r="CY11" i="2"/>
  <c r="CY42" i="2"/>
  <c r="CY183" i="2"/>
  <c r="CY15" i="2"/>
  <c r="CY60" i="2"/>
  <c r="CY146" i="2"/>
  <c r="CY17" i="2"/>
  <c r="CY97" i="2"/>
  <c r="CY160" i="2"/>
  <c r="CY139" i="2"/>
  <c r="CY187" i="2"/>
  <c r="CY120" i="2"/>
  <c r="CY149" i="2"/>
  <c r="CY122" i="2"/>
  <c r="CY43" i="2"/>
  <c r="CY196" i="2"/>
  <c r="CY76" i="2"/>
  <c r="CY21" i="2"/>
  <c r="CY107" i="2"/>
  <c r="CY156" i="2"/>
  <c r="CY197" i="2"/>
  <c r="CY63" i="2"/>
  <c r="CY115" i="2"/>
  <c r="CY203" i="2"/>
  <c r="CY28" i="2"/>
  <c r="CY131" i="2"/>
  <c r="CY100" i="2"/>
  <c r="CY93" i="2"/>
  <c r="CY165" i="2"/>
  <c r="CY195" i="2"/>
  <c r="CY27" i="2"/>
  <c r="CY69" i="2"/>
  <c r="EO192" i="2"/>
  <c r="EO81" i="2"/>
  <c r="EO44" i="2"/>
  <c r="EO173" i="2"/>
  <c r="EO36" i="2"/>
  <c r="EO187" i="2"/>
  <c r="EO75" i="2"/>
  <c r="EO106" i="2"/>
  <c r="EO57" i="2"/>
  <c r="EO50" i="2"/>
  <c r="EO135" i="2"/>
  <c r="EO134" i="2"/>
  <c r="EO125" i="2"/>
  <c r="EO33" i="2"/>
  <c r="EO94" i="2"/>
  <c r="EO32" i="2"/>
  <c r="EO55" i="2"/>
  <c r="EO18" i="2"/>
  <c r="EO113" i="2"/>
  <c r="EO42" i="2"/>
  <c r="EO13" i="2"/>
  <c r="EO76" i="2"/>
  <c r="EO63" i="2"/>
  <c r="EO176" i="2"/>
  <c r="EO170" i="2"/>
  <c r="EO73" i="2"/>
  <c r="EO175" i="2"/>
  <c r="EO51" i="2"/>
  <c r="EO129" i="2"/>
  <c r="EO185" i="2"/>
  <c r="EO3" i="2"/>
  <c r="C12" i="4" s="1"/>
  <c r="E12" i="4" s="1"/>
  <c r="F12" i="4" s="1"/>
  <c r="G12" i="4" s="1"/>
  <c r="L12" i="4" s="1"/>
  <c r="EO40" i="2"/>
  <c r="EO95" i="2"/>
  <c r="EO45" i="2"/>
  <c r="EO162" i="2"/>
  <c r="EO117" i="2"/>
  <c r="EO147" i="2"/>
  <c r="EO112" i="2"/>
  <c r="EO35" i="2"/>
  <c r="EO197" i="2"/>
  <c r="EO31" i="2"/>
  <c r="EO49" i="2"/>
  <c r="EO70" i="2"/>
  <c r="EO131" i="2"/>
  <c r="EO154" i="2"/>
  <c r="EO65" i="2"/>
  <c r="EO88" i="2"/>
  <c r="EO195" i="2"/>
  <c r="EO145" i="2"/>
  <c r="EO9" i="2"/>
  <c r="EO199" i="2"/>
  <c r="EO190" i="2"/>
  <c r="EO84" i="2"/>
  <c r="EO103" i="2"/>
  <c r="EO200" i="2"/>
  <c r="EO128" i="2"/>
  <c r="EO164" i="2"/>
  <c r="EO121" i="2"/>
  <c r="EO132" i="2"/>
  <c r="EO54" i="2"/>
  <c r="EO100" i="2"/>
  <c r="EO28" i="2"/>
  <c r="EO141" i="2"/>
  <c r="EO114" i="2"/>
  <c r="EO27" i="2"/>
  <c r="EO196" i="2"/>
  <c r="EO153" i="2"/>
  <c r="EO102" i="2"/>
  <c r="EO43" i="2"/>
  <c r="EO104" i="2"/>
  <c r="EO87" i="2"/>
  <c r="EO109" i="2"/>
  <c r="EO198" i="2"/>
  <c r="EO119" i="2"/>
  <c r="EO79" i="2"/>
  <c r="EO72" i="2"/>
  <c r="EO148" i="2"/>
  <c r="EO17" i="2"/>
  <c r="EO155" i="2"/>
  <c r="EO107" i="2"/>
  <c r="EO90" i="2"/>
  <c r="EO157" i="2"/>
  <c r="EO169" i="2"/>
  <c r="EO144" i="2"/>
  <c r="EO186" i="2"/>
  <c r="EO4" i="2"/>
  <c r="EO120" i="2"/>
  <c r="EO171" i="2"/>
  <c r="EO38" i="2"/>
  <c r="EO6" i="2"/>
  <c r="EO139" i="2"/>
  <c r="EO159" i="2"/>
  <c r="EO21" i="2"/>
  <c r="EO181" i="2"/>
  <c r="EO142" i="2"/>
  <c r="EO19" i="2"/>
  <c r="EO123" i="2"/>
  <c r="EO168" i="2"/>
  <c r="EO161" i="2"/>
  <c r="EO167" i="2"/>
  <c r="EO12" i="2"/>
  <c r="EO58" i="2"/>
  <c r="EO10" i="2"/>
  <c r="EO108" i="2"/>
  <c r="EO26" i="2"/>
  <c r="EO158" i="2"/>
  <c r="EO172" i="2"/>
  <c r="EO177" i="2"/>
  <c r="EO61" i="2"/>
  <c r="EO62" i="2"/>
  <c r="EO189" i="2"/>
  <c r="EO5" i="2"/>
  <c r="EO64" i="2"/>
  <c r="EO71" i="2"/>
  <c r="EO78" i="2"/>
  <c r="EO39" i="2"/>
  <c r="EO130" i="2"/>
  <c r="EO15" i="2"/>
  <c r="EO138" i="2"/>
  <c r="EO77" i="2"/>
  <c r="EO124" i="2"/>
  <c r="EO24" i="2"/>
  <c r="EO201" i="2"/>
  <c r="EO152" i="2"/>
  <c r="EO180" i="2"/>
  <c r="EO191" i="2"/>
  <c r="EO116" i="2"/>
  <c r="EO47" i="2"/>
  <c r="EO126" i="2"/>
  <c r="EO122" i="2"/>
  <c r="EO203" i="2"/>
  <c r="EO174" i="2"/>
  <c r="EO41" i="2"/>
  <c r="EO52" i="2"/>
  <c r="EO182" i="2"/>
  <c r="EO127" i="2"/>
  <c r="EO46" i="2"/>
  <c r="EO11" i="2"/>
  <c r="EO93" i="2"/>
  <c r="EO82" i="2"/>
  <c r="EO67" i="2"/>
  <c r="EO178" i="2"/>
  <c r="EO60" i="2"/>
  <c r="EO96" i="2"/>
  <c r="EO110" i="2"/>
  <c r="EO105" i="2"/>
  <c r="EO23" i="2"/>
  <c r="EO29" i="2"/>
  <c r="EO80" i="2"/>
  <c r="EO89" i="2"/>
  <c r="EO156" i="2"/>
  <c r="EO179" i="2"/>
  <c r="EO74" i="2"/>
  <c r="EO111" i="2"/>
  <c r="EO136" i="2"/>
  <c r="EO202" i="2"/>
  <c r="EO91" i="2"/>
  <c r="EO149" i="2"/>
  <c r="EO68" i="2"/>
  <c r="EO48" i="2"/>
  <c r="EO66" i="2"/>
  <c r="EO166" i="2"/>
  <c r="EO59" i="2"/>
  <c r="EO160" i="2"/>
  <c r="EO165" i="2"/>
  <c r="EO53" i="2"/>
  <c r="EO184" i="2"/>
  <c r="EO193" i="2"/>
  <c r="EO34" i="2"/>
  <c r="EO150" i="2"/>
  <c r="EO98" i="2"/>
  <c r="EO92" i="2"/>
  <c r="EO143" i="2"/>
  <c r="EO8" i="2"/>
  <c r="EO25" i="2"/>
  <c r="EO20" i="2"/>
  <c r="EO69" i="2"/>
  <c r="EO118" i="2"/>
  <c r="EO151" i="2"/>
  <c r="EO30" i="2"/>
  <c r="EO140" i="2"/>
  <c r="EO86" i="2"/>
  <c r="EO188" i="2"/>
  <c r="EO37" i="2"/>
  <c r="EO115" i="2"/>
  <c r="EO22" i="2"/>
  <c r="EO85" i="2"/>
  <c r="EO146" i="2"/>
  <c r="EO16" i="2"/>
  <c r="EO99" i="2"/>
  <c r="EO101" i="2"/>
  <c r="EO7" i="2"/>
  <c r="EO137" i="2"/>
  <c r="EO133" i="2"/>
  <c r="EO194" i="2"/>
  <c r="EO14" i="2"/>
  <c r="EO97" i="2"/>
  <c r="EO183" i="2"/>
  <c r="EO83" i="2"/>
  <c r="EO56" i="2"/>
  <c r="DT95" i="2"/>
  <c r="DT153" i="2"/>
  <c r="DT22" i="2"/>
  <c r="DT37" i="2"/>
  <c r="DT119" i="2"/>
  <c r="DT167" i="2"/>
  <c r="DT193" i="2"/>
  <c r="DT116" i="2"/>
  <c r="DT150" i="2"/>
  <c r="DT92" i="2"/>
  <c r="DT125" i="2"/>
  <c r="DT136" i="2"/>
  <c r="DT3" i="2"/>
  <c r="C11" i="4" s="1"/>
  <c r="E11" i="4" s="1"/>
  <c r="F11" i="4" s="1"/>
  <c r="G11" i="4" s="1"/>
  <c r="L11" i="4" s="1"/>
  <c r="DT189" i="2"/>
  <c r="DT179" i="2"/>
  <c r="DT111" i="2"/>
  <c r="DT164" i="2"/>
  <c r="DT186" i="2"/>
  <c r="DT112" i="2"/>
  <c r="DT124" i="2"/>
  <c r="DT172" i="2"/>
  <c r="DT12" i="2"/>
  <c r="DT160" i="2"/>
  <c r="DT201" i="2"/>
  <c r="DT166" i="2"/>
  <c r="DT173" i="2"/>
  <c r="DT107" i="2"/>
  <c r="DT180" i="2"/>
  <c r="DT202" i="2"/>
  <c r="DT159" i="2"/>
  <c r="DT43" i="2"/>
  <c r="DT73" i="2"/>
  <c r="DT132" i="2"/>
  <c r="DT126" i="2"/>
  <c r="DT99" i="2"/>
  <c r="DT91" i="2"/>
  <c r="DT60" i="2"/>
  <c r="DT64" i="2"/>
  <c r="DT58" i="2"/>
  <c r="DT74" i="2"/>
  <c r="DT114" i="2"/>
  <c r="DT56" i="2"/>
  <c r="DT130" i="2"/>
  <c r="DT141" i="2"/>
  <c r="DT20" i="2"/>
  <c r="DT98" i="2"/>
  <c r="DT44" i="2"/>
  <c r="DT177" i="2"/>
  <c r="DT170" i="2"/>
  <c r="DT96" i="2"/>
  <c r="DT140" i="2"/>
  <c r="DT139" i="2"/>
  <c r="DT178" i="2"/>
  <c r="DT13" i="2"/>
  <c r="DT24" i="2"/>
  <c r="DT68" i="2"/>
  <c r="DT176" i="2"/>
  <c r="DT105" i="2"/>
  <c r="DT52" i="2"/>
  <c r="DT120" i="2"/>
  <c r="DT187" i="2"/>
  <c r="DT29" i="2"/>
  <c r="DT79" i="2"/>
  <c r="DT148" i="2"/>
  <c r="DT138" i="2"/>
  <c r="DT100" i="2"/>
  <c r="DT115" i="2"/>
  <c r="DT16" i="2"/>
  <c r="DT145" i="2"/>
  <c r="DT102" i="2"/>
  <c r="DT14" i="2"/>
  <c r="DT35" i="2"/>
  <c r="DT36" i="2"/>
  <c r="DT89" i="2"/>
  <c r="DT101" i="2"/>
  <c r="DT23" i="2"/>
  <c r="DT10" i="2"/>
  <c r="DT197" i="2"/>
  <c r="DT175" i="2"/>
  <c r="DT82" i="2"/>
  <c r="DT5" i="2"/>
  <c r="DT169" i="2"/>
  <c r="DT81" i="2"/>
  <c r="DT49" i="2"/>
  <c r="DT151" i="2"/>
  <c r="DT54" i="2"/>
  <c r="DT146" i="2"/>
  <c r="DT41" i="2"/>
  <c r="DT48" i="2"/>
  <c r="DT183" i="2"/>
  <c r="DT17" i="2"/>
  <c r="DT199" i="2"/>
  <c r="DT196" i="2"/>
  <c r="DT171" i="2"/>
  <c r="DT9" i="2"/>
  <c r="DT156" i="2"/>
  <c r="DT182" i="2"/>
  <c r="DT192" i="2"/>
  <c r="DT90" i="2"/>
  <c r="DT71" i="2"/>
  <c r="DT152" i="2"/>
  <c r="DT65" i="2"/>
  <c r="DT149" i="2"/>
  <c r="DT203" i="2"/>
  <c r="DT32" i="2"/>
  <c r="DT174" i="2"/>
  <c r="DT25" i="2"/>
  <c r="DT87" i="2"/>
  <c r="DT188" i="2"/>
  <c r="DT85" i="2"/>
  <c r="DT118" i="2"/>
  <c r="DT55" i="2"/>
  <c r="DT104" i="2"/>
  <c r="DT61" i="2"/>
  <c r="DT137" i="2"/>
  <c r="DT147" i="2"/>
  <c r="DT34" i="2"/>
  <c r="DT97" i="2"/>
  <c r="DT198" i="2"/>
  <c r="DT38" i="2"/>
  <c r="DT59" i="2"/>
  <c r="DT47" i="2"/>
  <c r="DT163" i="2"/>
  <c r="DT18" i="2"/>
  <c r="DT4" i="2"/>
  <c r="DT6" i="2"/>
  <c r="DT94" i="2"/>
  <c r="DT195" i="2"/>
  <c r="DT200" i="2"/>
  <c r="DT135" i="2"/>
  <c r="DT106" i="2"/>
  <c r="DT123" i="2"/>
  <c r="DT78" i="2"/>
  <c r="DT168" i="2"/>
  <c r="DT131" i="2"/>
  <c r="DT113" i="2"/>
  <c r="DT31" i="2"/>
  <c r="DT134" i="2"/>
  <c r="DT30" i="2"/>
  <c r="DT80" i="2"/>
  <c r="DT45" i="2"/>
  <c r="DT19" i="2"/>
  <c r="DT165" i="2"/>
  <c r="DT66" i="2"/>
  <c r="DT70" i="2"/>
  <c r="DT142" i="2"/>
  <c r="DT144" i="2"/>
  <c r="DT133" i="2"/>
  <c r="DT154" i="2"/>
  <c r="DT40" i="2"/>
  <c r="DT76" i="2"/>
  <c r="DT103" i="2"/>
  <c r="DT155" i="2"/>
  <c r="DT143" i="2"/>
  <c r="DT15" i="2"/>
  <c r="DT33" i="2"/>
  <c r="DT181" i="2"/>
  <c r="DT7" i="2"/>
  <c r="DT75" i="2"/>
  <c r="DT84" i="2"/>
  <c r="DT57" i="2"/>
  <c r="DT67" i="2"/>
  <c r="DT11" i="2"/>
  <c r="DT157" i="2"/>
  <c r="DT51" i="2"/>
  <c r="DT162" i="2"/>
  <c r="DT83" i="2"/>
  <c r="DT117" i="2"/>
  <c r="DT72" i="2"/>
  <c r="DT28" i="2"/>
  <c r="DT42" i="2"/>
  <c r="DT128" i="2"/>
  <c r="DT191" i="2"/>
  <c r="DT8" i="2"/>
  <c r="DT161" i="2"/>
  <c r="DT63" i="2"/>
  <c r="DT110" i="2"/>
  <c r="DT69" i="2"/>
  <c r="DT46" i="2"/>
  <c r="DT39" i="2"/>
  <c r="DT27" i="2"/>
  <c r="DT109" i="2"/>
  <c r="DT26" i="2"/>
  <c r="DT86" i="2"/>
  <c r="DT184" i="2"/>
  <c r="DT158" i="2"/>
  <c r="DT194" i="2"/>
  <c r="DT108" i="2"/>
  <c r="DT77" i="2"/>
  <c r="DT129" i="2"/>
  <c r="DT88" i="2"/>
  <c r="DT62" i="2"/>
  <c r="DT53" i="2"/>
  <c r="DT121" i="2"/>
  <c r="DT122" i="2"/>
  <c r="DT21" i="2"/>
  <c r="DT127" i="2"/>
  <c r="DT50" i="2"/>
  <c r="DT190" i="2"/>
  <c r="DT185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155" i="2" l="1"/>
  <c r="CD102" i="2"/>
  <c r="CD122" i="2"/>
  <c r="CD77" i="2"/>
  <c r="CD113" i="2"/>
  <c r="CD61" i="2"/>
  <c r="CD187" i="2"/>
  <c r="CD134" i="2"/>
  <c r="CD167" i="2"/>
  <c r="CD14" i="2"/>
  <c r="CD20" i="2"/>
  <c r="CD127" i="2"/>
  <c r="CD31" i="2"/>
  <c r="CD109" i="2"/>
  <c r="CD76" i="2"/>
  <c r="CD182" i="2"/>
  <c r="CD40" i="2"/>
  <c r="CD160" i="2"/>
  <c r="CD19" i="2"/>
  <c r="CD192" i="2"/>
  <c r="CD201" i="2"/>
  <c r="CD78" i="2"/>
  <c r="CD129" i="2"/>
  <c r="CD178" i="2"/>
  <c r="CD60" i="2"/>
  <c r="CD194" i="2"/>
  <c r="CD85" i="2"/>
  <c r="CD151" i="2"/>
  <c r="CD54" i="2"/>
  <c r="CD42" i="2"/>
  <c r="CD172" i="2"/>
  <c r="CD69" i="2"/>
  <c r="CD103" i="2"/>
  <c r="CD136" i="2"/>
  <c r="CD65" i="2"/>
  <c r="CD25" i="2"/>
  <c r="CD33" i="2"/>
  <c r="CD101" i="2"/>
  <c r="CD105" i="2"/>
  <c r="CD137" i="2"/>
  <c r="CD93" i="2"/>
  <c r="CD23" i="2"/>
  <c r="CD119" i="2"/>
  <c r="CD34" i="2"/>
  <c r="CD29" i="2"/>
  <c r="CD11" i="2"/>
  <c r="CD9" i="2"/>
  <c r="CD158" i="2"/>
  <c r="CD80" i="2"/>
  <c r="CD168" i="2"/>
  <c r="CD100" i="2"/>
  <c r="CD51" i="2"/>
  <c r="CD153" i="2"/>
  <c r="CD21" i="2"/>
  <c r="CD126" i="2"/>
  <c r="CD171" i="2"/>
  <c r="CD200" i="2"/>
  <c r="CD48" i="2"/>
  <c r="CD12" i="2"/>
  <c r="CD82" i="2"/>
  <c r="CD135" i="2"/>
  <c r="CD176" i="2"/>
  <c r="CD162" i="2"/>
  <c r="CD198" i="2"/>
  <c r="CD49" i="2"/>
  <c r="CD13" i="2"/>
  <c r="CD47" i="2"/>
  <c r="CD186" i="2"/>
  <c r="CD43" i="2"/>
  <c r="CD157" i="2"/>
  <c r="CD189" i="2"/>
  <c r="CD96" i="2"/>
  <c r="CD130" i="2"/>
  <c r="CD177" i="2"/>
  <c r="CD197" i="2"/>
  <c r="CD193" i="2"/>
  <c r="CD118" i="2"/>
  <c r="CD150" i="2"/>
  <c r="CD73" i="2"/>
  <c r="CD121" i="2"/>
  <c r="CD27" i="2"/>
  <c r="CD37" i="2"/>
  <c r="CD184" i="2"/>
  <c r="CD89" i="2"/>
  <c r="CD170" i="2"/>
  <c r="CD139" i="2"/>
  <c r="CD145" i="2"/>
  <c r="CD15" i="2"/>
  <c r="CD68" i="2"/>
  <c r="CD115" i="2"/>
  <c r="CD154" i="2"/>
  <c r="CD10" i="2"/>
  <c r="CD5" i="2"/>
  <c r="CD35" i="2"/>
  <c r="CD6" i="2"/>
  <c r="CD64" i="2"/>
  <c r="CD131" i="2"/>
  <c r="CD28" i="2"/>
  <c r="CD191" i="2"/>
  <c r="CD38" i="2"/>
  <c r="CD24" i="2"/>
  <c r="CD165" i="2"/>
  <c r="CD72" i="2"/>
  <c r="CD149" i="2"/>
  <c r="CD173" i="2"/>
  <c r="CD63" i="2"/>
  <c r="CD97" i="2"/>
  <c r="CD8" i="2"/>
  <c r="CD195" i="2"/>
  <c r="CD148" i="2"/>
  <c r="CD46" i="2"/>
  <c r="CD81" i="2"/>
  <c r="CD84" i="2"/>
  <c r="CD185" i="2"/>
  <c r="CD58" i="2"/>
  <c r="CD107" i="2"/>
  <c r="CD88" i="2"/>
  <c r="CD83" i="2"/>
  <c r="CD141" i="2"/>
  <c r="CD203" i="2"/>
  <c r="CD59" i="2"/>
  <c r="CD181" i="2"/>
  <c r="CD117" i="2"/>
  <c r="CD98" i="2"/>
  <c r="CD7" i="2"/>
  <c r="CD163" i="2"/>
  <c r="CD32" i="2"/>
  <c r="CD41" i="2"/>
  <c r="CD156" i="2"/>
  <c r="CD75" i="2"/>
  <c r="CD132" i="2"/>
  <c r="CD106" i="2"/>
  <c r="CD50" i="2"/>
  <c r="CD57" i="2"/>
  <c r="CD67" i="2"/>
  <c r="CD3" i="2"/>
  <c r="C9" i="4" s="1"/>
  <c r="E9" i="4" s="1"/>
  <c r="F9" i="4" s="1"/>
  <c r="G9" i="4" s="1"/>
  <c r="L9" i="4" s="1"/>
  <c r="CD144" i="2"/>
  <c r="CD146" i="2"/>
  <c r="CD53" i="2"/>
  <c r="CD45" i="2"/>
  <c r="CD39" i="2"/>
  <c r="CD86" i="2"/>
  <c r="CD116" i="2"/>
  <c r="CD138" i="2"/>
  <c r="CD18" i="2"/>
  <c r="CD125" i="2"/>
  <c r="CD152" i="2"/>
  <c r="CD123" i="2"/>
  <c r="CD92" i="2"/>
  <c r="CD70" i="2"/>
  <c r="CD22" i="2"/>
  <c r="CD62" i="2"/>
  <c r="CD112" i="2"/>
  <c r="CD161" i="2"/>
  <c r="CD66" i="2"/>
  <c r="CD128" i="2"/>
  <c r="CD143" i="2"/>
  <c r="CD142" i="2"/>
  <c r="CD44" i="2"/>
  <c r="CD114" i="2"/>
  <c r="CD180" i="2"/>
  <c r="CD120" i="2"/>
  <c r="CD16" i="2"/>
  <c r="CD36" i="2"/>
  <c r="CD199" i="2"/>
  <c r="CD99" i="2"/>
  <c r="CD17" i="2"/>
  <c r="CD55" i="2"/>
  <c r="CD52" i="2"/>
  <c r="CD87" i="2"/>
  <c r="CD108" i="2"/>
  <c r="CD91" i="2"/>
  <c r="CD94" i="2"/>
  <c r="CD159" i="2"/>
  <c r="CD79" i="2"/>
  <c r="CD169" i="2"/>
  <c r="CD174" i="2"/>
  <c r="CD202" i="2"/>
  <c r="CD124" i="2"/>
  <c r="CD4" i="2"/>
  <c r="CD26" i="2"/>
  <c r="CD110" i="2"/>
  <c r="CD56" i="2"/>
  <c r="CD104" i="2"/>
  <c r="CD90" i="2"/>
  <c r="CD190" i="2"/>
  <c r="CD164" i="2"/>
  <c r="CD179" i="2"/>
  <c r="CD188" i="2"/>
  <c r="CD111" i="2"/>
  <c r="CD95" i="2"/>
  <c r="CD133" i="2"/>
  <c r="CD30" i="2"/>
  <c r="CD74" i="2"/>
  <c r="CD175" i="2"/>
  <c r="CD140" i="2"/>
  <c r="CD183" i="2"/>
  <c r="CD196" i="2"/>
  <c r="CD166" i="2"/>
  <c r="CD147" i="2"/>
  <c r="CD71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88" i="2" l="1"/>
  <c r="BI52" i="2"/>
  <c r="BI122" i="2"/>
  <c r="BI30" i="2"/>
  <c r="BI76" i="2"/>
  <c r="BI200" i="2"/>
  <c r="BI129" i="2"/>
  <c r="BI47" i="2"/>
  <c r="BI95" i="2"/>
  <c r="BI186" i="2"/>
  <c r="BI146" i="2"/>
  <c r="BI182" i="2"/>
  <c r="BI114" i="2"/>
  <c r="BI12" i="2"/>
  <c r="BI131" i="2"/>
  <c r="BI64" i="2"/>
  <c r="BI5" i="2"/>
  <c r="BI188" i="2"/>
  <c r="BI142" i="2"/>
  <c r="BI113" i="2"/>
  <c r="BI162" i="2"/>
  <c r="BI123" i="2"/>
  <c r="BI102" i="2"/>
  <c r="BI159" i="2"/>
  <c r="BI189" i="2"/>
  <c r="BI33" i="2"/>
  <c r="BI39" i="2"/>
  <c r="BI72" i="2"/>
  <c r="BI191" i="2"/>
  <c r="BI96" i="2"/>
  <c r="BI119" i="2"/>
  <c r="BI34" i="2"/>
  <c r="BI202" i="2"/>
  <c r="BI92" i="2"/>
  <c r="BI154" i="2"/>
  <c r="BI90" i="2"/>
  <c r="BI68" i="2"/>
  <c r="BI139" i="2"/>
  <c r="BI110" i="2"/>
  <c r="BI163" i="2"/>
  <c r="BI196" i="2"/>
  <c r="BI25" i="2"/>
  <c r="BI99" i="2"/>
  <c r="BI91" i="2"/>
  <c r="BI26" i="2"/>
  <c r="BI22" i="2"/>
  <c r="BI179" i="2"/>
  <c r="BI29" i="2"/>
  <c r="BI116" i="2"/>
  <c r="BI19" i="2"/>
  <c r="BI176" i="2"/>
  <c r="BI192" i="2"/>
  <c r="BI177" i="2"/>
  <c r="BI125" i="2"/>
  <c r="BI203" i="2"/>
  <c r="BI10" i="2"/>
  <c r="BI23" i="2"/>
  <c r="BI151" i="2"/>
  <c r="BI3" i="2"/>
  <c r="C8" i="4" s="1"/>
  <c r="E8" i="4" s="1"/>
  <c r="F8" i="4" s="1"/>
  <c r="G8" i="4" s="1"/>
  <c r="L8" i="4" s="1"/>
  <c r="BI184" i="2"/>
  <c r="BI20" i="2"/>
  <c r="BI11" i="2"/>
  <c r="BI141" i="2"/>
  <c r="BI7" i="2"/>
  <c r="BI106" i="2"/>
  <c r="BI13" i="2"/>
  <c r="BI101" i="2"/>
  <c r="BI79" i="2"/>
  <c r="BI181" i="2"/>
  <c r="BI171" i="2"/>
  <c r="BI130" i="2"/>
  <c r="BI190" i="2"/>
  <c r="BI98" i="2"/>
  <c r="BI38" i="2"/>
  <c r="BI71" i="2"/>
  <c r="BI168" i="2"/>
  <c r="BI87" i="2"/>
  <c r="BI173" i="2"/>
  <c r="BI161" i="2"/>
  <c r="BI120" i="2"/>
  <c r="BI185" i="2"/>
  <c r="BI100" i="2"/>
  <c r="BI61" i="2"/>
  <c r="BI170" i="2"/>
  <c r="BI63" i="2"/>
  <c r="BI144" i="2"/>
  <c r="BI41" i="2"/>
  <c r="BI35" i="2"/>
  <c r="BI44" i="2"/>
  <c r="BI67" i="2"/>
  <c r="BI66" i="2"/>
  <c r="BI60" i="2"/>
  <c r="BI55" i="2"/>
  <c r="BI126" i="2"/>
  <c r="BI27" i="2"/>
  <c r="BI169" i="2"/>
  <c r="BI145" i="2"/>
  <c r="BI51" i="2"/>
  <c r="BI107" i="2"/>
  <c r="BI83" i="2"/>
  <c r="BI31" i="2"/>
  <c r="BI103" i="2"/>
  <c r="BI147" i="2"/>
  <c r="BI59" i="2"/>
  <c r="BI148" i="2"/>
  <c r="BI115" i="2"/>
  <c r="BI70" i="2"/>
  <c r="BI198" i="2"/>
  <c r="BI6" i="2"/>
  <c r="BI58" i="2"/>
  <c r="BI111" i="2"/>
  <c r="BI166" i="2"/>
  <c r="BI136" i="2"/>
  <c r="BI109" i="2"/>
  <c r="BI9" i="2"/>
  <c r="BI54" i="2"/>
  <c r="BI172" i="2"/>
  <c r="BI42" i="2"/>
  <c r="BI32" i="2"/>
  <c r="BI77" i="2"/>
  <c r="BI135" i="2"/>
  <c r="BI69" i="2"/>
  <c r="BI117" i="2"/>
  <c r="BI50" i="2"/>
  <c r="BI158" i="2"/>
  <c r="BI165" i="2"/>
  <c r="BI157" i="2"/>
  <c r="BI143" i="2"/>
  <c r="BI24" i="2"/>
  <c r="BI149" i="2"/>
  <c r="BI8" i="2"/>
  <c r="BI194" i="2"/>
  <c r="BI65" i="2"/>
  <c r="BI73" i="2"/>
  <c r="BI152" i="2"/>
  <c r="BI195" i="2"/>
  <c r="BI197" i="2"/>
  <c r="BI4" i="2"/>
  <c r="BI43" i="2"/>
  <c r="BI150" i="2"/>
  <c r="BI137" i="2"/>
  <c r="BI199" i="2"/>
  <c r="BI36" i="2"/>
  <c r="BI133" i="2"/>
  <c r="BI104" i="2"/>
  <c r="BI94" i="2"/>
  <c r="BI81" i="2"/>
  <c r="BI132" i="2"/>
  <c r="BI48" i="2"/>
  <c r="BI121" i="2"/>
  <c r="BI17" i="2"/>
  <c r="BI108" i="2"/>
  <c r="BI112" i="2"/>
  <c r="BI15" i="2"/>
  <c r="BI62" i="2"/>
  <c r="BI174" i="2"/>
  <c r="BI57" i="2"/>
  <c r="BI74" i="2"/>
  <c r="BI21" i="2"/>
  <c r="BI82" i="2"/>
  <c r="BI37" i="2"/>
  <c r="BI45" i="2"/>
  <c r="BI75" i="2"/>
  <c r="BI56" i="2"/>
  <c r="BI97" i="2"/>
  <c r="BI175" i="2"/>
  <c r="BI49" i="2"/>
  <c r="BI153" i="2"/>
  <c r="BI201" i="2"/>
  <c r="BI105" i="2"/>
  <c r="BI89" i="2"/>
  <c r="BI85" i="2"/>
  <c r="BI84" i="2"/>
  <c r="BI155" i="2"/>
  <c r="BI93" i="2"/>
  <c r="BI180" i="2"/>
  <c r="BI134" i="2"/>
  <c r="BI127" i="2"/>
  <c r="BI78" i="2"/>
  <c r="BI40" i="2"/>
  <c r="BI46" i="2"/>
  <c r="BI156" i="2"/>
  <c r="BI164" i="2"/>
  <c r="BI80" i="2"/>
  <c r="BI128" i="2"/>
  <c r="BI86" i="2"/>
  <c r="BI187" i="2"/>
  <c r="BI124" i="2"/>
  <c r="BI167" i="2"/>
  <c r="BI178" i="2"/>
  <c r="BI183" i="2"/>
  <c r="BI160" i="2"/>
  <c r="BI16" i="2"/>
  <c r="BI193" i="2"/>
  <c r="BI53" i="2"/>
  <c r="BI118" i="2"/>
  <c r="BI138" i="2"/>
  <c r="BI14" i="2"/>
  <c r="BI140" i="2"/>
  <c r="BI18" i="2"/>
  <c r="BI28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tc={71882F56-3C33-4F96-AFA7-6BB0313D8DD6}</author>
    <author>tc={48C73F0A-291A-4EA7-832D-96C0CF308991}</author>
  </authors>
  <commentList>
    <comment ref="E172" authorId="0" shapeId="0" xr:uid="{71882F56-3C33-4F96-AFA7-6BB0313D8DD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Cormier+poirier</t>
      </text>
    </comment>
    <comment ref="E203" authorId="1" shapeId="0" xr:uid="{48C73F0A-291A-4EA7-832D-96C0CF30899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Alisier + le reste des feuillus divers</t>
      </text>
    </comment>
  </commentList>
</comments>
</file>

<file path=xl/sharedStrings.xml><?xml version="1.0" encoding="utf-8"?>
<sst xmlns="http://schemas.openxmlformats.org/spreadsheetml/2006/main" count="1203" uniqueCount="336">
  <si>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</si>
  <si>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</si>
  <si>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</si>
  <si>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</si>
  <si>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</si>
  <si>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</si>
  <si>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</si>
  <si>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</si>
  <si>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</si>
  <si>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</si>
  <si>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</si>
  <si>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</si>
  <si>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</si>
  <si>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</si>
  <si>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</si>
  <si>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</si>
  <si>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</si>
  <si>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</si>
  <si>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</si>
  <si>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</si>
  <si>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</si>
  <si>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</si>
  <si>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</si>
  <si>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</si>
  <si>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</si>
  <si>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</si>
  <si>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</si>
  <si>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</si>
  <si>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</si>
  <si>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</si>
  <si>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</si>
  <si>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</si>
  <si>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</si>
  <si>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</si>
  <si>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</si>
  <si>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</si>
  <si>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</si>
  <si>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</si>
  <si>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</si>
  <si>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</si>
  <si>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</si>
  <si>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</si>
  <si>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</si>
  <si>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</si>
  <si>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</si>
  <si>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</si>
  <si>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</si>
  <si>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</si>
  <si>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</si>
  <si>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</si>
  <si>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</si>
  <si>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</si>
  <si>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</si>
  <si>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</si>
  <si>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</si>
  <si>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</si>
  <si>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</si>
  <si>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</si>
  <si>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</si>
  <si>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</si>
  <si>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</si>
  <si>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</si>
  <si>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</si>
  <si>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</si>
  <si>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</si>
  <si>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</si>
  <si>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</si>
  <si>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</si>
  <si>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</si>
  <si>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</si>
  <si>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</si>
  <si>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</si>
  <si>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</si>
  <si>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</si>
  <si>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</si>
  <si>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</si>
  <si>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</si>
  <si>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</si>
  <si>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</si>
  <si>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</si>
  <si>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</si>
  <si>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</si>
  <si>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</si>
  <si>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</si>
  <si>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</si>
  <si>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</si>
  <si>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</si>
  <si>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</si>
  <si>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</si>
  <si>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</si>
  <si>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</si>
  <si>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</si>
  <si>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</si>
  <si>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</si>
  <si>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</si>
  <si>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</si>
  <si>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</si>
  <si>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</si>
  <si>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</si>
  <si>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</si>
  <si>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</si>
  <si>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</si>
  <si>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</si>
  <si>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</si>
  <si>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</si>
  <si>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</si>
  <si>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</si>
  <si>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</si>
  <si>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</si>
  <si>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</si>
  <si>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</si>
  <si>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</si>
  <si>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</si>
  <si>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</si>
  <si>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</si>
  <si>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</si>
  <si>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</si>
  <si>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</si>
  <si>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</si>
  <si>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</si>
  <si>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</si>
  <si>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</si>
  <si>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</si>
  <si>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</si>
  <si>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</si>
  <si>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</si>
  <si>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</si>
  <si>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</si>
  <si>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</si>
  <si>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</si>
  <si>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</si>
  <si>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</si>
  <si>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</si>
  <si>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</si>
  <si>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</si>
  <si>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</si>
  <si>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</si>
  <si>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</si>
  <si>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</si>
  <si>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</si>
  <si>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</si>
  <si>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</si>
  <si>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</si>
  <si>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</si>
  <si>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</si>
  <si>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</si>
  <si>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</si>
  <si>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</si>
  <si>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</si>
  <si>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</si>
  <si>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</si>
  <si>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</si>
  <si>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</si>
  <si>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</si>
  <si>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</si>
  <si>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</si>
  <si>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</si>
  <si>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</si>
  <si>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</si>
  <si>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</si>
  <si>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</si>
  <si>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</si>
  <si>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</si>
  <si>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</si>
  <si>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</si>
  <si>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</si>
  <si>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</si>
  <si>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</si>
  <si>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</si>
  <si>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</si>
  <si>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</si>
  <si>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</si>
  <si>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</si>
  <si>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</si>
  <si>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</si>
  <si>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</si>
  <si>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</si>
  <si>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</si>
  <si>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</si>
  <si>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</si>
  <si>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</si>
  <si>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</si>
  <si>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</si>
  <si>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</si>
  <si>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</si>
  <si>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</si>
  <si>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</si>
  <si>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</si>
  <si>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</si>
  <si>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</si>
  <si>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</si>
  <si>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</si>
  <si>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</si>
  <si>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</si>
  <si>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</si>
  <si>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</si>
  <si>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</si>
  <si>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</si>
  <si>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</si>
  <si>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</si>
  <si>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</si>
  <si>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</si>
  <si>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</si>
  <si>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</si>
  <si>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</si>
  <si>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</si>
  <si>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</si>
  <si>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</si>
  <si>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</si>
  <si>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</si>
  <si>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</si>
  <si>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</si>
  <si>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</si>
  <si>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</si>
  <si>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</si>
  <si>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</si>
  <si>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</si>
  <si>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</si>
  <si>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</si>
  <si>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</si>
  <si>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</si>
  <si>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</si>
  <si>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</si>
  <si>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</si>
  <si>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</si>
  <si>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</si>
  <si>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</si>
  <si>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</si>
  <si>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</si>
  <si>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</si>
  <si>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</si>
  <si>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</si>
  <si>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</si>
  <si>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</si>
  <si>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</si>
  <si>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</si>
  <si>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</si>
  <si>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</si>
  <si>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</si>
  <si>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</si>
  <si>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</si>
  <si>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</si>
  <si>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</si>
  <si>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</si>
  <si>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</si>
  <si>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</si>
  <si>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</si>
  <si>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</si>
  <si>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</si>
  <si>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</si>
  <si>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</si>
  <si>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</si>
  <si>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</si>
  <si>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</si>
  <si>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</si>
  <si>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</si>
  <si>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</si>
  <si>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</si>
  <si>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</si>
  <si>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</si>
  <si>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</si>
  <si>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</si>
  <si>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</si>
  <si>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</si>
  <si>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</si>
  <si>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</si>
  <si>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</si>
  <si>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</si>
  <si>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</si>
  <si>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</si>
  <si>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</si>
  <si>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</si>
  <si>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</si>
  <si>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</si>
  <si>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</si>
  <si>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</si>
  <si>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</si>
  <si>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</si>
  <si>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</si>
  <si>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</si>
  <si>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</si>
  <si>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</si>
  <si>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</si>
  <si>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</si>
  <si>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</si>
  <si>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</si>
  <si>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</si>
  <si>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</si>
  <si>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</si>
  <si>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</si>
  <si>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</si>
  <si>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</si>
  <si>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</si>
  <si>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</si>
  <si>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</si>
  <si>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</si>
  <si>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</si>
  <si>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</si>
  <si>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</si>
  <si>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</si>
  <si>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</si>
  <si>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</si>
  <si>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</si>
  <si>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</si>
  <si>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</si>
  <si>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</si>
  <si>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</si>
  <si>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</si>
  <si>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</si>
  <si>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</si>
  <si>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</si>
  <si>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</si>
  <si>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</si>
  <si>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</si>
  <si>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</si>
  <si>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</si>
  <si>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</si>
  <si>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</si>
  <si>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</si>
  <si>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</si>
  <si>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</si>
  <si>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</si>
  <si>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</si>
  <si>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</si>
  <si>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</si>
  <si>
    <t>29</t>
  </si>
  <si>
    <t>19</t>
  </si>
  <si>
    <t>20</t>
  </si>
  <si>
    <t>18</t>
  </si>
  <si>
    <t>17</t>
  </si>
  <si>
    <t>16</t>
  </si>
  <si>
    <t>15</t>
  </si>
  <si>
    <t>14</t>
  </si>
  <si>
    <t>12</t>
  </si>
  <si>
    <t>11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</si>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</sst>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1.8440967493960854</c:v>
                </c:pt>
                <c:pt idx="2">
                  <c:v>2.3397767225383261</c:v>
                </c:pt>
                <c:pt idx="3">
                  <c:v>2.9692251378239298</c:v>
                </c:pt>
                <c:pt idx="4">
                  <c:v>3.7686778222565338</c:v>
                </c:pt>
                <c:pt idx="5">
                  <c:v>4.7842208479495723</c:v>
                </c:pt>
                <c:pt idx="6">
                  <c:v>6.0744769252219095</c:v>
                </c:pt>
                <c:pt idx="7">
                  <c:v>7.7140266387541381</c:v>
                </c:pt>
                <c:pt idx="8">
                  <c:v>9.7977660906100486</c:v>
                </c:pt>
                <c:pt idx="9">
                  <c:v>12.446457940375948</c:v>
                </c:pt>
                <c:pt idx="10">
                  <c:v>15.813803535000055</c:v>
                </c:pt>
                <c:pt idx="11">
                  <c:v>20.095454017876332</c:v>
                </c:pt>
                <c:pt idx="12">
                  <c:v>25.540493384302135</c:v>
                </c:pt>
                <c:pt idx="13">
                  <c:v>32.466073285357531</c:v>
                </c:pt>
                <c:pt idx="14">
                  <c:v>41.27606675520061</c:v>
                </c:pt>
                <c:pt idx="15">
                  <c:v>52.484847160414972</c:v>
                </c:pt>
                <c:pt idx="16">
                  <c:v>66.747603863638901</c:v>
                </c:pt>
                <c:pt idx="17">
                  <c:v>84.898995645097301</c:v>
                </c:pt>
                <c:pt idx="18">
                  <c:v>108.00244019278658</c:v>
                </c:pt>
                <c:pt idx="19">
                  <c:v>137.41297279060404</c:v>
                </c:pt>
                <c:pt idx="20">
                  <c:v>174.8574178159995</c:v>
                </c:pt>
                <c:pt idx="21">
                  <c:v>222.53665149290282</c:v>
                </c:pt>
                <c:pt idx="22">
                  <c:v>168.75667061619112</c:v>
                </c:pt>
                <c:pt idx="23">
                  <c:v>188.97408626306841</c:v>
                </c:pt>
                <c:pt idx="24">
                  <c:v>209.14106954499564</c:v>
                </c:pt>
                <c:pt idx="25">
                  <c:v>229.26316865848699</c:v>
                </c:pt>
                <c:pt idx="26">
                  <c:v>249.34487716008638</c:v>
                </c:pt>
                <c:pt idx="27">
                  <c:v>269.38990512338603</c:v>
                </c:pt>
                <c:pt idx="28">
                  <c:v>289.40136514946477</c:v>
                </c:pt>
                <c:pt idx="29">
                  <c:v>242.80327727023788</c:v>
                </c:pt>
                <c:pt idx="30">
                  <c:v>264.55540625187342</c:v>
                </c:pt>
                <c:pt idx="31">
                  <c:v>286.26720910143626</c:v>
                </c:pt>
                <c:pt idx="32">
                  <c:v>307.94217323717993</c:v>
                </c:pt>
                <c:pt idx="33">
                  <c:v>329.58325501039627</c:v>
                </c:pt>
                <c:pt idx="34">
                  <c:v>351.19299087374617</c:v>
                </c:pt>
                <c:pt idx="35">
                  <c:v>372.77357972834852</c:v>
                </c:pt>
                <c:pt idx="36">
                  <c:v>310.3705645962005</c:v>
                </c:pt>
                <c:pt idx="37">
                  <c:v>332.16291001549854</c:v>
                </c:pt>
                <c:pt idx="38">
                  <c:v>353.92374107920108</c:v>
                </c:pt>
                <c:pt idx="39">
                  <c:v>375.65526675033772</c:v>
                </c:pt>
                <c:pt idx="40">
                  <c:v>397.35941965516275</c:v>
                </c:pt>
                <c:pt idx="41">
                  <c:v>419.03790416885477</c:v>
                </c:pt>
                <c:pt idx="42">
                  <c:v>440.69223402870369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407.29156713376284</c:v>
                </c:pt>
                <c:pt idx="46">
                  <c:v>428.11550550227395</c:v>
                </c:pt>
                <c:pt idx="47">
                  <c:v>448.91767507952301</c:v>
                </c:pt>
                <c:pt idx="48">
                  <c:v>469.69922578809798</c:v>
                </c:pt>
                <c:pt idx="49">
                  <c:v>490.46119756343541</c:v>
                </c:pt>
                <c:pt idx="50">
                  <c:v>402.35883668560945</c:v>
                </c:pt>
                <c:pt idx="51">
                  <c:v>421.65245364552817</c:v>
                </c:pt>
                <c:pt idx="52">
                  <c:v>440.92706835035824</c:v>
                </c:pt>
                <c:pt idx="53">
                  <c:v>460.18362785912086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445.53319473983169</c:v>
                </c:pt>
                <c:pt idx="58">
                  <c:v>463.13961636412455</c:v>
                </c:pt>
                <c:pt idx="59">
                  <c:v>480.73176524290034</c:v>
                </c:pt>
                <c:pt idx="60">
                  <c:v>498.31023693169203</c:v>
                </c:pt>
                <c:pt idx="61">
                  <c:v>515.87558156393754</c:v>
                </c:pt>
                <c:pt idx="62">
                  <c:v>533.42830877562312</c:v>
                </c:pt>
                <c:pt idx="63">
                  <c:v>550.96889194826019</c:v>
                </c:pt>
                <c:pt idx="64">
                  <c:v>472.35430760583853</c:v>
                </c:pt>
                <c:pt idx="65">
                  <c:v>488.11156591254894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551.03641277035774</c:v>
                </c:pt>
                <c:pt idx="70">
                  <c:v>566.74332225455589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289.40050775542744</c:v>
                </c:pt>
                <c:pt idx="32">
                  <c:v>306.89948661909699</c:v>
                </c:pt>
                <c:pt idx="33">
                  <c:v>324.37629966034979</c:v>
                </c:pt>
                <c:pt idx="34">
                  <c:v>341.83230892368027</c:v>
                </c:pt>
                <c:pt idx="35">
                  <c:v>359.26872600336202</c:v>
                </c:pt>
                <c:pt idx="36">
                  <c:v>247.89733645105048</c:v>
                </c:pt>
                <c:pt idx="37">
                  <c:v>268.19388020667242</c:v>
                </c:pt>
                <c:pt idx="38">
                  <c:v>288.45583932928992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349.06002407123123</c:v>
                </c:pt>
                <c:pt idx="42">
                  <c:v>285.79224141654964</c:v>
                </c:pt>
                <c:pt idx="43">
                  <c:v>306.09401640717584</c:v>
                </c:pt>
                <c:pt idx="44">
                  <c:v>326.36586944014988</c:v>
                </c:pt>
                <c:pt idx="45">
                  <c:v>346.60991967996728</c:v>
                </c:pt>
                <c:pt idx="46">
                  <c:v>366.82801859171582</c:v>
                </c:pt>
                <c:pt idx="47">
                  <c:v>387.02179695470659</c:v>
                </c:pt>
                <c:pt idx="48">
                  <c:v>407.19270154733073</c:v>
                </c:pt>
                <c:pt idx="49">
                  <c:v>322.52624611434112</c:v>
                </c:pt>
                <c:pt idx="50">
                  <c:v>341.75417681771779</c:v>
                </c:pt>
                <c:pt idx="51">
                  <c:v>360.95833005636814</c:v>
                </c:pt>
                <c:pt idx="52">
                  <c:v>380.1401482882859</c:v>
                </c:pt>
                <c:pt idx="53">
                  <c:v>399.30091656620215</c:v>
                </c:pt>
                <c:pt idx="54">
                  <c:v>418.44178659894874</c:v>
                </c:pt>
                <c:pt idx="55">
                  <c:v>437.56379618008327</c:v>
                </c:pt>
                <c:pt idx="56">
                  <c:v>358.1923298746517</c:v>
                </c:pt>
                <c:pt idx="57">
                  <c:v>376.29808691039688</c:v>
                </c:pt>
                <c:pt idx="58">
                  <c:v>394.38487870170007</c:v>
                </c:pt>
                <c:pt idx="59">
                  <c:v>412.45369704960859</c:v>
                </c:pt>
                <c:pt idx="60">
                  <c:v>430.50543979939113</c:v>
                </c:pt>
                <c:pt idx="61">
                  <c:v>448.54092338886767</c:v>
                </c:pt>
                <c:pt idx="62">
                  <c:v>466.56089327347848</c:v>
                </c:pt>
                <c:pt idx="63">
                  <c:v>484.566032657113</c:v>
                </c:pt>
                <c:pt idx="64">
                  <c:v>412.17893074941094</c:v>
                </c:pt>
                <c:pt idx="65">
                  <c:v>429.64045267146849</c:v>
                </c:pt>
                <c:pt idx="66">
                  <c:v>447.08672748141771</c:v>
                </c:pt>
                <c:pt idx="67">
                  <c:v>464.51843363445613</c:v>
                </c:pt>
                <c:pt idx="68">
                  <c:v>481.93619453558489</c:v>
                </c:pt>
                <c:pt idx="69">
                  <c:v>499.34058487547162</c:v>
                </c:pt>
                <c:pt idx="70">
                  <c:v>516.73213603723286</c:v>
                </c:pt>
                <c:pt idx="71">
                  <c:v>534.11134073767676</c:v>
                </c:pt>
                <c:pt idx="72">
                  <c:v>465.17954885268068</c:v>
                </c:pt>
                <c:pt idx="73">
                  <c:v>482.04316980390831</c:v>
                </c:pt>
                <c:pt idx="74">
                  <c:v>498.89426037594109</c:v>
                </c:pt>
                <c:pt idx="75">
                  <c:v>515.73330318528826</c:v>
                </c:pt>
                <c:pt idx="76">
                  <c:v>532.56074677914273</c:v>
                </c:pt>
                <c:pt idx="77">
                  <c:v>549.37700906307055</c:v>
                </c:pt>
                <c:pt idx="78">
                  <c:v>566.18248028736241</c:v>
                </c:pt>
                <c:pt idx="79">
                  <c:v>582.97752566054464</c:v>
                </c:pt>
                <c:pt idx="80">
                  <c:v>599.76248764621096</c:v>
                </c:pt>
                <c:pt idx="81">
                  <c:v>518.0920654638179</c:v>
                </c:pt>
                <c:pt idx="82">
                  <c:v>534.17244594763577</c:v>
                </c:pt>
                <c:pt idx="83">
                  <c:v>550.24264963990152</c:v>
                </c:pt>
                <c:pt idx="84">
                  <c:v>566.30301546114617</c:v>
                </c:pt>
                <c:pt idx="85">
                  <c:v>582.35386155149297</c:v>
                </c:pt>
                <c:pt idx="86">
                  <c:v>598.39548709420319</c:v>
                </c:pt>
                <c:pt idx="87">
                  <c:v>614.42817393361736</c:v>
                </c:pt>
                <c:pt idx="88">
                  <c:v>630.45218801553858</c:v>
                </c:pt>
                <c:pt idx="89">
                  <c:v>646.46778067365187</c:v>
                </c:pt>
                <c:pt idx="90">
                  <c:v>556.15206169982298</c:v>
                </c:pt>
                <c:pt idx="91">
                  <c:v>571.53037088991744</c:v>
                </c:pt>
                <c:pt idx="92">
                  <c:v>586.90003943089675</c:v>
                </c:pt>
                <c:pt idx="93">
                  <c:v>602.26132535349996</c:v>
                </c:pt>
                <c:pt idx="94">
                  <c:v>617.6144724600515</c:v>
                </c:pt>
                <c:pt idx="95">
                  <c:v>632.95971145054534</c:v>
                </c:pt>
                <c:pt idx="96">
                  <c:v>648.29726093391253</c:v>
                </c:pt>
                <c:pt idx="97">
                  <c:v>663.62732833867358</c:v>
                </c:pt>
                <c:pt idx="98">
                  <c:v>678.95011073512637</c:v>
                </c:pt>
                <c:pt idx="99">
                  <c:v>694.26579557950515</c:v>
                </c:pt>
                <c:pt idx="100">
                  <c:v>606.63308794985471</c:v>
                </c:pt>
                <c:pt idx="101">
                  <c:v>621.5892527220193</c:v>
                </c:pt>
                <c:pt idx="102">
                  <c:v>636.53796577494199</c:v>
                </c:pt>
                <c:pt idx="103">
                  <c:v>651.47942665572896</c:v>
                </c:pt>
                <c:pt idx="104">
                  <c:v>666.41382501786154</c:v>
                </c:pt>
                <c:pt idx="105">
                  <c:v>681.34134132702627</c:v>
                </c:pt>
                <c:pt idx="106">
                  <c:v>696.26214750191332</c:v>
                </c:pt>
                <c:pt idx="107">
                  <c:v>711.17640749727252</c:v>
                </c:pt>
                <c:pt idx="108">
                  <c:v>726.08427783555044</c:v>
                </c:pt>
                <c:pt idx="109">
                  <c:v>740.98590809263044</c:v>
                </c:pt>
                <c:pt idx="110">
                  <c:v>646.18020296138832</c:v>
                </c:pt>
                <c:pt idx="111">
                  <c:v>660.80226469034744</c:v>
                </c:pt>
                <c:pt idx="112">
                  <c:v>675.41766750836871</c:v>
                </c:pt>
                <c:pt idx="113">
                  <c:v>690.02657571578584</c:v>
                </c:pt>
                <c:pt idx="114">
                  <c:v>704.62914609342113</c:v>
                </c:pt>
                <c:pt idx="115">
                  <c:v>719.22552839864738</c:v>
                </c:pt>
                <c:pt idx="116">
                  <c:v>733.81586581911597</c:v>
                </c:pt>
                <c:pt idx="117">
                  <c:v>748.40029538855242</c:v>
                </c:pt>
                <c:pt idx="118">
                  <c:v>762.97894836847979</c:v>
                </c:pt>
                <c:pt idx="119">
                  <c:v>777.55195059927792</c:v>
                </c:pt>
                <c:pt idx="120">
                  <c:v>464.90453348622708</c:v>
                </c:pt>
                <c:pt idx="121">
                  <c:v>473.14200892852961</c:v>
                </c:pt>
                <c:pt idx="122">
                  <c:v>481.37643199343648</c:v>
                </c:pt>
                <c:pt idx="123">
                  <c:v>489.60786227699901</c:v>
                </c:pt>
                <c:pt idx="124">
                  <c:v>328.15381176580001</c:v>
                </c:pt>
                <c:pt idx="125">
                  <c:v>333.21377234826514</c:v>
                </c:pt>
                <c:pt idx="126">
                  <c:v>338.27203930015764</c:v>
                </c:pt>
                <c:pt idx="127">
                  <c:v>343.32864155402285</c:v>
                </c:pt>
                <c:pt idx="128">
                  <c:v>238.10594921033294</c:v>
                </c:pt>
                <c:pt idx="129">
                  <c:v>241.39406120554747</c:v>
                </c:pt>
                <c:pt idx="130">
                  <c:v>244.6811538808515</c:v>
                </c:pt>
                <c:pt idx="131">
                  <c:v>247.96724289368069</c:v>
                </c:pt>
                <c:pt idx="132">
                  <c:v>1.3303388911427938E-11</c:v>
                </c:pt>
                <c:pt idx="133">
                  <c:v>1.3303388911427938E-11</c:v>
                </c:pt>
                <c:pt idx="134">
                  <c:v>1.3303388911427938E-11</c:v>
                </c:pt>
                <c:pt idx="135">
                  <c:v>1.3303388911427938E-11</c:v>
                </c:pt>
                <c:pt idx="136">
                  <c:v>1.3303388911427938E-11</c:v>
                </c:pt>
                <c:pt idx="137">
                  <c:v>1.3303388911427938E-11</c:v>
                </c:pt>
                <c:pt idx="138">
                  <c:v>1.3303388911427938E-11</c:v>
                </c:pt>
                <c:pt idx="139">
                  <c:v>1.3303388911427938E-11</c:v>
                </c:pt>
                <c:pt idx="140">
                  <c:v>1.3303388911427938E-11</c:v>
                </c:pt>
                <c:pt idx="141">
                  <c:v>1.3303388911427938E-11</c:v>
                </c:pt>
                <c:pt idx="142">
                  <c:v>1.3303388911427938E-11</c:v>
                </c:pt>
                <c:pt idx="143">
                  <c:v>1.3303388911427938E-11</c:v>
                </c:pt>
                <c:pt idx="144">
                  <c:v>1.3303388911427938E-11</c:v>
                </c:pt>
                <c:pt idx="145">
                  <c:v>1.3303388911427938E-11</c:v>
                </c:pt>
                <c:pt idx="146">
                  <c:v>1.3303388911427938E-11</c:v>
                </c:pt>
                <c:pt idx="147">
                  <c:v>1.3303388911427938E-11</c:v>
                </c:pt>
                <c:pt idx="148">
                  <c:v>1.3303388911427938E-11</c:v>
                </c:pt>
                <c:pt idx="149">
                  <c:v>1.3303388911427938E-11</c:v>
                </c:pt>
                <c:pt idx="150">
                  <c:v>1.3303388911427938E-11</c:v>
                </c:pt>
                <c:pt idx="151">
                  <c:v>1.3303388911427938E-11</c:v>
                </c:pt>
                <c:pt idx="152">
                  <c:v>1.3303388911427938E-11</c:v>
                </c:pt>
                <c:pt idx="153">
                  <c:v>1.3303388911427938E-11</c:v>
                </c:pt>
                <c:pt idx="154">
                  <c:v>1.3303388911427938E-11</c:v>
                </c:pt>
                <c:pt idx="155">
                  <c:v>1.3303388911427938E-11</c:v>
                </c:pt>
                <c:pt idx="156">
                  <c:v>1.3303388911427938E-11</c:v>
                </c:pt>
                <c:pt idx="157">
                  <c:v>1.3303388911427938E-11</c:v>
                </c:pt>
                <c:pt idx="158">
                  <c:v>1.3303388911427938E-11</c:v>
                </c:pt>
                <c:pt idx="159">
                  <c:v>1.3303388911427938E-11</c:v>
                </c:pt>
                <c:pt idx="160">
                  <c:v>1.3303388911427938E-11</c:v>
                </c:pt>
                <c:pt idx="161">
                  <c:v>1.3303388911427938E-11</c:v>
                </c:pt>
                <c:pt idx="162">
                  <c:v>1.3303388911427938E-11</c:v>
                </c:pt>
                <c:pt idx="163">
                  <c:v>1.3303388911427938E-11</c:v>
                </c:pt>
                <c:pt idx="164">
                  <c:v>1.3303388911427938E-11</c:v>
                </c:pt>
                <c:pt idx="165">
                  <c:v>1.3303388911427938E-11</c:v>
                </c:pt>
                <c:pt idx="166">
                  <c:v>1.3303388911427938E-11</c:v>
                </c:pt>
                <c:pt idx="167">
                  <c:v>1.3303388911427938E-11</c:v>
                </c:pt>
                <c:pt idx="168">
                  <c:v>1.3303388911427938E-11</c:v>
                </c:pt>
                <c:pt idx="169">
                  <c:v>1.3303388911427938E-11</c:v>
                </c:pt>
                <c:pt idx="170">
                  <c:v>1.3303388911427938E-11</c:v>
                </c:pt>
                <c:pt idx="171">
                  <c:v>1.3303388911427938E-11</c:v>
                </c:pt>
                <c:pt idx="172">
                  <c:v>1.3303388911427938E-11</c:v>
                </c:pt>
                <c:pt idx="173">
                  <c:v>1.3303388911427938E-11</c:v>
                </c:pt>
                <c:pt idx="174">
                  <c:v>1.3303388911427938E-11</c:v>
                </c:pt>
                <c:pt idx="175">
                  <c:v>1.3303388911427938E-11</c:v>
                </c:pt>
                <c:pt idx="176">
                  <c:v>1.3303388911427938E-11</c:v>
                </c:pt>
                <c:pt idx="177">
                  <c:v>1.3303388911427938E-11</c:v>
                </c:pt>
                <c:pt idx="178">
                  <c:v>1.3303388911427938E-11</c:v>
                </c:pt>
                <c:pt idx="179">
                  <c:v>1.3303388911427938E-11</c:v>
                </c:pt>
                <c:pt idx="180">
                  <c:v>1.3303388911427938E-11</c:v>
                </c:pt>
                <c:pt idx="181">
                  <c:v>1.3303388911427938E-11</c:v>
                </c:pt>
                <c:pt idx="182">
                  <c:v>1.3303388911427938E-11</c:v>
                </c:pt>
                <c:pt idx="183">
                  <c:v>1.3303388911427938E-11</c:v>
                </c:pt>
                <c:pt idx="184">
                  <c:v>1.3303388911427938E-11</c:v>
                </c:pt>
                <c:pt idx="185">
                  <c:v>1.3303388911427938E-11</c:v>
                </c:pt>
                <c:pt idx="186">
                  <c:v>1.3303388911427938E-11</c:v>
                </c:pt>
                <c:pt idx="187">
                  <c:v>1.3303388911427938E-11</c:v>
                </c:pt>
                <c:pt idx="188">
                  <c:v>1.3303388911427938E-11</c:v>
                </c:pt>
                <c:pt idx="189">
                  <c:v>1.3303388911427938E-11</c:v>
                </c:pt>
                <c:pt idx="190">
                  <c:v>1.3303388911427938E-11</c:v>
                </c:pt>
                <c:pt idx="191">
                  <c:v>1.3303388911427938E-11</c:v>
                </c:pt>
                <c:pt idx="192">
                  <c:v>1.3303388911427938E-11</c:v>
                </c:pt>
                <c:pt idx="193">
                  <c:v>1.3303388911427938E-11</c:v>
                </c:pt>
                <c:pt idx="194">
                  <c:v>1.3303388911427938E-11</c:v>
                </c:pt>
                <c:pt idx="195">
                  <c:v>1.3303388911427938E-11</c:v>
                </c:pt>
                <c:pt idx="196">
                  <c:v>1.3303388911427938E-11</c:v>
                </c:pt>
                <c:pt idx="197">
                  <c:v>1.3303388911427938E-11</c:v>
                </c:pt>
                <c:pt idx="198">
                  <c:v>1.3303388911427938E-11</c:v>
                </c:pt>
                <c:pt idx="199">
                  <c:v>1.3303388911427938E-11</c:v>
                </c:pt>
                <c:pt idx="200">
                  <c:v>1.3303388911427938E-11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2.8921893493094593</c:v>
                </c:pt>
                <c:pt idx="2">
                  <c:v>3.292895428717586</c:v>
                </c:pt>
                <c:pt idx="3">
                  <c:v>3.7493148768501912</c:v>
                </c:pt>
                <c:pt idx="4">
                  <c:v>4.2692197805864094</c:v>
                </c:pt>
                <c:pt idx="5">
                  <c:v>4.8614698220151711</c:v>
                </c:pt>
                <c:pt idx="6">
                  <c:v>5.536164913107215</c:v>
                </c:pt>
                <c:pt idx="7">
                  <c:v>6.3048193087018776</c:v>
                </c:pt>
                <c:pt idx="8">
                  <c:v>7.1805602276132028</c:v>
                </c:pt>
                <c:pt idx="9">
                  <c:v>8.1783544400165056</c:v>
                </c:pt>
                <c:pt idx="10">
                  <c:v>9.3152667683187129</c:v>
                </c:pt>
                <c:pt idx="11">
                  <c:v>10.61075500705698</c:v>
                </c:pt>
                <c:pt idx="12">
                  <c:v>12.087006404848054</c:v>
                </c:pt>
                <c:pt idx="13">
                  <c:v>13.769321579262659</c:v>
                </c:pt>
                <c:pt idx="14">
                  <c:v>15.68655256655976</c:v>
                </c:pt>
                <c:pt idx="15">
                  <c:v>17.871602657145793</c:v>
                </c:pt>
                <c:pt idx="16">
                  <c:v>20.361996751170608</c:v>
                </c:pt>
                <c:pt idx="17">
                  <c:v>23.200532205964958</c:v>
                </c:pt>
                <c:pt idx="18">
                  <c:v>26.436021559916156</c:v>
                </c:pt>
                <c:pt idx="19">
                  <c:v>30.12414013083308</c:v>
                </c:pt>
                <c:pt idx="20">
                  <c:v>34.328393329385442</c:v>
                </c:pt>
                <c:pt idx="21">
                  <c:v>39.121220632395428</c:v>
                </c:pt>
                <c:pt idx="22">
                  <c:v>44.585255563829399</c:v>
                </c:pt>
                <c:pt idx="23">
                  <c:v>50.814763775804799</c:v>
                </c:pt>
                <c:pt idx="24">
                  <c:v>57.917284456370197</c:v>
                </c:pt>
                <c:pt idx="25">
                  <c:v>66.015503870736651</c:v>
                </c:pt>
                <c:pt idx="26">
                  <c:v>75.249393931444175</c:v>
                </c:pt>
                <c:pt idx="27">
                  <c:v>85.778653363089177</c:v>
                </c:pt>
                <c:pt idx="28">
                  <c:v>97.785494361494955</c:v>
                </c:pt>
                <c:pt idx="29">
                  <c:v>111.47782374015451</c:v>
                </c:pt>
                <c:pt idx="30">
                  <c:v>127.09287451648635</c:v>
                </c:pt>
                <c:pt idx="31">
                  <c:v>134.76447728551739</c:v>
                </c:pt>
                <c:pt idx="32">
                  <c:v>142.42555918727373</c:v>
                </c:pt>
                <c:pt idx="33">
                  <c:v>150.07676688703506</c:v>
                </c:pt>
                <c:pt idx="34">
                  <c:v>157.71867560119844</c:v>
                </c:pt>
                <c:pt idx="35">
                  <c:v>165.35180014909886</c:v>
                </c:pt>
                <c:pt idx="36">
                  <c:v>172.97660385278888</c:v>
                </c:pt>
                <c:pt idx="37">
                  <c:v>180.59350578226181</c:v>
                </c:pt>
                <c:pt idx="38">
                  <c:v>188.20288671202786</c:v>
                </c:pt>
                <c:pt idx="39">
                  <c:v>195.80509406219895</c:v>
                </c:pt>
                <c:pt idx="40">
                  <c:v>203.40044603075521</c:v>
                </c:pt>
                <c:pt idx="41">
                  <c:v>210.98923507529756</c:v>
                </c:pt>
                <c:pt idx="42">
                  <c:v>218.57173086690716</c:v>
                </c:pt>
                <c:pt idx="43">
                  <c:v>226.14818281207758</c:v>
                </c:pt>
                <c:pt idx="44">
                  <c:v>233.7188222185431</c:v>
                </c:pt>
                <c:pt idx="45">
                  <c:v>241.28386416543833</c:v>
                </c:pt>
                <c:pt idx="46">
                  <c:v>248.84350912635531</c:v>
                </c:pt>
                <c:pt idx="47">
                  <c:v>256.39794438462371</c:v>
                </c:pt>
                <c:pt idx="48">
                  <c:v>263.94734527288102</c:v>
                </c:pt>
                <c:pt idx="49">
                  <c:v>271.49187626325755</c:v>
                </c:pt>
                <c:pt idx="50">
                  <c:v>279.03169192991805</c:v>
                </c:pt>
                <c:pt idx="51">
                  <c:v>286.5669378020246</c:v>
                </c:pt>
                <c:pt idx="52">
                  <c:v>294.09775112221104</c:v>
                </c:pt>
                <c:pt idx="53">
                  <c:v>301.62426152323741</c:v>
                </c:pt>
                <c:pt idx="54">
                  <c:v>309.14659163351809</c:v>
                </c:pt>
                <c:pt idx="55">
                  <c:v>316.66485762058386</c:v>
                </c:pt>
                <c:pt idx="56">
                  <c:v>324.17916968019557</c:v>
                </c:pt>
                <c:pt idx="57">
                  <c:v>331.6896324777029</c:v>
                </c:pt>
                <c:pt idx="58">
                  <c:v>339.19634554731169</c:v>
                </c:pt>
                <c:pt idx="59">
                  <c:v>346.69940365413612</c:v>
                </c:pt>
                <c:pt idx="60">
                  <c:v>354.19889712325016</c:v>
                </c:pt>
                <c:pt idx="61">
                  <c:v>236.06042444919694</c:v>
                </c:pt>
                <c:pt idx="62">
                  <c:v>246.54144516115068</c:v>
                </c:pt>
                <c:pt idx="63">
                  <c:v>257.01234986057875</c:v>
                </c:pt>
                <c:pt idx="64">
                  <c:v>267.47360906349462</c:v>
                </c:pt>
                <c:pt idx="65">
                  <c:v>277.92565344773811</c:v>
                </c:pt>
                <c:pt idx="66">
                  <c:v>288.36887862985992</c:v>
                </c:pt>
                <c:pt idx="67">
                  <c:v>298.803649213303</c:v>
                </c:pt>
                <c:pt idx="68">
                  <c:v>309.23030224113444</c:v>
                </c:pt>
                <c:pt idx="69">
                  <c:v>319.64915015845571</c:v>
                </c:pt>
                <c:pt idx="70">
                  <c:v>259.56819607397614</c:v>
                </c:pt>
                <c:pt idx="71">
                  <c:v>269.71954699543193</c:v>
                </c:pt>
                <c:pt idx="72">
                  <c:v>279.86230026001277</c:v>
                </c:pt>
                <c:pt idx="73">
                  <c:v>289.99681160231415</c:v>
                </c:pt>
                <c:pt idx="74">
                  <c:v>300.12340984576855</c:v>
                </c:pt>
                <c:pt idx="75">
                  <c:v>310.24239979747352</c:v>
                </c:pt>
                <c:pt idx="76">
                  <c:v>320.35406474535739</c:v>
                </c:pt>
                <c:pt idx="77">
                  <c:v>330.45866862339625</c:v>
                </c:pt>
                <c:pt idx="78">
                  <c:v>285.93269195146809</c:v>
                </c:pt>
                <c:pt idx="79">
                  <c:v>295.99767822320644</c:v>
                </c:pt>
                <c:pt idx="80">
                  <c:v>306.05503328423191</c:v>
                </c:pt>
                <c:pt idx="81">
                  <c:v>316.10504341456323</c:v>
                </c:pt>
                <c:pt idx="82">
                  <c:v>326.14797519337407</c:v>
                </c:pt>
                <c:pt idx="83">
                  <c:v>336.18407743276293</c:v>
                </c:pt>
                <c:pt idx="84">
                  <c:v>346.21358286842496</c:v>
                </c:pt>
                <c:pt idx="85">
                  <c:v>356.23670964408615</c:v>
                </c:pt>
                <c:pt idx="86">
                  <c:v>366.25366262007537</c:v>
                </c:pt>
                <c:pt idx="87">
                  <c:v>317.43760859975288</c:v>
                </c:pt>
                <c:pt idx="88">
                  <c:v>327.44769891066966</c:v>
                </c:pt>
                <c:pt idx="89">
                  <c:v>337.45103386309484</c:v>
                </c:pt>
                <c:pt idx="90">
                  <c:v>347.44784205210908</c:v>
                </c:pt>
                <c:pt idx="91">
                  <c:v>357.43833783790683</c:v>
                </c:pt>
                <c:pt idx="92">
                  <c:v>367.42272261391037</c:v>
                </c:pt>
                <c:pt idx="93">
                  <c:v>377.4011859297932</c:v>
                </c:pt>
                <c:pt idx="94">
                  <c:v>387.37390648949105</c:v>
                </c:pt>
                <c:pt idx="95">
                  <c:v>397.34105304104179</c:v>
                </c:pt>
                <c:pt idx="96">
                  <c:v>342.09412946337983</c:v>
                </c:pt>
                <c:pt idx="97">
                  <c:v>352.06825096832722</c:v>
                </c:pt>
                <c:pt idx="98">
                  <c:v>362.03617927271171</c:v>
                </c:pt>
                <c:pt idx="99">
                  <c:v>371.99810901531447</c:v>
                </c:pt>
                <c:pt idx="100">
                  <c:v>381.95422355474449</c:v>
                </c:pt>
                <c:pt idx="101">
                  <c:v>391.90469590651173</c:v>
                </c:pt>
                <c:pt idx="102">
                  <c:v>401.84968957993448</c:v>
                </c:pt>
                <c:pt idx="103">
                  <c:v>411.78935932785498</c:v>
                </c:pt>
                <c:pt idx="104">
                  <c:v>421.72385182017484</c:v>
                </c:pt>
                <c:pt idx="105">
                  <c:v>371.68432965332585</c:v>
                </c:pt>
                <c:pt idx="106">
                  <c:v>381.74970321091718</c:v>
                </c:pt>
                <c:pt idx="107">
                  <c:v>391.80930668806405</c:v>
                </c:pt>
                <c:pt idx="108">
                  <c:v>401.86330917304053</c:v>
                </c:pt>
                <c:pt idx="109">
                  <c:v>411.91187060003563</c:v>
                </c:pt>
                <c:pt idx="110">
                  <c:v>421.95514246076851</c:v>
                </c:pt>
                <c:pt idx="111">
                  <c:v>431.99326844480385</c:v>
                </c:pt>
                <c:pt idx="112">
                  <c:v>442.02638501723794</c:v>
                </c:pt>
                <c:pt idx="113">
                  <c:v>452.05462194119445</c:v>
                </c:pt>
                <c:pt idx="114">
                  <c:v>399.41162111656575</c:v>
                </c:pt>
                <c:pt idx="115">
                  <c:v>409.5976355997538</c:v>
                </c:pt>
                <c:pt idx="116">
                  <c:v>419.77818106299884</c:v>
                </c:pt>
                <c:pt idx="117">
                  <c:v>429.95340888037941</c:v>
                </c:pt>
                <c:pt idx="118">
                  <c:v>440.12346267465927</c:v>
                </c:pt>
                <c:pt idx="119">
                  <c:v>450.28847888799083</c:v>
                </c:pt>
                <c:pt idx="120">
                  <c:v>460.4485872983916</c:v>
                </c:pt>
                <c:pt idx="121">
                  <c:v>470.6039114882567</c:v>
                </c:pt>
                <c:pt idx="122">
                  <c:v>480.754569270319</c:v>
                </c:pt>
                <c:pt idx="123">
                  <c:v>422.51567080802869</c:v>
                </c:pt>
                <c:pt idx="124">
                  <c:v>432.81459339737802</c:v>
                </c:pt>
                <c:pt idx="125">
                  <c:v>443.10825393940587</c:v>
                </c:pt>
                <c:pt idx="126">
                  <c:v>453.39679193493549</c:v>
                </c:pt>
                <c:pt idx="127">
                  <c:v>463.68034003588826</c:v>
                </c:pt>
                <c:pt idx="128">
                  <c:v>473.95902452922945</c:v>
                </c:pt>
                <c:pt idx="129">
                  <c:v>484.23296577674256</c:v>
                </c:pt>
                <c:pt idx="130">
                  <c:v>494.50227861553572</c:v>
                </c:pt>
                <c:pt idx="131">
                  <c:v>504.76707272354651</c:v>
                </c:pt>
                <c:pt idx="132">
                  <c:v>515.02745295376701</c:v>
                </c:pt>
                <c:pt idx="133">
                  <c:v>453.35875589955543</c:v>
                </c:pt>
                <c:pt idx="134">
                  <c:v>463.92473871971191</c:v>
                </c:pt>
                <c:pt idx="135">
                  <c:v>474.48559012175355</c:v>
                </c:pt>
                <c:pt idx="136">
                  <c:v>485.04144043196425</c:v>
                </c:pt>
                <c:pt idx="137">
                  <c:v>495.59241384085993</c:v>
                </c:pt>
                <c:pt idx="138">
                  <c:v>506.13862881932693</c:v>
                </c:pt>
                <c:pt idx="139">
                  <c:v>516.68019849827408</c:v>
                </c:pt>
                <c:pt idx="140">
                  <c:v>527.21723101568784</c:v>
                </c:pt>
                <c:pt idx="141">
                  <c:v>537.74982983450229</c:v>
                </c:pt>
                <c:pt idx="142">
                  <c:v>548.27809403427182</c:v>
                </c:pt>
                <c:pt idx="143">
                  <c:v>558.80211857927736</c:v>
                </c:pt>
                <c:pt idx="144">
                  <c:v>569.3219945653874</c:v>
                </c:pt>
                <c:pt idx="145">
                  <c:v>490.52660380183335</c:v>
                </c:pt>
                <c:pt idx="146">
                  <c:v>501.29762303787646</c:v>
                </c:pt>
                <c:pt idx="147">
                  <c:v>512.06374536102055</c:v>
                </c:pt>
                <c:pt idx="148">
                  <c:v>522.82508824272259</c:v>
                </c:pt>
                <c:pt idx="149">
                  <c:v>533.58176392425173</c:v>
                </c:pt>
                <c:pt idx="150">
                  <c:v>544.33387975253879</c:v>
                </c:pt>
                <c:pt idx="151">
                  <c:v>555.08153848811401</c:v>
                </c:pt>
                <c:pt idx="152">
                  <c:v>565.82483858795592</c:v>
                </c:pt>
                <c:pt idx="153">
                  <c:v>576.56387446574752</c:v>
                </c:pt>
                <c:pt idx="154">
                  <c:v>587.2987367317354</c:v>
                </c:pt>
                <c:pt idx="155">
                  <c:v>598.02951241414564</c:v>
                </c:pt>
                <c:pt idx="156">
                  <c:v>608.75628516388485</c:v>
                </c:pt>
                <c:pt idx="157">
                  <c:v>523.8645116390893</c:v>
                </c:pt>
                <c:pt idx="158">
                  <c:v>534.81025805684249</c:v>
                </c:pt>
                <c:pt idx="159">
                  <c:v>545.7512948654886</c:v>
                </c:pt>
                <c:pt idx="160">
                  <c:v>556.68772978241236</c:v>
                </c:pt>
                <c:pt idx="161">
                  <c:v>567.61966594795911</c:v>
                </c:pt>
                <c:pt idx="162">
                  <c:v>578.54720220619367</c:v>
                </c:pt>
                <c:pt idx="163">
                  <c:v>589.47043336334775</c:v>
                </c:pt>
                <c:pt idx="164">
                  <c:v>600.38945042611965</c:v>
                </c:pt>
                <c:pt idx="165">
                  <c:v>611.30434082174111</c:v>
                </c:pt>
                <c:pt idx="166">
                  <c:v>622.21518860151571</c:v>
                </c:pt>
                <c:pt idx="167">
                  <c:v>633.122074629341</c:v>
                </c:pt>
                <c:pt idx="168">
                  <c:v>644.02507675657091</c:v>
                </c:pt>
                <c:pt idx="169">
                  <c:v>551.47542473858311</c:v>
                </c:pt>
                <c:pt idx="170">
                  <c:v>562.39484325891044</c:v>
                </c:pt>
                <c:pt idx="171">
                  <c:v>573.30982705492534</c:v>
                </c:pt>
                <c:pt idx="172">
                  <c:v>584.22047244634405</c:v>
                </c:pt>
                <c:pt idx="173">
                  <c:v>595.12687186244455</c:v>
                </c:pt>
                <c:pt idx="174">
                  <c:v>606.02911406913233</c:v>
                </c:pt>
                <c:pt idx="175">
                  <c:v>616.92728437882158</c:v>
                </c:pt>
                <c:pt idx="176">
                  <c:v>627.82146484471832</c:v>
                </c:pt>
                <c:pt idx="177">
                  <c:v>638.71173444092369</c:v>
                </c:pt>
                <c:pt idx="178">
                  <c:v>649.59816922961807</c:v>
                </c:pt>
                <c:pt idx="179">
                  <c:v>660.48084251646003</c:v>
                </c:pt>
                <c:pt idx="180">
                  <c:v>671.35982499521697</c:v>
                </c:pt>
                <c:pt idx="181">
                  <c:v>424.53316838752318</c:v>
                </c:pt>
                <c:pt idx="182">
                  <c:v>431.39493113565976</c:v>
                </c:pt>
                <c:pt idx="183">
                  <c:v>438.25434933866364</c:v>
                </c:pt>
                <c:pt idx="184">
                  <c:v>445.11146489313757</c:v>
                </c:pt>
                <c:pt idx="185">
                  <c:v>302.34378891288083</c:v>
                </c:pt>
                <c:pt idx="186">
                  <c:v>306.79031143242565</c:v>
                </c:pt>
                <c:pt idx="187">
                  <c:v>311.23540170483733</c:v>
                </c:pt>
                <c:pt idx="188">
                  <c:v>315.67908310463127</c:v>
                </c:pt>
                <c:pt idx="189">
                  <c:v>212.78988974757408</c:v>
                </c:pt>
                <c:pt idx="190">
                  <c:v>215.66744618519044</c:v>
                </c:pt>
                <c:pt idx="191">
                  <c:v>218.54411904584265</c:v>
                </c:pt>
                <c:pt idx="192">
                  <c:v>8.0084827664495574E-12</c:v>
                </c:pt>
                <c:pt idx="193">
                  <c:v>8.0084827664495574E-12</c:v>
                </c:pt>
                <c:pt idx="194">
                  <c:v>8.0084827664495574E-12</c:v>
                </c:pt>
                <c:pt idx="195">
                  <c:v>8.0084827664495574E-12</c:v>
                </c:pt>
                <c:pt idx="196">
                  <c:v>8.0084827664495574E-12</c:v>
                </c:pt>
                <c:pt idx="197">
                  <c:v>8.0084827664495574E-12</c:v>
                </c:pt>
                <c:pt idx="198">
                  <c:v>8.0084827664495574E-12</c:v>
                </c:pt>
                <c:pt idx="199">
                  <c:v>8.0084827664495574E-12</c:v>
                </c:pt>
                <c:pt idx="200">
                  <c:v>8.0084827664495574E-12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3.5079290983114433</c:v>
                </c:pt>
                <c:pt idx="2">
                  <c:v>4.6359878825480276</c:v>
                </c:pt>
                <c:pt idx="3">
                  <c:v>6.1282576251184997</c:v>
                </c:pt>
                <c:pt idx="4">
                  <c:v>8.1027710833797961</c:v>
                </c:pt>
                <c:pt idx="5">
                  <c:v>10.715946242702252</c:v>
                </c:pt>
                <c:pt idx="6">
                  <c:v>14.175109652753262</c:v>
                </c:pt>
                <c:pt idx="7">
                  <c:v>18.755117590148</c:v>
                </c:pt>
                <c:pt idx="8">
                  <c:v>24.820419516506192</c:v>
                </c:pt>
                <c:pt idx="9">
                  <c:v>32.854350484346199</c:v>
                </c:pt>
                <c:pt idx="10">
                  <c:v>43.498027075339301</c:v>
                </c:pt>
                <c:pt idx="11">
                  <c:v>57.060169133698679</c:v>
                </c:pt>
                <c:pt idx="12">
                  <c:v>70.537409450574799</c:v>
                </c:pt>
                <c:pt idx="13">
                  <c:v>83.948379030908328</c:v>
                </c:pt>
                <c:pt idx="14">
                  <c:v>97.305204010497206</c:v>
                </c:pt>
                <c:pt idx="15">
                  <c:v>110.61638527930711</c:v>
                </c:pt>
                <c:pt idx="16">
                  <c:v>128.9130744021389</c:v>
                </c:pt>
                <c:pt idx="17">
                  <c:v>147.14684893940074</c:v>
                </c:pt>
                <c:pt idx="18">
                  <c:v>165.3266136473124</c:v>
                </c:pt>
                <c:pt idx="19">
                  <c:v>183.4591485952582</c:v>
                </c:pt>
                <c:pt idx="20">
                  <c:v>201.54978110052437</c:v>
                </c:pt>
                <c:pt idx="21">
                  <c:v>153.97018794674287</c:v>
                </c:pt>
                <c:pt idx="22">
                  <c:v>172.13153631847419</c:v>
                </c:pt>
                <c:pt idx="23">
                  <c:v>190.24779644553783</c:v>
                </c:pt>
                <c:pt idx="24">
                  <c:v>208.3238677726421</c:v>
                </c:pt>
                <c:pt idx="25">
                  <c:v>226.3637288579913</c:v>
                </c:pt>
                <c:pt idx="26">
                  <c:v>201.54978110052437</c:v>
                </c:pt>
                <c:pt idx="27">
                  <c:v>219.6028024980769</c:v>
                </c:pt>
                <c:pt idx="28">
                  <c:v>237.62174013263061</c:v>
                </c:pt>
                <c:pt idx="29">
                  <c:v>255.60954227321292</c:v>
                </c:pt>
                <c:pt idx="30">
                  <c:v>273.56870812584947</c:v>
                </c:pt>
                <c:pt idx="31">
                  <c:v>244.82044838046261</c:v>
                </c:pt>
                <c:pt idx="32">
                  <c:v>261.00019511445589</c:v>
                </c:pt>
                <c:pt idx="33">
                  <c:v>277.15729902737081</c:v>
                </c:pt>
                <c:pt idx="34">
                  <c:v>293.29326588987982</c:v>
                </c:pt>
                <c:pt idx="35">
                  <c:v>309.40942222562171</c:v>
                </c:pt>
                <c:pt idx="36">
                  <c:v>280.2964598668309</c:v>
                </c:pt>
                <c:pt idx="37">
                  <c:v>295.98063417932605</c:v>
                </c:pt>
                <c:pt idx="38">
                  <c:v>311.64627846088428</c:v>
                </c:pt>
                <c:pt idx="39">
                  <c:v>327.29445525818045</c:v>
                </c:pt>
                <c:pt idx="40">
                  <c:v>342.92611721533927</c:v>
                </c:pt>
                <c:pt idx="41">
                  <c:v>312.54092102829401</c:v>
                </c:pt>
                <c:pt idx="42">
                  <c:v>326.84759797683068</c:v>
                </c:pt>
                <c:pt idx="43">
                  <c:v>341.1404493366004</c:v>
                </c:pt>
                <c:pt idx="44">
                  <c:v>355.42013595735625</c:v>
                </c:pt>
                <c:pt idx="45">
                  <c:v>369.68726124979753</c:v>
                </c:pt>
                <c:pt idx="46">
                  <c:v>340.6940002860228</c:v>
                </c:pt>
                <c:pt idx="47">
                  <c:v>354.08195790136142</c:v>
                </c:pt>
                <c:pt idx="48">
                  <c:v>367.45882798761664</c:v>
                </c:pt>
                <c:pt idx="49">
                  <c:v>380.82507105894388</c:v>
                </c:pt>
                <c:pt idx="50">
                  <c:v>394.18111266295523</c:v>
                </c:pt>
                <c:pt idx="51">
                  <c:v>365.67586899258453</c:v>
                </c:pt>
                <c:pt idx="52">
                  <c:v>377.26175403181099</c:v>
                </c:pt>
                <c:pt idx="53">
                  <c:v>388.83989430006523</c:v>
                </c:pt>
                <c:pt idx="54">
                  <c:v>400.41055295678444</c:v>
                </c:pt>
                <c:pt idx="55">
                  <c:v>411.97397670838626</c:v>
                </c:pt>
                <c:pt idx="56">
                  <c:v>385.27819834042498</c:v>
                </c:pt>
                <c:pt idx="57">
                  <c:v>396.40615590256039</c:v>
                </c:pt>
                <c:pt idx="58">
                  <c:v>407.52734715549917</c:v>
                </c:pt>
                <c:pt idx="59">
                  <c:v>418.64198281510266</c:v>
                </c:pt>
                <c:pt idx="60">
                  <c:v>429.75026149342511</c:v>
                </c:pt>
                <c:pt idx="61">
                  <c:v>403.96928903724796</c:v>
                </c:pt>
                <c:pt idx="62">
                  <c:v>413.75233778325588</c:v>
                </c:pt>
                <c:pt idx="63">
                  <c:v>423.53039727970054</c:v>
                </c:pt>
                <c:pt idx="64">
                  <c:v>433.30359899233423</c:v>
                </c:pt>
                <c:pt idx="65">
                  <c:v>443.07206797078311</c:v>
                </c:pt>
                <c:pt idx="66">
                  <c:v>419.08643473326879</c:v>
                </c:pt>
                <c:pt idx="67">
                  <c:v>428.41759739850778</c:v>
                </c:pt>
                <c:pt idx="68">
                  <c:v>437.74439157568872</c:v>
                </c:pt>
                <c:pt idx="69">
                  <c:v>447.06692349854637</c:v>
                </c:pt>
                <c:pt idx="70">
                  <c:v>456.38529460741051</c:v>
                </c:pt>
                <c:pt idx="71">
                  <c:v>432.85946614650521</c:v>
                </c:pt>
                <c:pt idx="72">
                  <c:v>440.40840252576191</c:v>
                </c:pt>
                <c:pt idx="73">
                  <c:v>447.95456512007007</c:v>
                </c:pt>
                <c:pt idx="74">
                  <c:v>455.49800727179553</c:v>
                </c:pt>
                <c:pt idx="75">
                  <c:v>463.03878041146299</c:v>
                </c:pt>
                <c:pt idx="76">
                  <c:v>443.51597878791563</c:v>
                </c:pt>
                <c:pt idx="77">
                  <c:v>450.61726441852403</c:v>
                </c:pt>
                <c:pt idx="78">
                  <c:v>457.71615652908667</c:v>
                </c:pt>
                <c:pt idx="79">
                  <c:v>464.81269749872399</c:v>
                </c:pt>
                <c:pt idx="80">
                  <c:v>471.90692830623613</c:v>
                </c:pt>
                <c:pt idx="81">
                  <c:v>453.72332170031183</c:v>
                </c:pt>
                <c:pt idx="82">
                  <c:v>459.93407619305043</c:v>
                </c:pt>
                <c:pt idx="83">
                  <c:v>466.14304053131747</c:v>
                </c:pt>
                <c:pt idx="84">
                  <c:v>472.35024193902171</c:v>
                </c:pt>
                <c:pt idx="85">
                  <c:v>478.5557068657443</c:v>
                </c:pt>
                <c:pt idx="86">
                  <c:v>462.59527850651193</c:v>
                </c:pt>
                <c:pt idx="87">
                  <c:v>468.80348401547377</c:v>
                </c:pt>
                <c:pt idx="88">
                  <c:v>475.00993802231642</c:v>
                </c:pt>
                <c:pt idx="89">
                  <c:v>481.21466665466613</c:v>
                </c:pt>
                <c:pt idx="90">
                  <c:v>487.41769531100323</c:v>
                </c:pt>
                <c:pt idx="91">
                  <c:v>471.46360580465716</c:v>
                </c:pt>
                <c:pt idx="92">
                  <c:v>477.66931720920002</c:v>
                </c:pt>
                <c:pt idx="93">
                  <c:v>483.87331421183421</c:v>
                </c:pt>
                <c:pt idx="94">
                  <c:v>490.07562190769653</c:v>
                </c:pt>
                <c:pt idx="95">
                  <c:v>496.2762647045401</c:v>
                </c:pt>
                <c:pt idx="96">
                  <c:v>478.55570686574464</c:v>
                </c:pt>
                <c:pt idx="97">
                  <c:v>485.20252151676618</c:v>
                </c:pt>
                <c:pt idx="98">
                  <c:v>491.84740297234777</c:v>
                </c:pt>
                <c:pt idx="99">
                  <c:v>498.49038104754055</c:v>
                </c:pt>
                <c:pt idx="100">
                  <c:v>505.13148469753696</c:v>
                </c:pt>
                <c:pt idx="101">
                  <c:v>480.77152842586838</c:v>
                </c:pt>
                <c:pt idx="102">
                  <c:v>480.77152842586838</c:v>
                </c:pt>
                <c:pt idx="103">
                  <c:v>480.77152842586838</c:v>
                </c:pt>
                <c:pt idx="104">
                  <c:v>480.77152842586838</c:v>
                </c:pt>
                <c:pt idx="105">
                  <c:v>480.77152842586838</c:v>
                </c:pt>
                <c:pt idx="106">
                  <c:v>480.77152842586838</c:v>
                </c:pt>
                <c:pt idx="107">
                  <c:v>480.77152842586838</c:v>
                </c:pt>
                <c:pt idx="108">
                  <c:v>480.77152842586838</c:v>
                </c:pt>
                <c:pt idx="109">
                  <c:v>480.77152842586838</c:v>
                </c:pt>
                <c:pt idx="110">
                  <c:v>480.77152842586838</c:v>
                </c:pt>
                <c:pt idx="111">
                  <c:v>480.77152842586838</c:v>
                </c:pt>
                <c:pt idx="112">
                  <c:v>480.77152842586838</c:v>
                </c:pt>
                <c:pt idx="113">
                  <c:v>480.77152842586838</c:v>
                </c:pt>
                <c:pt idx="114">
                  <c:v>480.77152842586838</c:v>
                </c:pt>
                <c:pt idx="115">
                  <c:v>480.77152842586838</c:v>
                </c:pt>
                <c:pt idx="116">
                  <c:v>480.77152842586838</c:v>
                </c:pt>
                <c:pt idx="117">
                  <c:v>480.77152842586838</c:v>
                </c:pt>
                <c:pt idx="118">
                  <c:v>480.77152842586838</c:v>
                </c:pt>
                <c:pt idx="119">
                  <c:v>480.77152842586838</c:v>
                </c:pt>
                <c:pt idx="120">
                  <c:v>480.77152842586838</c:v>
                </c:pt>
                <c:pt idx="121">
                  <c:v>480.77152842586838</c:v>
                </c:pt>
                <c:pt idx="122">
                  <c:v>480.77152842586838</c:v>
                </c:pt>
                <c:pt idx="123">
                  <c:v>480.77152842586838</c:v>
                </c:pt>
                <c:pt idx="124">
                  <c:v>480.77152842586838</c:v>
                </c:pt>
                <c:pt idx="125">
                  <c:v>480.77152842586838</c:v>
                </c:pt>
                <c:pt idx="126">
                  <c:v>480.77152842586838</c:v>
                </c:pt>
                <c:pt idx="127">
                  <c:v>480.77152842586838</c:v>
                </c:pt>
                <c:pt idx="128">
                  <c:v>480.77152842586838</c:v>
                </c:pt>
                <c:pt idx="129">
                  <c:v>480.77152842586838</c:v>
                </c:pt>
                <c:pt idx="130">
                  <c:v>480.77152842586838</c:v>
                </c:pt>
                <c:pt idx="131">
                  <c:v>480.77152842586838</c:v>
                </c:pt>
                <c:pt idx="132">
                  <c:v>480.77152842586838</c:v>
                </c:pt>
                <c:pt idx="133">
                  <c:v>480.77152842586838</c:v>
                </c:pt>
                <c:pt idx="134">
                  <c:v>480.77152842586838</c:v>
                </c:pt>
                <c:pt idx="135">
                  <c:v>480.77152842586838</c:v>
                </c:pt>
                <c:pt idx="136">
                  <c:v>480.77152842586838</c:v>
                </c:pt>
                <c:pt idx="137">
                  <c:v>480.77152842586838</c:v>
                </c:pt>
                <c:pt idx="138">
                  <c:v>480.77152842586838</c:v>
                </c:pt>
                <c:pt idx="139">
                  <c:v>480.77152842586838</c:v>
                </c:pt>
                <c:pt idx="140">
                  <c:v>480.77152842586838</c:v>
                </c:pt>
                <c:pt idx="141">
                  <c:v>480.77152842586838</c:v>
                </c:pt>
                <c:pt idx="142">
                  <c:v>480.77152842586838</c:v>
                </c:pt>
                <c:pt idx="143">
                  <c:v>480.77152842586838</c:v>
                </c:pt>
                <c:pt idx="144">
                  <c:v>480.77152842586838</c:v>
                </c:pt>
                <c:pt idx="145">
                  <c:v>480.77152842586838</c:v>
                </c:pt>
                <c:pt idx="146">
                  <c:v>480.77152842586838</c:v>
                </c:pt>
                <c:pt idx="147">
                  <c:v>480.77152842586838</c:v>
                </c:pt>
                <c:pt idx="148">
                  <c:v>480.77152842586838</c:v>
                </c:pt>
                <c:pt idx="149">
                  <c:v>480.77152842586838</c:v>
                </c:pt>
                <c:pt idx="150">
                  <c:v>480.77152842586838</c:v>
                </c:pt>
                <c:pt idx="151">
                  <c:v>480.77152842586838</c:v>
                </c:pt>
                <c:pt idx="152">
                  <c:v>480.77152842586838</c:v>
                </c:pt>
                <c:pt idx="153">
                  <c:v>480.77152842586838</c:v>
                </c:pt>
                <c:pt idx="154">
                  <c:v>480.77152842586838</c:v>
                </c:pt>
                <c:pt idx="155">
                  <c:v>480.77152842586838</c:v>
                </c:pt>
                <c:pt idx="156">
                  <c:v>480.77152842586838</c:v>
                </c:pt>
                <c:pt idx="157">
                  <c:v>480.77152842586838</c:v>
                </c:pt>
                <c:pt idx="158">
                  <c:v>480.77152842586838</c:v>
                </c:pt>
                <c:pt idx="159">
                  <c:v>480.77152842586838</c:v>
                </c:pt>
                <c:pt idx="160">
                  <c:v>480.77152842586838</c:v>
                </c:pt>
                <c:pt idx="161">
                  <c:v>480.77152842586838</c:v>
                </c:pt>
                <c:pt idx="162">
                  <c:v>480.77152842586838</c:v>
                </c:pt>
                <c:pt idx="163">
                  <c:v>480.77152842586838</c:v>
                </c:pt>
                <c:pt idx="164">
                  <c:v>480.77152842586838</c:v>
                </c:pt>
                <c:pt idx="165">
                  <c:v>480.77152842586838</c:v>
                </c:pt>
                <c:pt idx="166">
                  <c:v>480.77152842586838</c:v>
                </c:pt>
                <c:pt idx="167">
                  <c:v>480.77152842586838</c:v>
                </c:pt>
                <c:pt idx="168">
                  <c:v>480.77152842586838</c:v>
                </c:pt>
                <c:pt idx="169">
                  <c:v>480.77152842586838</c:v>
                </c:pt>
                <c:pt idx="170">
                  <c:v>480.77152842586838</c:v>
                </c:pt>
                <c:pt idx="171">
                  <c:v>480.77152842586838</c:v>
                </c:pt>
                <c:pt idx="172">
                  <c:v>480.77152842586838</c:v>
                </c:pt>
                <c:pt idx="173">
                  <c:v>480.77152842586838</c:v>
                </c:pt>
                <c:pt idx="174">
                  <c:v>480.77152842586838</c:v>
                </c:pt>
                <c:pt idx="175">
                  <c:v>480.77152842586838</c:v>
                </c:pt>
                <c:pt idx="176">
                  <c:v>480.77152842586838</c:v>
                </c:pt>
                <c:pt idx="177">
                  <c:v>480.77152842586838</c:v>
                </c:pt>
                <c:pt idx="178">
                  <c:v>480.77152842586838</c:v>
                </c:pt>
                <c:pt idx="179">
                  <c:v>480.77152842586838</c:v>
                </c:pt>
                <c:pt idx="180">
                  <c:v>480.77152842586838</c:v>
                </c:pt>
                <c:pt idx="181">
                  <c:v>480.77152842586838</c:v>
                </c:pt>
                <c:pt idx="182">
                  <c:v>480.77152842586838</c:v>
                </c:pt>
                <c:pt idx="183">
                  <c:v>480.77152842586838</c:v>
                </c:pt>
                <c:pt idx="184">
                  <c:v>480.77152842586838</c:v>
                </c:pt>
                <c:pt idx="185">
                  <c:v>480.77152842586838</c:v>
                </c:pt>
                <c:pt idx="186">
                  <c:v>480.77152842586838</c:v>
                </c:pt>
                <c:pt idx="187">
                  <c:v>480.77152842586838</c:v>
                </c:pt>
                <c:pt idx="188">
                  <c:v>480.77152842586838</c:v>
                </c:pt>
                <c:pt idx="189">
                  <c:v>480.77152842586838</c:v>
                </c:pt>
                <c:pt idx="190">
                  <c:v>480.77152842586838</c:v>
                </c:pt>
                <c:pt idx="191">
                  <c:v>480.77152842586838</c:v>
                </c:pt>
                <c:pt idx="192">
                  <c:v>480.77152842586838</c:v>
                </c:pt>
                <c:pt idx="193">
                  <c:v>480.77152842586838</c:v>
                </c:pt>
                <c:pt idx="194">
                  <c:v>480.77152842586838</c:v>
                </c:pt>
                <c:pt idx="195">
                  <c:v>480.77152842586838</c:v>
                </c:pt>
                <c:pt idx="196">
                  <c:v>480.77152842586838</c:v>
                </c:pt>
                <c:pt idx="197">
                  <c:v>480.77152842586838</c:v>
                </c:pt>
                <c:pt idx="198">
                  <c:v>480.77152842586838</c:v>
                </c:pt>
                <c:pt idx="199">
                  <c:v>480.77152842586838</c:v>
                </c:pt>
                <c:pt idx="200">
                  <c:v>480.77152842586838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2.80033121253499</c:v>
                </c:pt>
                <c:pt idx="2">
                  <c:v>3.2331920402022267</c:v>
                </c:pt>
                <c:pt idx="3">
                  <c:v>3.7332025678630338</c:v>
                </c:pt>
                <c:pt idx="4">
                  <c:v>4.3108149429188805</c:v>
                </c:pt>
                <c:pt idx="5">
                  <c:v>4.9781133777906152</c:v>
                </c:pt>
                <c:pt idx="6">
                  <c:v>5.7490697393039083</c:v>
                </c:pt>
                <c:pt idx="7">
                  <c:v>6.6398392731882963</c:v>
                </c:pt>
                <c:pt idx="8">
                  <c:v>7.6691027817963127</c:v>
                </c:pt>
                <c:pt idx="9">
                  <c:v>8.8584625700164565</c:v>
                </c:pt>
                <c:pt idx="10">
                  <c:v>10.232900628832473</c:v>
                </c:pt>
                <c:pt idx="11">
                  <c:v>11.821308863037162</c:v>
                </c:pt>
                <c:pt idx="12">
                  <c:v>13.657102718169881</c:v>
                </c:pt>
                <c:pt idx="13">
                  <c:v>15.77893135533084</c:v>
                </c:pt>
                <c:pt idx="14">
                  <c:v>18.231499599972256</c:v>
                </c:pt>
                <c:pt idx="15">
                  <c:v>21.066519297081395</c:v>
                </c:pt>
                <c:pt idx="16">
                  <c:v>24.343810492506289</c:v>
                </c:pt>
                <c:pt idx="17">
                  <c:v>28.132576088968303</c:v>
                </c:pt>
                <c:pt idx="18">
                  <c:v>32.512877365593162</c:v>
                </c:pt>
                <c:pt idx="19">
                  <c:v>37.57734208274011</c:v>
                </c:pt>
                <c:pt idx="20">
                  <c:v>43.433141913583228</c:v>
                </c:pt>
                <c:pt idx="21">
                  <c:v>50.204281759315286</c:v>
                </c:pt>
                <c:pt idx="22">
                  <c:v>58.03425024235446</c:v>
                </c:pt>
                <c:pt idx="23">
                  <c:v>67.089088477976034</c:v>
                </c:pt>
                <c:pt idx="24">
                  <c:v>77.560943269096967</c:v>
                </c:pt>
                <c:pt idx="25">
                  <c:v>89.672181348239192</c:v>
                </c:pt>
                <c:pt idx="26">
                  <c:v>103.68015343301619</c:v>
                </c:pt>
                <c:pt idx="27">
                  <c:v>119.88271093114093</c:v>
                </c:pt>
                <c:pt idx="28">
                  <c:v>138.62459443431774</c:v>
                </c:pt>
                <c:pt idx="29">
                  <c:v>160.30483203260653</c:v>
                </c:pt>
                <c:pt idx="30">
                  <c:v>185.38530737361916</c:v>
                </c:pt>
                <c:pt idx="31">
                  <c:v>196.37533783443902</c:v>
                </c:pt>
                <c:pt idx="32">
                  <c:v>207.35108824704912</c:v>
                </c:pt>
                <c:pt idx="33">
                  <c:v>218.31342161081352</c:v>
                </c:pt>
                <c:pt idx="34">
                  <c:v>229.26310709251729</c:v>
                </c:pt>
                <c:pt idx="35">
                  <c:v>240.20083432049225</c:v>
                </c:pt>
                <c:pt idx="36">
                  <c:v>251.12722493560943</c:v>
                </c:pt>
                <c:pt idx="37">
                  <c:v>262.04284202449577</c:v>
                </c:pt>
                <c:pt idx="38">
                  <c:v>272.94819789712841</c:v>
                </c:pt>
                <c:pt idx="39">
                  <c:v>283.84376055529771</c:v>
                </c:pt>
                <c:pt idx="40">
                  <c:v>294.72995911512686</c:v>
                </c:pt>
                <c:pt idx="41">
                  <c:v>305.60718838596318</c:v>
                </c:pt>
                <c:pt idx="42">
                  <c:v>316.4758127628665</c:v>
                </c:pt>
                <c:pt idx="43">
                  <c:v>327.33616955611961</c:v>
                </c:pt>
                <c:pt idx="44">
                  <c:v>338.18857185554612</c:v>
                </c:pt>
                <c:pt idx="45">
                  <c:v>220.60470895888159</c:v>
                </c:pt>
                <c:pt idx="46">
                  <c:v>234.60392856819058</c:v>
                </c:pt>
                <c:pt idx="47">
                  <c:v>248.58409025616402</c:v>
                </c:pt>
                <c:pt idx="48">
                  <c:v>262.54641706022585</c:v>
                </c:pt>
                <c:pt idx="49">
                  <c:v>276.49199124793489</c:v>
                </c:pt>
                <c:pt idx="50">
                  <c:v>290.42177695391069</c:v>
                </c:pt>
                <c:pt idx="51">
                  <c:v>304.33663824269297</c:v>
                </c:pt>
                <c:pt idx="52">
                  <c:v>240.41935872090417</c:v>
                </c:pt>
                <c:pt idx="53">
                  <c:v>253.50865855137769</c:v>
                </c:pt>
                <c:pt idx="54">
                  <c:v>266.58265739444079</c:v>
                </c:pt>
                <c:pt idx="55">
                  <c:v>279.64221160679057</c:v>
                </c:pt>
                <c:pt idx="56">
                  <c:v>292.6880909926802</c:v>
                </c:pt>
                <c:pt idx="57">
                  <c:v>305.72099110209916</c:v>
                </c:pt>
                <c:pt idx="58">
                  <c:v>318.74154332078069</c:v>
                </c:pt>
                <c:pt idx="59">
                  <c:v>331.75032322437022</c:v>
                </c:pt>
                <c:pt idx="60">
                  <c:v>264.48165557092597</c:v>
                </c:pt>
                <c:pt idx="61">
                  <c:v>276.62240947152162</c:v>
                </c:pt>
                <c:pt idx="62">
                  <c:v>288.75120300595034</c:v>
                </c:pt>
                <c:pt idx="63">
                  <c:v>300.86860954335856</c:v>
                </c:pt>
                <c:pt idx="64">
                  <c:v>312.97515247729331</c:v>
                </c:pt>
                <c:pt idx="65">
                  <c:v>325.07131138762742</c:v>
                </c:pt>
                <c:pt idx="66">
                  <c:v>337.15752723690747</c:v>
                </c:pt>
                <c:pt idx="67">
                  <c:v>349.23420678233242</c:v>
                </c:pt>
                <c:pt idx="68">
                  <c:v>295.70900070054716</c:v>
                </c:pt>
                <c:pt idx="69">
                  <c:v>307.30433706893126</c:v>
                </c:pt>
                <c:pt idx="70">
                  <c:v>318.88995436923523</c:v>
                </c:pt>
                <c:pt idx="71">
                  <c:v>330.46625560244939</c:v>
                </c:pt>
                <c:pt idx="72">
                  <c:v>342.03361321930743</c:v>
                </c:pt>
                <c:pt idx="73">
                  <c:v>353.5923724131722</c:v>
                </c:pt>
                <c:pt idx="74">
                  <c:v>365.14285395969938</c:v>
                </c:pt>
                <c:pt idx="75">
                  <c:v>376.68535667831543</c:v>
                </c:pt>
                <c:pt idx="76">
                  <c:v>325.07022459446569</c:v>
                </c:pt>
                <c:pt idx="77">
                  <c:v>336.26433346535657</c:v>
                </c:pt>
                <c:pt idx="78">
                  <c:v>347.45023779511899</c:v>
                </c:pt>
                <c:pt idx="79">
                  <c:v>358.62823904709302</c:v>
                </c:pt>
                <c:pt idx="80">
                  <c:v>369.79861835176501</c:v>
                </c:pt>
                <c:pt idx="81">
                  <c:v>380.96163846407029</c:v>
                </c:pt>
                <c:pt idx="82">
                  <c:v>392.11754547924482</c:v>
                </c:pt>
                <c:pt idx="83">
                  <c:v>403.26657034317213</c:v>
                </c:pt>
                <c:pt idx="84">
                  <c:v>414.40893018695834</c:v>
                </c:pt>
                <c:pt idx="85">
                  <c:v>353.95577071128059</c:v>
                </c:pt>
                <c:pt idx="86">
                  <c:v>364.63498264849346</c:v>
                </c:pt>
                <c:pt idx="87">
                  <c:v>375.30736346509519</c:v>
                </c:pt>
                <c:pt idx="88">
                  <c:v>385.97313486442658</c:v>
                </c:pt>
                <c:pt idx="89">
                  <c:v>396.63250529300484</c:v>
                </c:pt>
                <c:pt idx="90">
                  <c:v>407.28567107582967</c:v>
                </c:pt>
                <c:pt idx="91">
                  <c:v>417.93281742668711</c:v>
                </c:pt>
                <c:pt idx="92">
                  <c:v>428.57411935011061</c:v>
                </c:pt>
                <c:pt idx="93">
                  <c:v>439.2097424490762</c:v>
                </c:pt>
                <c:pt idx="94">
                  <c:v>388.96939364255013</c:v>
                </c:pt>
                <c:pt idx="95">
                  <c:v>399.62224069425901</c:v>
                </c:pt>
                <c:pt idx="96">
                  <c:v>410.26894164564254</c:v>
                </c:pt>
                <c:pt idx="97">
                  <c:v>420.90967851722456</c:v>
                </c:pt>
                <c:pt idx="98">
                  <c:v>431.54462337332347</c:v>
                </c:pt>
                <c:pt idx="99">
                  <c:v>442.17393910383311</c:v>
                </c:pt>
                <c:pt idx="100">
                  <c:v>452.79778012690167</c:v>
                </c:pt>
                <c:pt idx="101">
                  <c:v>463.41629302222265</c:v>
                </c:pt>
                <c:pt idx="102">
                  <c:v>474.02961710325332</c:v>
                </c:pt>
                <c:pt idx="103">
                  <c:v>484.63788493551419</c:v>
                </c:pt>
                <c:pt idx="104">
                  <c:v>415.10943513621038</c:v>
                </c:pt>
                <c:pt idx="105">
                  <c:v>425.41949941830768</c:v>
                </c:pt>
                <c:pt idx="106">
                  <c:v>435.724189378208</c:v>
                </c:pt>
                <c:pt idx="107">
                  <c:v>446.02365006516692</c:v>
                </c:pt>
                <c:pt idx="108">
                  <c:v>456.3180192815957</c:v>
                </c:pt>
                <c:pt idx="109">
                  <c:v>466.60742810394527</c:v>
                </c:pt>
                <c:pt idx="110">
                  <c:v>476.89200135524828</c:v>
                </c:pt>
                <c:pt idx="111">
                  <c:v>487.17185803477059</c:v>
                </c:pt>
                <c:pt idx="112">
                  <c:v>497.44711170951149</c:v>
                </c:pt>
                <c:pt idx="113">
                  <c:v>507.71787087166916</c:v>
                </c:pt>
                <c:pt idx="114">
                  <c:v>454.67168843245491</c:v>
                </c:pt>
                <c:pt idx="115">
                  <c:v>465.38675976853341</c:v>
                </c:pt>
                <c:pt idx="116">
                  <c:v>476.09657210373803</c:v>
                </c:pt>
                <c:pt idx="117">
                  <c:v>486.80126042752903</c:v>
                </c:pt>
                <c:pt idx="118">
                  <c:v>497.50095330786547</c:v>
                </c:pt>
                <c:pt idx="119">
                  <c:v>508.19577333115927</c:v>
                </c:pt>
                <c:pt idx="120">
                  <c:v>518.8858375032695</c:v>
                </c:pt>
                <c:pt idx="121">
                  <c:v>529.57125761573309</c:v>
                </c:pt>
                <c:pt idx="122">
                  <c:v>540.25214058090251</c:v>
                </c:pt>
                <c:pt idx="123">
                  <c:v>550.92858873920397</c:v>
                </c:pt>
                <c:pt idx="124">
                  <c:v>561.60070014134226</c:v>
                </c:pt>
                <c:pt idx="125">
                  <c:v>572.26856880794298</c:v>
                </c:pt>
                <c:pt idx="126">
                  <c:v>485.86827596707514</c:v>
                </c:pt>
                <c:pt idx="127">
                  <c:v>496.44348170304221</c:v>
                </c:pt>
                <c:pt idx="128">
                  <c:v>507.01391614180881</c:v>
                </c:pt>
                <c:pt idx="129">
                  <c:v>517.57969278390635</c:v>
                </c:pt>
                <c:pt idx="130">
                  <c:v>528.14092011787591</c:v>
                </c:pt>
                <c:pt idx="131">
                  <c:v>538.69770193952468</c:v>
                </c:pt>
                <c:pt idx="132">
                  <c:v>549.25013764485414</c:v>
                </c:pt>
                <c:pt idx="133">
                  <c:v>559.79832249931235</c:v>
                </c:pt>
                <c:pt idx="134">
                  <c:v>570.34234788569677</c:v>
                </c:pt>
                <c:pt idx="135">
                  <c:v>580.8823015327763</c:v>
                </c:pt>
                <c:pt idx="136">
                  <c:v>591.41826772645936</c:v>
                </c:pt>
                <c:pt idx="137">
                  <c:v>601.95032750513701</c:v>
                </c:pt>
                <c:pt idx="138">
                  <c:v>509.32698658413818</c:v>
                </c:pt>
                <c:pt idx="139">
                  <c:v>519.6131170105399</c:v>
                </c:pt>
                <c:pt idx="140">
                  <c:v>529.89495428211808</c:v>
                </c:pt>
                <c:pt idx="141">
                  <c:v>540.17259344593401</c:v>
                </c:pt>
                <c:pt idx="142">
                  <c:v>550.4461256372507</c:v>
                </c:pt>
                <c:pt idx="143">
                  <c:v>560.71563831209176</c:v>
                </c:pt>
                <c:pt idx="144">
                  <c:v>570.98121546187531</c:v>
                </c:pt>
                <c:pt idx="145">
                  <c:v>581.24293781181666</c:v>
                </c:pt>
                <c:pt idx="146">
                  <c:v>591.50088300458958</c:v>
                </c:pt>
                <c:pt idx="147">
                  <c:v>601.75512577058942</c:v>
                </c:pt>
                <c:pt idx="148">
                  <c:v>612.00573808599006</c:v>
                </c:pt>
                <c:pt idx="149">
                  <c:v>622.25278931966182</c:v>
                </c:pt>
                <c:pt idx="150">
                  <c:v>385.58443738719296</c:v>
                </c:pt>
                <c:pt idx="151">
                  <c:v>391.85561736484743</c:v>
                </c:pt>
                <c:pt idx="152">
                  <c:v>398.12462062672506</c:v>
                </c:pt>
                <c:pt idx="153">
                  <c:v>404.39148631382312</c:v>
                </c:pt>
                <c:pt idx="154">
                  <c:v>265.61981298658986</c:v>
                </c:pt>
                <c:pt idx="155">
                  <c:v>269.44452913892491</c:v>
                </c:pt>
                <c:pt idx="156">
                  <c:v>273.26802309100526</c:v>
                </c:pt>
                <c:pt idx="157">
                  <c:v>277.09031439007811</c:v>
                </c:pt>
                <c:pt idx="158">
                  <c:v>185.74524606996872</c:v>
                </c:pt>
                <c:pt idx="159">
                  <c:v>188.13892084434758</c:v>
                </c:pt>
                <c:pt idx="160">
                  <c:v>190.53188525040613</c:v>
                </c:pt>
                <c:pt idx="161">
                  <c:v>192.92414949593956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3.1534690589118353</c:v>
                </c:pt>
                <c:pt idx="2">
                  <c:v>3.6411098993736544</c:v>
                </c:pt>
                <c:pt idx="3">
                  <c:v>4.2044268606027302</c:v>
                </c:pt>
                <c:pt idx="4">
                  <c:v>4.8552034117197067</c:v>
                </c:pt>
                <c:pt idx="5">
                  <c:v>5.6070635714035504</c:v>
                </c:pt>
                <c:pt idx="6">
                  <c:v>6.4757602345243841</c:v>
                </c:pt>
                <c:pt idx="7">
                  <c:v>7.4795087872720272</c:v>
                </c:pt>
                <c:pt idx="8">
                  <c:v>8.639373141963544</c:v>
                </c:pt>
                <c:pt idx="9">
                  <c:v>9.9797124481302628</c:v>
                </c:pt>
                <c:pt idx="10">
                  <c:v>11.528698039875204</c:v>
                </c:pt>
                <c:pt idx="11">
                  <c:v>13.318911689052916</c:v>
                </c:pt>
                <c:pt idx="12">
                  <c:v>15.38803798222699</c:v>
                </c:pt>
                <c:pt idx="13">
                  <c:v>17.77966566446408</c:v>
                </c:pt>
                <c:pt idx="14">
                  <c:v>20.54421513869535</c:v>
                </c:pt>
                <c:pt idx="15">
                  <c:v>23.740012026451669</c:v>
                </c:pt>
                <c:pt idx="16">
                  <c:v>27.434529843166086</c:v>
                </c:pt>
                <c:pt idx="17">
                  <c:v>31.705828487202169</c:v>
                </c:pt>
                <c:pt idx="18">
                  <c:v>36.644219465424563</c:v>
                </c:pt>
                <c:pt idx="19">
                  <c:v>42.354193671162776</c:v>
                </c:pt>
                <c:pt idx="20">
                  <c:v>48.956653199092813</c:v>
                </c:pt>
                <c:pt idx="21">
                  <c:v>56.591495249023616</c:v>
                </c:pt>
                <c:pt idx="22">
                  <c:v>65.420603779564317</c:v>
                </c:pt>
                <c:pt idx="23">
                  <c:v>75.631313388595743</c:v>
                </c:pt>
                <c:pt idx="24">
                  <c:v>87.440420112127867</c:v>
                </c:pt>
                <c:pt idx="25">
                  <c:v>101.09882566874715</c:v>
                </c:pt>
                <c:pt idx="26">
                  <c:v>116.89691539106512</c:v>
                </c:pt>
                <c:pt idx="27">
                  <c:v>135.17078597699336</c:v>
                </c:pt>
                <c:pt idx="28">
                  <c:v>156.30945760843863</c:v>
                </c:pt>
                <c:pt idx="29">
                  <c:v>180.76322632439783</c:v>
                </c:pt>
                <c:pt idx="30">
                  <c:v>209.05333726458238</c:v>
                </c:pt>
                <c:pt idx="31">
                  <c:v>221.45013352636488</c:v>
                </c:pt>
                <c:pt idx="32">
                  <c:v>233.83100699372565</c:v>
                </c:pt>
                <c:pt idx="33">
                  <c:v>246.19691994363038</c:v>
                </c:pt>
                <c:pt idx="34">
                  <c:v>258.54873002616625</c:v>
                </c:pt>
                <c:pt idx="35">
                  <c:v>270.88720620303383</c:v>
                </c:pt>
                <c:pt idx="36">
                  <c:v>283.21304162734083</c:v>
                </c:pt>
                <c:pt idx="37">
                  <c:v>295.52686416199555</c:v>
                </c:pt>
                <c:pt idx="38">
                  <c:v>307.82924505201976</c:v>
                </c:pt>
                <c:pt idx="39">
                  <c:v>320.12070613712899</c:v>
                </c:pt>
                <c:pt idx="40">
                  <c:v>332.40172589804757</c:v>
                </c:pt>
                <c:pt idx="41">
                  <c:v>344.67274456214574</c:v>
                </c:pt>
                <c:pt idx="42">
                  <c:v>356.93416844371239</c:v>
                </c:pt>
                <c:pt idx="43">
                  <c:v>369.1863736564838</c:v>
                </c:pt>
                <c:pt idx="44">
                  <c:v>381.42970930746696</c:v>
                </c:pt>
                <c:pt idx="45">
                  <c:v>248.78159697273676</c:v>
                </c:pt>
                <c:pt idx="46">
                  <c:v>264.5735092135825</c:v>
                </c:pt>
                <c:pt idx="47">
                  <c:v>280.34417115057249</c:v>
                </c:pt>
                <c:pt idx="48">
                  <c:v>296.09494651674089</c:v>
                </c:pt>
                <c:pt idx="49">
                  <c:v>311.82704208139222</c:v>
                </c:pt>
                <c:pt idx="50">
                  <c:v>327.54153289113111</c:v>
                </c:pt>
                <c:pt idx="51">
                  <c:v>343.23938241063451</c:v>
                </c:pt>
                <c:pt idx="52">
                  <c:v>271.13371764011657</c:v>
                </c:pt>
                <c:pt idx="53">
                  <c:v>285.89950657226996</c:v>
                </c:pt>
                <c:pt idx="54">
                  <c:v>300.6482343241384</c:v>
                </c:pt>
                <c:pt idx="55">
                  <c:v>315.38085576586224</c:v>
                </c:pt>
                <c:pt idx="56">
                  <c:v>330.09822925832987</c:v>
                </c:pt>
                <c:pt idx="57">
                  <c:v>344.80113036611419</c:v>
                </c:pt>
                <c:pt idx="58">
                  <c:v>359.49026310821347</c:v>
                </c:pt>
                <c:pt idx="59">
                  <c:v>374.1662692732645</c:v>
                </c:pt>
                <c:pt idx="60">
                  <c:v>298.27808925459738</c:v>
                </c:pt>
                <c:pt idx="61">
                  <c:v>311.97416874515676</c:v>
                </c:pt>
                <c:pt idx="62">
                  <c:v>325.6569119745995</c:v>
                </c:pt>
                <c:pt idx="63">
                  <c:v>339.3269582712324</c:v>
                </c:pt>
                <c:pt idx="64">
                  <c:v>352.98489123867739</c:v>
                </c:pt>
                <c:pt idx="65">
                  <c:v>366.6312456266499</c:v>
                </c:pt>
                <c:pt idx="66">
                  <c:v>380.26651312508551</c:v>
                </c:pt>
                <c:pt idx="67">
                  <c:v>393.89114728366098</c:v>
                </c:pt>
                <c:pt idx="68">
                  <c:v>333.50621544638557</c:v>
                </c:pt>
                <c:pt idx="69">
                  <c:v>346.58737323733811</c:v>
                </c:pt>
                <c:pt idx="70">
                  <c:v>359.65769389940004</c:v>
                </c:pt>
                <c:pt idx="71">
                  <c:v>372.71762679393436</c:v>
                </c:pt>
                <c:pt idx="72">
                  <c:v>385.76758721761024</c:v>
                </c:pt>
                <c:pt idx="73">
                  <c:v>398.80796007409725</c:v>
                </c:pt>
                <c:pt idx="74">
                  <c:v>411.83910304039659</c:v>
                </c:pt>
                <c:pt idx="75">
                  <c:v>424.86134931148223</c:v>
                </c:pt>
                <c:pt idx="76">
                  <c:v>366.63001954846703</c:v>
                </c:pt>
                <c:pt idx="77">
                  <c:v>379.25883721427107</c:v>
                </c:pt>
                <c:pt idx="78">
                  <c:v>391.87850650607828</c:v>
                </c:pt>
                <c:pt idx="79">
                  <c:v>404.48936356692701</c:v>
                </c:pt>
                <c:pt idx="80">
                  <c:v>417.09172186795348</c:v>
                </c:pt>
                <c:pt idx="81">
                  <c:v>429.68587439085917</c:v>
                </c:pt>
                <c:pt idx="82">
                  <c:v>442.27209554114955</c:v>
                </c:pt>
                <c:pt idx="83">
                  <c:v>454.85064283222886</c:v>
                </c:pt>
                <c:pt idx="84">
                  <c:v>467.42175837350146</c:v>
                </c:pt>
                <c:pt idx="85">
                  <c:v>399.21794092640448</c:v>
                </c:pt>
                <c:pt idx="86">
                  <c:v>411.2661252434059</c:v>
                </c:pt>
                <c:pt idx="87">
                  <c:v>423.30669260228728</c:v>
                </c:pt>
                <c:pt idx="88">
                  <c:v>435.33989021066822</c:v>
                </c:pt>
                <c:pt idx="89">
                  <c:v>447.36595049430707</c:v>
                </c:pt>
                <c:pt idx="90">
                  <c:v>459.38509236301206</c:v>
                </c:pt>
                <c:pt idx="91">
                  <c:v>471.39752233716735</c:v>
                </c:pt>
                <c:pt idx="92">
                  <c:v>483.40343555345339</c:v>
                </c:pt>
                <c:pt idx="93">
                  <c:v>495.40301666545815</c:v>
                </c:pt>
                <c:pt idx="94">
                  <c:v>438.72030552903954</c:v>
                </c:pt>
                <c:pt idx="95">
                  <c:v>450.73902924477983</c:v>
                </c:pt>
                <c:pt idx="96">
                  <c:v>462.75089982595506</c:v>
                </c:pt>
                <c:pt idx="97">
                  <c:v>474.75612023234066</c:v>
                </c:pt>
                <c:pt idx="98">
                  <c:v>486.75488232216713</c:v>
                </c:pt>
                <c:pt idx="99">
                  <c:v>498.74736772383267</c:v>
                </c:pt>
                <c:pt idx="100">
                  <c:v>510.73374861941949</c:v>
                </c:pt>
                <c:pt idx="101">
                  <c:v>522.71418845083542</c:v>
                </c:pt>
                <c:pt idx="102">
                  <c:v>534.68884255785974</c:v>
                </c:pt>
                <c:pt idx="103">
                  <c:v>546.65785875606741</c:v>
                </c:pt>
                <c:pt idx="104">
                  <c:v>468.21209011778797</c:v>
                </c:pt>
                <c:pt idx="105">
                  <c:v>479.84426792355094</c:v>
                </c:pt>
                <c:pt idx="106">
                  <c:v>491.47045315658323</c:v>
                </c:pt>
                <c:pt idx="107">
                  <c:v>503.0908075522961</c:v>
                </c:pt>
                <c:pt idx="108">
                  <c:v>514.70548476559588</c:v>
                </c:pt>
                <c:pt idx="109">
                  <c:v>526.31463095168817</c:v>
                </c:pt>
                <c:pt idx="110">
                  <c:v>537.91838529298013</c:v>
                </c:pt>
                <c:pt idx="111">
                  <c:v>549.51688047815901</c:v>
                </c:pt>
                <c:pt idx="112">
                  <c:v>561.11024313872872</c:v>
                </c:pt>
                <c:pt idx="113">
                  <c:v>572.6985942475975</c:v>
                </c:pt>
                <c:pt idx="114">
                  <c:v>512.84799871703717</c:v>
                </c:pt>
                <c:pt idx="115">
                  <c:v>524.93739421021189</c:v>
                </c:pt>
                <c:pt idx="116">
                  <c:v>537.02092571829689</c:v>
                </c:pt>
                <c:pt idx="117">
                  <c:v>549.09874375965182</c:v>
                </c:pt>
                <c:pt idx="118">
                  <c:v>561.17099169241851</c:v>
                </c:pt>
                <c:pt idx="119">
                  <c:v>573.23780620508774</c:v>
                </c:pt>
                <c:pt idx="120">
                  <c:v>585.29931776362218</c:v>
                </c:pt>
                <c:pt idx="121">
                  <c:v>597.35565101981854</c:v>
                </c:pt>
                <c:pt idx="122">
                  <c:v>609.40692518499748</c:v>
                </c:pt>
                <c:pt idx="123">
                  <c:v>621.45325437260897</c:v>
                </c:pt>
                <c:pt idx="124">
                  <c:v>633.49474791290106</c:v>
                </c:pt>
                <c:pt idx="125">
                  <c:v>645.53151064243139</c:v>
                </c:pt>
                <c:pt idx="126">
                  <c:v>548.04607929846588</c:v>
                </c:pt>
                <c:pt idx="127">
                  <c:v>559.97786488342695</c:v>
                </c:pt>
                <c:pt idx="128">
                  <c:v>571.90433029135977</c:v>
                </c:pt>
                <c:pt idx="129">
                  <c:v>583.82560207965423</c:v>
                </c:pt>
                <c:pt idx="130">
                  <c:v>595.74180121714119</c:v>
                </c:pt>
                <c:pt idx="131">
                  <c:v>607.65304344007518</c:v>
                </c:pt>
                <c:pt idx="132">
                  <c:v>619.55943957876173</c:v>
                </c:pt>
                <c:pt idx="133">
                  <c:v>631.4610958577822</c:v>
                </c:pt>
                <c:pt idx="134">
                  <c:v>643.35811417241564</c:v>
                </c:pt>
                <c:pt idx="135">
                  <c:v>655.25059234356047</c:v>
                </c:pt>
                <c:pt idx="136">
                  <c:v>667.13862435319663</c:v>
                </c:pt>
                <c:pt idx="137">
                  <c:v>679.02230056219787</c:v>
                </c:pt>
                <c:pt idx="138">
                  <c:v>574.51414186728437</c:v>
                </c:pt>
                <c:pt idx="139">
                  <c:v>586.11990350830399</c:v>
                </c:pt>
                <c:pt idx="140">
                  <c:v>597.72087811914889</c:v>
                </c:pt>
                <c:pt idx="141">
                  <c:v>609.31717168089131</c:v>
                </c:pt>
                <c:pt idx="142">
                  <c:v>620.90888581279978</c:v>
                </c:pt>
                <c:pt idx="143">
                  <c:v>632.49611803165146</c:v>
                </c:pt>
                <c:pt idx="144">
                  <c:v>644.07896199105858</c:v>
                </c:pt>
                <c:pt idx="145">
                  <c:v>655.65750770269199</c:v>
                </c:pt>
                <c:pt idx="146">
                  <c:v>667.23184174107257</c:v>
                </c:pt>
                <c:pt idx="147">
                  <c:v>678.80204743342108</c:v>
                </c:pt>
                <c:pt idx="148">
                  <c:v>690.36820503589581</c:v>
                </c:pt>
                <c:pt idx="149">
                  <c:v>701.93039189741421</c:v>
                </c:pt>
                <c:pt idx="150">
                  <c:v>434.90135751193066</c:v>
                </c:pt>
                <c:pt idx="151">
                  <c:v>441.97658421287679</c:v>
                </c:pt>
                <c:pt idx="152">
                  <c:v>449.04938379331742</c:v>
                </c:pt>
                <c:pt idx="153">
                  <c:v>456.11979989694652</c:v>
                </c:pt>
                <c:pt idx="154">
                  <c:v>299.56204668849836</c:v>
                </c:pt>
                <c:pt idx="155">
                  <c:v>303.87672636861254</c:v>
                </c:pt>
                <c:pt idx="156">
                  <c:v>308.19004324916779</c:v>
                </c:pt>
                <c:pt idx="157">
                  <c:v>312.5020191260852</c:v>
                </c:pt>
                <c:pt idx="158">
                  <c:v>209.45934642866396</c:v>
                </c:pt>
                <c:pt idx="159">
                  <c:v>212.15940571579981</c:v>
                </c:pt>
                <c:pt idx="160">
                  <c:v>214.8586729153626</c:v>
                </c:pt>
                <c:pt idx="161">
                  <c:v>217.5571594094306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2.8445538772295063</c:v>
                </c:pt>
                <c:pt idx="2">
                  <c:v>3.284273535613877</c:v>
                </c:pt>
                <c:pt idx="3">
                  <c:v>3.7922102922952434</c:v>
                </c:pt>
                <c:pt idx="4">
                  <c:v>4.3789829346453333</c:v>
                </c:pt>
                <c:pt idx="5">
                  <c:v>5.0568684072794188</c:v>
                </c:pt>
                <c:pt idx="6">
                  <c:v>5.8400614980565448</c:v>
                </c:pt>
                <c:pt idx="7">
                  <c:v>6.7449753039941669</c:v>
                </c:pt>
                <c:pt idx="8">
                  <c:v>7.7905888969266996</c:v>
                </c:pt>
                <c:pt idx="9">
                  <c:v>8.9988496216860376</c:v>
                </c:pt>
                <c:pt idx="10">
                  <c:v>10.395138632688928</c:v>
                </c:pt>
                <c:pt idx="11">
                  <c:v>12.008809633451259</c:v>
                </c:pt>
                <c:pt idx="12">
                  <c:v>13.873812357108987</c:v>
                </c:pt>
                <c:pt idx="13">
                  <c:v>16.029414148570542</c:v>
                </c:pt>
                <c:pt idx="14">
                  <c:v>18.521035119924662</c:v>
                </c:pt>
                <c:pt idx="15">
                  <c:v>21.401214795914981</c:v>
                </c:pt>
                <c:pt idx="16">
                  <c:v>24.730730998666559</c:v>
                </c:pt>
                <c:pt idx="17">
                  <c:v>28.57989500182471</c:v>
                </c:pt>
                <c:pt idx="18">
                  <c:v>33.030050785016336</c:v>
                </c:pt>
                <c:pt idx="19">
                  <c:v>38.175310622549354</c:v>
                </c:pt>
                <c:pt idx="20">
                  <c:v>44.124564341117825</c:v>
                </c:pt>
                <c:pt idx="21">
                  <c:v>51.003805490763547</c:v>
                </c:pt>
                <c:pt idx="22">
                  <c:v>58.958824519858602</c:v>
                </c:pt>
                <c:pt idx="23">
                  <c:v>68.158326977231852</c:v>
                </c:pt>
                <c:pt idx="24">
                  <c:v>78.797543955252777</c:v>
                </c:pt>
                <c:pt idx="25">
                  <c:v>91.102412636626653</c:v>
                </c:pt>
                <c:pt idx="26">
                  <c:v>105.3344171465771</c:v>
                </c:pt>
                <c:pt idx="27">
                  <c:v>121.79619420959904</c:v>
                </c:pt>
                <c:pt idx="28">
                  <c:v>140.8380246774075</c:v>
                </c:pt>
                <c:pt idx="29">
                  <c:v>162.86535119300285</c:v>
                </c:pt>
                <c:pt idx="30">
                  <c:v>188.34748450328843</c:v>
                </c:pt>
                <c:pt idx="31">
                  <c:v>199.51355751778638</c:v>
                </c:pt>
                <c:pt idx="32">
                  <c:v>210.66514383022638</c:v>
                </c:pt>
                <c:pt idx="33">
                  <c:v>221.80311892887573</c:v>
                </c:pt>
                <c:pt idx="34">
                  <c:v>232.92826311152359</c:v>
                </c:pt>
                <c:pt idx="35">
                  <c:v>244.04127598646448</c:v>
                </c:pt>
                <c:pt idx="36">
                  <c:v>255.14278819065109</c:v>
                </c:pt>
                <c:pt idx="37">
                  <c:v>266.23337095942338</c:v>
                </c:pt>
                <c:pt idx="38">
                  <c:v>277.31354401665726</c:v>
                </c:pt>
                <c:pt idx="39">
                  <c:v>288.38378213683524</c:v>
                </c:pt>
                <c:pt idx="40">
                  <c:v>299.44452064603837</c:v>
                </c:pt>
                <c:pt idx="41">
                  <c:v>310.49616006710073</c:v>
                </c:pt>
                <c:pt idx="42">
                  <c:v>321.53907006842928</c:v>
                </c:pt>
                <c:pt idx="43">
                  <c:v>332.57359284169502</c:v>
                </c:pt>
                <c:pt idx="44">
                  <c:v>343.60004600760408</c:v>
                </c:pt>
                <c:pt idx="45">
                  <c:v>224.13112047558164</c:v>
                </c:pt>
                <c:pt idx="46">
                  <c:v>238.35467317528014</c:v>
                </c:pt>
                <c:pt idx="47">
                  <c:v>252.55889215676018</c:v>
                </c:pt>
                <c:pt idx="48">
                  <c:v>266.7450181566432</c:v>
                </c:pt>
                <c:pt idx="49">
                  <c:v>280.91414910453278</c:v>
                </c:pt>
                <c:pt idx="50">
                  <c:v>295.06726308753133</c:v>
                </c:pt>
                <c:pt idx="51">
                  <c:v>309.20523667449658</c:v>
                </c:pt>
                <c:pt idx="52">
                  <c:v>244.26330259426319</c:v>
                </c:pt>
                <c:pt idx="53">
                  <c:v>257.56239224116058</c:v>
                </c:pt>
                <c:pt idx="54">
                  <c:v>270.8459594722687</c:v>
                </c:pt>
                <c:pt idx="55">
                  <c:v>284.11487303705792</c:v>
                </c:pt>
                <c:pt idx="56">
                  <c:v>297.36991388001081</c:v>
                </c:pt>
                <c:pt idx="57">
                  <c:v>310.61178761677502</c:v>
                </c:pt>
                <c:pt idx="58">
                  <c:v>323.84113477018821</c:v>
                </c:pt>
                <c:pt idx="59">
                  <c:v>337.05853924534387</c:v>
                </c:pt>
                <c:pt idx="60">
                  <c:v>268.7112782938953</c:v>
                </c:pt>
                <c:pt idx="61">
                  <c:v>281.04665813680271</c:v>
                </c:pt>
                <c:pt idx="62">
                  <c:v>293.36990452899482</c:v>
                </c:pt>
                <c:pt idx="63">
                  <c:v>305.68159913713504</c:v>
                </c:pt>
                <c:pt idx="64">
                  <c:v>317.982272929065</c:v>
                </c:pt>
                <c:pt idx="65">
                  <c:v>330.27241242490169</c:v>
                </c:pt>
                <c:pt idx="66">
                  <c:v>342.55246496858553</c:v>
                </c:pt>
                <c:pt idx="67">
                  <c:v>354.82284320370565</c:v>
                </c:pt>
                <c:pt idx="68">
                  <c:v>300.43926003821406</c:v>
                </c:pt>
                <c:pt idx="69">
                  <c:v>312.22052278591252</c:v>
                </c:pt>
                <c:pt idx="70">
                  <c:v>323.99192581594804</c:v>
                </c:pt>
                <c:pt idx="71">
                  <c:v>335.75387796134402</c:v>
                </c:pt>
                <c:pt idx="72">
                  <c:v>347.5067570627578</c:v>
                </c:pt>
                <c:pt idx="73">
                  <c:v>359.25091330902154</c:v>
                </c:pt>
                <c:pt idx="74">
                  <c:v>370.98667211789854</c:v>
                </c:pt>
                <c:pt idx="75">
                  <c:v>382.71433663318339</c:v>
                </c:pt>
                <c:pt idx="76">
                  <c:v>330.27130820262437</c:v>
                </c:pt>
                <c:pt idx="77">
                  <c:v>341.64494578691387</c:v>
                </c:pt>
                <c:pt idx="78">
                  <c:v>353.01026009798289</c:v>
                </c:pt>
                <c:pt idx="79">
                  <c:v>364.3675569618012</c:v>
                </c:pt>
                <c:pt idx="80">
                  <c:v>375.71712157723732</c:v>
                </c:pt>
                <c:pt idx="81">
                  <c:v>387.05922050168732</c:v>
                </c:pt>
                <c:pt idx="82">
                  <c:v>398.39410339175623</c:v>
                </c:pt>
                <c:pt idx="83">
                  <c:v>409.72200453546321</c:v>
                </c:pt>
                <c:pt idx="84">
                  <c:v>421.0431442061294</c:v>
                </c:pt>
                <c:pt idx="85">
                  <c:v>359.6201405577101</c:v>
                </c:pt>
                <c:pt idx="86">
                  <c:v>370.47065395285722</c:v>
                </c:pt>
                <c:pt idx="87">
                  <c:v>381.31423737076875</c:v>
                </c:pt>
                <c:pt idx="88">
                  <c:v>392.15111572316761</c:v>
                </c:pt>
                <c:pt idx="89">
                  <c:v>402.98150047310645</c:v>
                </c:pt>
                <c:pt idx="90">
                  <c:v>413.80559078670422</c:v>
                </c:pt>
                <c:pt idx="91">
                  <c:v>424.62357455806983</c:v>
                </c:pt>
                <c:pt idx="92">
                  <c:v>435.43562932431655</c:v>
                </c:pt>
                <c:pt idx="93">
                  <c:v>446.24192308494509</c:v>
                </c:pt>
                <c:pt idx="94">
                  <c:v>395.19544417615924</c:v>
                </c:pt>
                <c:pt idx="95">
                  <c:v>406.01920365917562</c:v>
                </c:pt>
                <c:pt idx="96">
                  <c:v>416.83672809851947</c:v>
                </c:pt>
                <c:pt idx="97">
                  <c:v>427.64820214882644</c:v>
                </c:pt>
                <c:pt idx="98">
                  <c:v>438.45380036444539</c:v>
                </c:pt>
                <c:pt idx="99">
                  <c:v>449.25368799253255</c:v>
                </c:pt>
                <c:pt idx="100">
                  <c:v>460.04802168589998</c:v>
                </c:pt>
                <c:pt idx="101">
                  <c:v>470.83695014547044</c:v>
                </c:pt>
                <c:pt idx="102">
                  <c:v>481.62061470077691</c:v>
                </c:pt>
                <c:pt idx="103">
                  <c:v>492.39914983576364</c:v>
                </c:pt>
                <c:pt idx="104">
                  <c:v>421.75488914200605</c:v>
                </c:pt>
                <c:pt idx="105">
                  <c:v>432.23038867220362</c:v>
                </c:pt>
                <c:pt idx="106">
                  <c:v>442.70043610565153</c:v>
                </c:pt>
                <c:pt idx="107">
                  <c:v>453.16517859068671</c:v>
                </c:pt>
                <c:pt idx="108">
                  <c:v>463.6247559239294</c:v>
                </c:pt>
                <c:pt idx="109">
                  <c:v>474.07930107870487</c:v>
                </c:pt>
                <c:pt idx="110">
                  <c:v>484.52894068442293</c:v>
                </c:pt>
                <c:pt idx="111">
                  <c:v>494.97379546244878</c:v>
                </c:pt>
                <c:pt idx="112">
                  <c:v>505.41398062326749</c:v>
                </c:pt>
                <c:pt idx="113">
                  <c:v>515.84960622912308</c:v>
                </c:pt>
                <c:pt idx="114">
                  <c:v>461.95200357411198</c:v>
                </c:pt>
                <c:pt idx="115">
                  <c:v>472.83904164349178</c:v>
                </c:pt>
                <c:pt idx="116">
                  <c:v>483.72074460631808</c:v>
                </c:pt>
                <c:pt idx="117">
                  <c:v>494.59724940555299</c:v>
                </c:pt>
                <c:pt idx="118">
                  <c:v>505.4686864697278</c:v>
                </c:pt>
                <c:pt idx="119">
                  <c:v>516.33518015926472</c:v>
                </c:pt>
                <c:pt idx="120">
                  <c:v>527.19684917327379</c:v>
                </c:pt>
                <c:pt idx="121">
                  <c:v>538.0538069210852</c:v>
                </c:pt>
                <c:pt idx="122">
                  <c:v>548.90616186223372</c:v>
                </c:pt>
                <c:pt idx="123">
                  <c:v>559.75401781816606</c:v>
                </c:pt>
                <c:pt idx="124">
                  <c:v>570.59747425852868</c:v>
                </c:pt>
                <c:pt idx="125">
                  <c:v>581.43662656456797</c:v>
                </c:pt>
                <c:pt idx="126">
                  <c:v>493.6492896849968</c:v>
                </c:pt>
                <c:pt idx="127">
                  <c:v>504.39424070485211</c:v>
                </c:pt>
                <c:pt idx="128">
                  <c:v>515.13435137963563</c:v>
                </c:pt>
                <c:pt idx="129">
                  <c:v>525.86973685240321</c:v>
                </c:pt>
                <c:pt idx="130">
                  <c:v>536.60050718168884</c:v>
                </c:pt>
                <c:pt idx="131">
                  <c:v>547.32676766538123</c:v>
                </c:pt>
                <c:pt idx="132">
                  <c:v>558.0486191378925</c:v>
                </c:pt>
                <c:pt idx="133">
                  <c:v>568.76615824330497</c:v>
                </c:pt>
                <c:pt idx="134">
                  <c:v>579.47947768686356</c:v>
                </c:pt>
                <c:pt idx="135">
                  <c:v>590.18866646690458</c:v>
                </c:pt>
                <c:pt idx="136">
                  <c:v>600.89381008908106</c:v>
                </c:pt>
                <c:pt idx="137">
                  <c:v>611.59499076453187</c:v>
                </c:pt>
                <c:pt idx="138">
                  <c:v>517.4845521341457</c:v>
                </c:pt>
                <c:pt idx="139">
                  <c:v>527.93580377962724</c:v>
                </c:pt>
                <c:pt idx="140">
                  <c:v>538.38270014185616</c:v>
                </c:pt>
                <c:pt idx="141">
                  <c:v>548.82533764336756</c:v>
                </c:pt>
                <c:pt idx="142">
                  <c:v>559.26380873828998</c:v>
                </c:pt>
                <c:pt idx="143">
                  <c:v>569.69820214826711</c:v>
                </c:pt>
                <c:pt idx="144">
                  <c:v>580.12860308019992</c:v>
                </c:pt>
                <c:pt idx="145">
                  <c:v>590.55509342751941</c:v>
                </c:pt>
                <c:pt idx="146">
                  <c:v>600.97775195650604</c:v>
                </c:pt>
                <c:pt idx="147">
                  <c:v>611.39665447901677</c:v>
                </c:pt>
                <c:pt idx="148">
                  <c:v>621.81187401282932</c:v>
                </c:pt>
                <c:pt idx="149">
                  <c:v>632.22348093068604</c:v>
                </c:pt>
                <c:pt idx="150">
                  <c:v>391.75618234016855</c:v>
                </c:pt>
                <c:pt idx="151">
                  <c:v>398.12797300026745</c:v>
                </c:pt>
                <c:pt idx="152">
                  <c:v>404.49755544422732</c:v>
                </c:pt>
                <c:pt idx="153">
                  <c:v>410.86496937947453</c:v>
                </c:pt>
                <c:pt idx="154">
                  <c:v>269.86768046055812</c:v>
                </c:pt>
                <c:pt idx="155">
                  <c:v>273.75370835861008</c:v>
                </c:pt>
                <c:pt idx="156">
                  <c:v>277.63849636932508</c:v>
                </c:pt>
                <c:pt idx="157">
                  <c:v>281.5220643228285</c:v>
                </c:pt>
                <c:pt idx="158">
                  <c:v>188.71318847193186</c:v>
                </c:pt>
                <c:pt idx="159">
                  <c:v>191.14520426585958</c:v>
                </c:pt>
                <c:pt idx="160">
                  <c:v>193.57649941136523</c:v>
                </c:pt>
                <c:pt idx="161">
                  <c:v>196.00708426396639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délaïde NAUDIN" id="{138C1A05-93DB-4475-BDCF-E9CB5C05D73F}" userId="S::adelaide.naudin@oklima.fr::b8a91648-76a1-4136-9c1a-5451423a09e3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2" dT="2023-09-28T16:00:15.85" personId="{138C1A05-93DB-4475-BDCF-E9CB5C05D73F}" id="{71882F56-3C33-4F96-AFA7-6BB0313D8DD6}">
    <text>Cormier+poirier</text>
  </threadedComment>
  <threadedComment ref="E203" dT="2023-09-28T16:00:29.25" personId="{138C1A05-93DB-4475-BDCF-E9CB5C05D73F}" id="{48C73F0A-291A-4EA7-832D-96C0CF308991}">
    <text>Alisier + le reste des feuillus divers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51" zoomScale="85" zoomScaleNormal="85" workbookViewId="0">
      <selection activeCell="A278" sqref="A278:H278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8.4700000000000006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14</v>
      </c>
      <c r="C9" s="32">
        <f>2500/21000</f>
        <v>0.11904761904761904</v>
      </c>
      <c r="D9" s="33">
        <f t="shared" ref="D9:D18" si="0">C9*$C$5</f>
        <v>1.0083333333333333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12</v>
      </c>
      <c r="C10" s="32">
        <v>0.11904761904761904</v>
      </c>
      <c r="D10" s="33">
        <f t="shared" si="0"/>
        <v>1.0083333333333333</v>
      </c>
      <c r="E10" s="34"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15</v>
      </c>
      <c r="C11" s="32">
        <v>0.11904761904761904</v>
      </c>
      <c r="D11" s="33">
        <f t="shared" si="0"/>
        <v>1.0083333333333333</v>
      </c>
      <c r="E11" s="34">
        <v>191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9</v>
      </c>
      <c r="C12" s="32">
        <v>0.11904761904761904</v>
      </c>
      <c r="D12" s="33">
        <f t="shared" si="0"/>
        <v>1.0083333333333333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6</v>
      </c>
      <c r="C13" s="32">
        <f>700/21000</f>
        <v>3.3333333333333333E-2</v>
      </c>
      <c r="D13" s="33">
        <f t="shared" si="0"/>
        <v>0.28233333333333333</v>
      </c>
      <c r="E13" s="34">
        <v>161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52</v>
      </c>
      <c r="C14" s="32">
        <v>3.3333333333333333E-2</v>
      </c>
      <c r="D14" s="33">
        <f t="shared" si="0"/>
        <v>0.28233333333333333</v>
      </c>
      <c r="E14" s="34">
        <v>161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1</v>
      </c>
      <c r="C15" s="32">
        <v>3.3333333333333333E-2</v>
      </c>
      <c r="D15" s="33">
        <f t="shared" si="0"/>
        <v>0.28233333333333333</v>
      </c>
      <c r="E15" s="34">
        <v>161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36</v>
      </c>
      <c r="C16" s="32">
        <f>1800/21000</f>
        <v>8.5714285714285715E-2</v>
      </c>
      <c r="D16" s="33">
        <f t="shared" si="0"/>
        <v>0.72600000000000009</v>
      </c>
      <c r="E16" s="34">
        <v>56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 t="s">
        <v>164</v>
      </c>
      <c r="C17" s="32">
        <v>8.5714285714285715E-2</v>
      </c>
      <c r="D17" s="33">
        <f t="shared" si="0"/>
        <v>0.72600000000000009</v>
      </c>
      <c r="E17" s="34">
        <v>105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 t="s">
        <v>18</v>
      </c>
      <c r="C18" s="32">
        <v>8.5714285714285715E-2</v>
      </c>
      <c r="D18" s="33">
        <f t="shared" si="0"/>
        <v>0.72600000000000009</v>
      </c>
      <c r="E18" s="34">
        <v>70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0.83333333333333337</v>
      </c>
      <c r="D19" s="38">
        <f>SUM(D9:D18)</f>
        <v>7.0583333333333345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121.88461538461537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35</v>
      </c>
      <c r="B37" s="60">
        <v>162.16666666666669</v>
      </c>
      <c r="C37" s="60">
        <v>1</v>
      </c>
      <c r="D37" s="60">
        <v>60.602564102564102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8.0564102564102633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41</v>
      </c>
      <c r="B38" s="60">
        <v>157.44871794871796</v>
      </c>
      <c r="C38" s="60">
        <v>2</v>
      </c>
      <c r="D38" s="60">
        <v>38.512820512820511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9.3141025641025621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48</v>
      </c>
      <c r="B39" s="60">
        <v>184.35256410256409</v>
      </c>
      <c r="C39" s="60">
        <v>3</v>
      </c>
      <c r="D39" s="60">
        <v>48.025641025641022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55</v>
      </c>
      <c r="B40" s="60">
        <v>198.44230769230768</v>
      </c>
      <c r="C40" s="60">
        <v>4</v>
      </c>
      <c r="D40" s="60">
        <v>45.147435897435898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63</v>
      </c>
      <c r="B41" s="60">
        <v>220.28846153846152</v>
      </c>
      <c r="C41" s="60">
        <v>5</v>
      </c>
      <c r="D41" s="60">
        <v>41.724358974358978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71</v>
      </c>
      <c r="B42" s="60">
        <v>243.36538461538464</v>
      </c>
      <c r="C42" s="60">
        <v>6</v>
      </c>
      <c r="D42" s="60">
        <v>39.935897435897431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8.1001602564102626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274.01282051282055</v>
      </c>
      <c r="C43" s="60">
        <v>7</v>
      </c>
      <c r="D43" s="60">
        <v>45.608974358974358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89</v>
      </c>
      <c r="B44" s="60">
        <v>295.85897435897436</v>
      </c>
      <c r="C44" s="60">
        <v>8</v>
      </c>
      <c r="D44" s="60">
        <v>49.391025641025635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7.4950142450142421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99</v>
      </c>
      <c r="B45" s="60">
        <v>318.25</v>
      </c>
      <c r="C45" s="60">
        <v>9</v>
      </c>
      <c r="D45" s="60">
        <v>48.019230769230766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109</v>
      </c>
      <c r="B46" s="60">
        <v>340.16666666666663</v>
      </c>
      <c r="C46" s="60">
        <v>10</v>
      </c>
      <c r="D46" s="60">
        <v>51.28846153846154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119</v>
      </c>
      <c r="B47" s="60">
        <v>357.33974358974359</v>
      </c>
      <c r="C47" s="60">
        <v>11</v>
      </c>
      <c r="D47" s="60">
        <v>150.02564102564102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123</v>
      </c>
      <c r="B48" s="60">
        <v>222.63461538461539</v>
      </c>
      <c r="C48" s="60">
        <v>12</v>
      </c>
      <c r="D48" s="60">
        <v>77.17307692307692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127</v>
      </c>
      <c r="B49" s="60">
        <v>154.80128205128204</v>
      </c>
      <c r="C49" s="60">
        <v>13</v>
      </c>
      <c r="D49" s="60">
        <v>49.916666666666671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131</v>
      </c>
      <c r="B50" s="50">
        <v>110.91025641025641</v>
      </c>
      <c r="C50" s="50">
        <v>14</v>
      </c>
      <c r="D50" s="50">
        <v>110.91025641025641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121.88461538461537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4.0628205128205126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35</v>
      </c>
      <c r="B63" s="60">
        <v>162.16666666666669</v>
      </c>
      <c r="C63" s="60">
        <v>1</v>
      </c>
      <c r="D63" s="60">
        <v>60.602564102564102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8.0564102564102633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41</v>
      </c>
      <c r="B64" s="60">
        <v>157.44871794871796</v>
      </c>
      <c r="C64" s="60">
        <v>2</v>
      </c>
      <c r="D64" s="60">
        <v>38.512820512820511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9.3141025641025621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48</v>
      </c>
      <c r="B65" s="60">
        <v>184.35256410256409</v>
      </c>
      <c r="C65" s="60">
        <v>3</v>
      </c>
      <c r="D65" s="60">
        <v>48.025641025641022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9.3452380952380913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55</v>
      </c>
      <c r="B66" s="60">
        <v>198.44230769230768</v>
      </c>
      <c r="C66" s="60">
        <v>4</v>
      </c>
      <c r="D66" s="60">
        <v>45.147435897435898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8.8736263736263741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63</v>
      </c>
      <c r="B67" s="60">
        <v>220.28846153846152</v>
      </c>
      <c r="C67" s="60">
        <v>5</v>
      </c>
      <c r="D67" s="60">
        <v>41.724358974358978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8.374198717948719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71</v>
      </c>
      <c r="B68" s="60">
        <v>243.36538461538464</v>
      </c>
      <c r="C68" s="60">
        <v>6</v>
      </c>
      <c r="D68" s="60">
        <v>39.935897435897431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8.1001602564102626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80</v>
      </c>
      <c r="B69" s="50">
        <v>274.01282051282055</v>
      </c>
      <c r="C69" s="50">
        <v>7</v>
      </c>
      <c r="D69" s="50">
        <v>45.608974358974358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7.8425925925925934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89</v>
      </c>
      <c r="B70" s="50">
        <v>295.85897435897436</v>
      </c>
      <c r="C70" s="50">
        <v>8</v>
      </c>
      <c r="D70" s="50">
        <v>49.391025641025635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2"/>
        <v>7.4950142450142421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99</v>
      </c>
      <c r="B71" s="50">
        <v>318.25</v>
      </c>
      <c r="C71" s="50">
        <v>9</v>
      </c>
      <c r="D71" s="50">
        <v>48.019230769230766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7.1782051282051267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109</v>
      </c>
      <c r="B72" s="50">
        <v>340.16666666666663</v>
      </c>
      <c r="C72" s="50">
        <v>10</v>
      </c>
      <c r="D72" s="50">
        <v>51.28846153846154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2"/>
        <v>6.9935897435897401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119</v>
      </c>
      <c r="B73" s="50">
        <v>357.33974358974359</v>
      </c>
      <c r="C73" s="50">
        <v>11</v>
      </c>
      <c r="D73" s="50">
        <v>150.02564102564102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2"/>
        <v>6.8461538461538511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123</v>
      </c>
      <c r="B74" s="50">
        <v>222.63461538461539</v>
      </c>
      <c r="C74" s="50">
        <v>12</v>
      </c>
      <c r="D74" s="50">
        <v>77.17307692307692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3.8301282051282044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127</v>
      </c>
      <c r="B75" s="50">
        <v>154.80128205128204</v>
      </c>
      <c r="C75" s="50">
        <v>13</v>
      </c>
      <c r="D75" s="50">
        <v>49.916666666666671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2.3349358974358978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131</v>
      </c>
      <c r="B76" s="50">
        <v>110.91025641025641</v>
      </c>
      <c r="C76" s="50">
        <v>14</v>
      </c>
      <c r="D76" s="50">
        <v>110.91025641025641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1.5064102564102591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tauzin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56.743589743589737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1.8914529914529912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60</v>
      </c>
      <c r="B89" s="60">
        <v>162.32051282051282</v>
      </c>
      <c r="C89" s="60">
        <v>1</v>
      </c>
      <c r="D89" s="60">
        <v>60.096153846153847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3.5192307692307692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69</v>
      </c>
      <c r="B90" s="60">
        <v>146.12179487179489</v>
      </c>
      <c r="C90" s="60">
        <v>2</v>
      </c>
      <c r="D90" s="60">
        <v>32.807692307692307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4.8774928774928794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77</v>
      </c>
      <c r="B91" s="60">
        <v>151.18589743589743</v>
      </c>
      <c r="C91" s="60">
        <v>3</v>
      </c>
      <c r="D91" s="60">
        <v>25.53846153846154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4.7339743589743559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86</v>
      </c>
      <c r="B92" s="60">
        <v>167.98076923076923</v>
      </c>
      <c r="C92" s="60">
        <v>4</v>
      </c>
      <c r="D92" s="60">
        <v>27.583333333333332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4.7037037037037051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95</v>
      </c>
      <c r="B93" s="60">
        <v>182.59615384615387</v>
      </c>
      <c r="C93" s="60">
        <v>5</v>
      </c>
      <c r="D93" s="60">
        <v>30.634615384615383</v>
      </c>
      <c r="E93" s="87">
        <v>0</v>
      </c>
      <c r="F93" s="87">
        <v>0</v>
      </c>
      <c r="G93" s="87">
        <v>0</v>
      </c>
      <c r="H93" s="87">
        <v>1</v>
      </c>
      <c r="I93" s="53">
        <f t="shared" si="3"/>
        <v>4.6887464387464428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104</v>
      </c>
      <c r="B94" s="60">
        <v>194.07692307692307</v>
      </c>
      <c r="C94" s="60">
        <v>6</v>
      </c>
      <c r="D94" s="60">
        <v>28.275641025641026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4.6794871794871762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113</v>
      </c>
      <c r="B95" s="60">
        <v>208.37820512820511</v>
      </c>
      <c r="C95" s="60">
        <v>7</v>
      </c>
      <c r="D95" s="60">
        <v>29.602564102564102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4.7307692307692299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122</v>
      </c>
      <c r="B96" s="60">
        <v>221.92948717948715</v>
      </c>
      <c r="C96" s="60">
        <v>8</v>
      </c>
      <c r="D96" s="60">
        <v>32.333333333333329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4.7948717948717956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132</v>
      </c>
      <c r="B97" s="60">
        <v>238.13461538461539</v>
      </c>
      <c r="C97" s="60">
        <v>9</v>
      </c>
      <c r="D97" s="60">
        <v>34.128205128205131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4.8538461538461579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144</v>
      </c>
      <c r="B98" s="60">
        <v>263.85256410256409</v>
      </c>
      <c r="C98" s="60">
        <v>10</v>
      </c>
      <c r="D98" s="60">
        <v>42.397435897435898</v>
      </c>
      <c r="E98" s="87">
        <v>0.7</v>
      </c>
      <c r="F98" s="87">
        <v>0</v>
      </c>
      <c r="G98" s="87">
        <v>0</v>
      </c>
      <c r="H98" s="87">
        <v>0.3</v>
      </c>
      <c r="I98" s="53">
        <f t="shared" si="3"/>
        <v>4.9871794871794863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156</v>
      </c>
      <c r="B99" s="60">
        <v>282.56410256410254</v>
      </c>
      <c r="C99" s="60">
        <v>11</v>
      </c>
      <c r="D99" s="60">
        <v>45.429487179487182</v>
      </c>
      <c r="E99" s="87">
        <v>0.7</v>
      </c>
      <c r="F99" s="87">
        <v>0</v>
      </c>
      <c r="G99" s="87">
        <v>0</v>
      </c>
      <c r="H99" s="87">
        <v>0.3</v>
      </c>
      <c r="I99" s="53">
        <f t="shared" si="3"/>
        <v>5.0924145299145307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168</v>
      </c>
      <c r="B100" s="60">
        <v>299.32051282051276</v>
      </c>
      <c r="C100" s="60">
        <v>12</v>
      </c>
      <c r="D100" s="60">
        <v>49.102564102564095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5.1821581196581166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180</v>
      </c>
      <c r="B101" s="60">
        <v>312.32051282051282</v>
      </c>
      <c r="C101" s="60">
        <v>13</v>
      </c>
      <c r="D101" s="60">
        <v>120.15384615384615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5.175213675213679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184</v>
      </c>
      <c r="B102" s="50">
        <v>205.10256410256409</v>
      </c>
      <c r="C102" s="60">
        <v>14</v>
      </c>
      <c r="D102" s="50">
        <v>69.160256410256409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3.2339743589743506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188</v>
      </c>
      <c r="B103" s="50">
        <v>144.26282051282053</v>
      </c>
      <c r="C103" s="60">
        <v>15</v>
      </c>
      <c r="D103" s="50">
        <v>49.307692307692307</v>
      </c>
      <c r="E103" s="54">
        <v>0.9</v>
      </c>
      <c r="F103" s="54">
        <v>0</v>
      </c>
      <c r="G103" s="54">
        <v>0</v>
      </c>
      <c r="H103" s="54">
        <v>0.1</v>
      </c>
      <c r="I103" s="53">
        <f t="shared" si="3"/>
        <v>2.0801282051282115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191</v>
      </c>
      <c r="B104" s="50">
        <v>98.961538461538453</v>
      </c>
      <c r="C104" s="60">
        <v>16</v>
      </c>
      <c r="D104" s="50">
        <v>98.961538461538453</v>
      </c>
      <c r="E104" s="54">
        <v>0.9</v>
      </c>
      <c r="F104" s="54">
        <v>0</v>
      </c>
      <c r="G104" s="54">
        <v>0</v>
      </c>
      <c r="H104" s="54">
        <v>0.1</v>
      </c>
      <c r="I104" s="53">
        <f t="shared" si="3"/>
        <v>1.3354700854700781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chevelu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10</v>
      </c>
      <c r="B114" s="60">
        <v>18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1.8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15</v>
      </c>
      <c r="B115" s="60">
        <v>47</v>
      </c>
      <c r="C115" s="50">
        <v>0</v>
      </c>
      <c r="D115" s="60">
        <v>0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5.8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20</v>
      </c>
      <c r="B116" s="60">
        <v>87</v>
      </c>
      <c r="C116" s="50">
        <v>1</v>
      </c>
      <c r="D116" s="60" t="s">
        <v>325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25</v>
      </c>
      <c r="B117" s="60">
        <v>98</v>
      </c>
      <c r="C117" s="50">
        <v>2</v>
      </c>
      <c r="D117" s="60" t="s">
        <v>326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30</v>
      </c>
      <c r="B118" s="60">
        <v>119</v>
      </c>
      <c r="C118" s="50">
        <v>3</v>
      </c>
      <c r="D118" s="60" t="s">
        <v>327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35</v>
      </c>
      <c r="B119" s="60">
        <v>135</v>
      </c>
      <c r="C119" s="50">
        <v>4</v>
      </c>
      <c r="D119" s="60" t="s">
        <v>327</v>
      </c>
      <c r="E119" s="51">
        <v>0</v>
      </c>
      <c r="F119" s="51">
        <v>0</v>
      </c>
      <c r="G119" s="51">
        <v>0</v>
      </c>
      <c r="H119" s="51">
        <v>1</v>
      </c>
      <c r="I119" s="53">
        <f t="shared" si="4"/>
        <v>7.2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40</v>
      </c>
      <c r="B120" s="60">
        <v>150</v>
      </c>
      <c r="C120" s="60">
        <v>5</v>
      </c>
      <c r="D120" s="60" t="s">
        <v>327</v>
      </c>
      <c r="E120" s="87">
        <v>0</v>
      </c>
      <c r="F120" s="87">
        <v>0.5</v>
      </c>
      <c r="G120" s="87">
        <v>0</v>
      </c>
      <c r="H120" s="87">
        <v>0.5</v>
      </c>
      <c r="I120" s="53">
        <f t="shared" si="4"/>
        <v>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45</v>
      </c>
      <c r="B121" s="60">
        <v>162</v>
      </c>
      <c r="C121" s="60">
        <v>6</v>
      </c>
      <c r="D121" s="60" t="s">
        <v>326</v>
      </c>
      <c r="E121" s="87">
        <v>0</v>
      </c>
      <c r="F121" s="87">
        <v>0.5</v>
      </c>
      <c r="G121" s="87">
        <v>0</v>
      </c>
      <c r="H121" s="87">
        <v>0.5</v>
      </c>
      <c r="I121" s="53">
        <f t="shared" si="4"/>
        <v>6.4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50</v>
      </c>
      <c r="B122" s="60">
        <v>173</v>
      </c>
      <c r="C122" s="60">
        <v>7</v>
      </c>
      <c r="D122" s="60" t="s">
        <v>328</v>
      </c>
      <c r="E122" s="87">
        <v>0</v>
      </c>
      <c r="F122" s="87">
        <v>0.5</v>
      </c>
      <c r="G122" s="87">
        <v>0</v>
      </c>
      <c r="H122" s="87">
        <v>0.5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55</v>
      </c>
      <c r="B123" s="60">
        <v>181</v>
      </c>
      <c r="C123" s="60">
        <v>8</v>
      </c>
      <c r="D123" s="60" t="s">
        <v>329</v>
      </c>
      <c r="E123" s="87">
        <v>0.4</v>
      </c>
      <c r="F123" s="87">
        <v>0.4</v>
      </c>
      <c r="G123" s="87">
        <v>0</v>
      </c>
      <c r="H123" s="87">
        <v>0.2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60</v>
      </c>
      <c r="B124" s="60">
        <v>189</v>
      </c>
      <c r="C124" s="60">
        <v>9</v>
      </c>
      <c r="D124" s="60" t="s">
        <v>330</v>
      </c>
      <c r="E124" s="87">
        <v>0.4</v>
      </c>
      <c r="F124" s="87">
        <v>0.4</v>
      </c>
      <c r="G124" s="87">
        <v>0</v>
      </c>
      <c r="H124" s="87">
        <v>0.2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65</v>
      </c>
      <c r="B125" s="60">
        <v>195</v>
      </c>
      <c r="C125" s="60">
        <v>10</v>
      </c>
      <c r="D125" s="60" t="s">
        <v>331</v>
      </c>
      <c r="E125" s="87">
        <v>0.4</v>
      </c>
      <c r="F125" s="87">
        <v>0.4</v>
      </c>
      <c r="G125" s="87">
        <v>0</v>
      </c>
      <c r="H125" s="87">
        <v>0.2</v>
      </c>
      <c r="I125" s="53">
        <f t="shared" si="4"/>
        <v>4.4000000000000004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70</v>
      </c>
      <c r="B126" s="60">
        <v>201</v>
      </c>
      <c r="C126" s="60">
        <v>11</v>
      </c>
      <c r="D126" s="60" t="s">
        <v>332</v>
      </c>
      <c r="E126" s="65">
        <v>0.4</v>
      </c>
      <c r="F126" s="65">
        <v>0.4</v>
      </c>
      <c r="G126" s="65">
        <v>0</v>
      </c>
      <c r="H126" s="65">
        <v>0.2</v>
      </c>
      <c r="I126" s="53">
        <f t="shared" si="4"/>
        <v>4.2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75</v>
      </c>
      <c r="B127" s="60">
        <v>204</v>
      </c>
      <c r="C127" s="60">
        <v>12</v>
      </c>
      <c r="D127" s="60" t="s">
        <v>333</v>
      </c>
      <c r="E127" s="65">
        <v>0.4</v>
      </c>
      <c r="F127" s="65">
        <v>0.4</v>
      </c>
      <c r="G127" s="65">
        <v>0</v>
      </c>
      <c r="H127" s="65">
        <v>0.2</v>
      </c>
      <c r="I127" s="53">
        <f t="shared" si="4"/>
        <v>3.4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208</v>
      </c>
      <c r="C128" s="50">
        <v>13</v>
      </c>
      <c r="D128" s="50" t="s">
        <v>334</v>
      </c>
      <c r="E128" s="54">
        <v>0.4</v>
      </c>
      <c r="F128" s="54">
        <v>0.4</v>
      </c>
      <c r="G128" s="54">
        <v>0</v>
      </c>
      <c r="H128" s="54">
        <v>0.2</v>
      </c>
      <c r="I128" s="53">
        <f t="shared" si="4"/>
        <v>3.2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85</v>
      </c>
      <c r="B129" s="50">
        <v>211</v>
      </c>
      <c r="C129" s="50">
        <v>14</v>
      </c>
      <c r="D129" s="50" t="s">
        <v>335</v>
      </c>
      <c r="E129" s="54">
        <v>0.5</v>
      </c>
      <c r="F129" s="54">
        <v>0.4</v>
      </c>
      <c r="G129" s="54">
        <v>0</v>
      </c>
      <c r="H129" s="54">
        <v>0.1</v>
      </c>
      <c r="I129" s="53">
        <f t="shared" si="4"/>
        <v>2.8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90</v>
      </c>
      <c r="B130" s="50">
        <v>215</v>
      </c>
      <c r="C130" s="50">
        <v>15</v>
      </c>
      <c r="D130" s="50" t="s">
        <v>335</v>
      </c>
      <c r="E130" s="54">
        <v>0.5</v>
      </c>
      <c r="F130" s="54">
        <v>0.4</v>
      </c>
      <c r="G130" s="54">
        <v>0</v>
      </c>
      <c r="H130" s="54">
        <v>0.1</v>
      </c>
      <c r="I130" s="53">
        <f t="shared" si="4"/>
        <v>2.8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95</v>
      </c>
      <c r="B131" s="50">
        <v>219</v>
      </c>
      <c r="C131" s="50">
        <v>16</v>
      </c>
      <c r="D131" s="50" t="s">
        <v>334</v>
      </c>
      <c r="E131" s="54">
        <v>0.5</v>
      </c>
      <c r="F131" s="54">
        <v>0.4</v>
      </c>
      <c r="G131" s="54">
        <v>0</v>
      </c>
      <c r="H131" s="54">
        <v>0.1</v>
      </c>
      <c r="I131" s="53">
        <f t="shared" si="4"/>
        <v>2.8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>
        <v>100</v>
      </c>
      <c r="B132" s="50">
        <v>223</v>
      </c>
      <c r="C132" s="50">
        <v>17</v>
      </c>
      <c r="D132" s="50" t="s">
        <v>334</v>
      </c>
      <c r="E132" s="54">
        <v>0.5</v>
      </c>
      <c r="F132" s="54">
        <v>0.4</v>
      </c>
      <c r="G132" s="54">
        <v>0</v>
      </c>
      <c r="H132" s="54">
        <v>0.1</v>
      </c>
      <c r="I132" s="53">
        <f t="shared" si="4"/>
        <v>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Charme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30</v>
      </c>
      <c r="B140" s="60">
        <v>87.705128205128204</v>
      </c>
      <c r="C140" s="50" t="s">
        <v>324</v>
      </c>
      <c r="D140" s="60">
        <v>0</v>
      </c>
      <c r="E140" s="51">
        <v>0</v>
      </c>
      <c r="F140" s="51">
        <v>0</v>
      </c>
      <c r="G140" s="51">
        <v>0</v>
      </c>
      <c r="H140" s="51">
        <v>0</v>
      </c>
      <c r="I140" s="57">
        <f>IFERROR(B140/A140,"")</f>
        <v>2.9235042735042733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44</v>
      </c>
      <c r="B141" s="60">
        <v>162.42307692307691</v>
      </c>
      <c r="C141" s="50">
        <v>1</v>
      </c>
      <c r="D141" s="60">
        <v>64.416666666666657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5.3369963369963358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51</v>
      </c>
      <c r="B142" s="60">
        <v>145.78846153846152</v>
      </c>
      <c r="C142" s="50">
        <v>2</v>
      </c>
      <c r="D142" s="60">
        <v>37.685897435897431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6.826007326007324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59</v>
      </c>
      <c r="B143" s="60">
        <v>159.25641025641025</v>
      </c>
      <c r="C143" s="50">
        <v>3</v>
      </c>
      <c r="D143" s="60">
        <v>38.942307692307693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6.3942307692307701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67</v>
      </c>
      <c r="B144" s="60">
        <v>167.85897435897436</v>
      </c>
      <c r="C144" s="50">
        <v>4</v>
      </c>
      <c r="D144" s="60">
        <v>31.993589743589741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5.9431089743589762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75</v>
      </c>
      <c r="B145" s="60">
        <v>181.38461538461536</v>
      </c>
      <c r="C145" s="50">
        <v>5</v>
      </c>
      <c r="D145" s="60">
        <v>30.916666666666664</v>
      </c>
      <c r="E145" s="51">
        <v>0.7</v>
      </c>
      <c r="F145" s="51">
        <v>0</v>
      </c>
      <c r="G145" s="51">
        <v>0</v>
      </c>
      <c r="H145" s="51">
        <v>0.3</v>
      </c>
      <c r="I145" s="57">
        <f t="shared" si="5"/>
        <v>5.6899038461538431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84</v>
      </c>
      <c r="B146" s="60">
        <v>200.00641025641025</v>
      </c>
      <c r="C146" s="50">
        <v>6</v>
      </c>
      <c r="D146" s="60">
        <v>35.083333333333329</v>
      </c>
      <c r="E146" s="51">
        <v>0.7</v>
      </c>
      <c r="F146" s="51">
        <v>0</v>
      </c>
      <c r="G146" s="51">
        <v>0</v>
      </c>
      <c r="H146" s="51">
        <v>0.3</v>
      </c>
      <c r="I146" s="57">
        <f t="shared" si="5"/>
        <v>5.5042735042735051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93</v>
      </c>
      <c r="B147" s="60">
        <v>212.26923076923075</v>
      </c>
      <c r="C147" s="50">
        <v>7</v>
      </c>
      <c r="D147" s="60">
        <v>30.083333333333332</v>
      </c>
      <c r="E147" s="51">
        <v>0.7</v>
      </c>
      <c r="F147" s="51">
        <v>0</v>
      </c>
      <c r="G147" s="51">
        <v>0</v>
      </c>
      <c r="H147" s="51">
        <v>0.3</v>
      </c>
      <c r="I147" s="57">
        <f>IF(A147&lt;&gt;0,(B147-(B146-D146))/(A147-A146),"")</f>
        <v>5.2606837606837598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103</v>
      </c>
      <c r="B148" s="60">
        <v>234.76923076923077</v>
      </c>
      <c r="C148" s="50">
        <v>8</v>
      </c>
      <c r="D148" s="60">
        <v>39.512820512820511</v>
      </c>
      <c r="E148" s="51">
        <v>0.7</v>
      </c>
      <c r="F148" s="51">
        <v>0</v>
      </c>
      <c r="G148" s="51">
        <v>0</v>
      </c>
      <c r="H148" s="51">
        <v>0.3</v>
      </c>
      <c r="I148" s="57">
        <f t="shared" si="5"/>
        <v>5.2583333333333373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113</v>
      </c>
      <c r="B149" s="60">
        <v>246.21794871794873</v>
      </c>
      <c r="C149" s="50">
        <v>9</v>
      </c>
      <c r="D149" s="60">
        <v>31.602564102564099</v>
      </c>
      <c r="E149" s="51">
        <v>0.7</v>
      </c>
      <c r="F149" s="51">
        <v>0</v>
      </c>
      <c r="G149" s="51">
        <v>0</v>
      </c>
      <c r="H149" s="51">
        <v>0.3</v>
      </c>
      <c r="I149" s="57">
        <f t="shared" si="5"/>
        <v>5.0961538461538449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125</v>
      </c>
      <c r="B150" s="60">
        <v>278.29487179487177</v>
      </c>
      <c r="C150" s="50">
        <v>10</v>
      </c>
      <c r="D150" s="60">
        <v>48.160256410256409</v>
      </c>
      <c r="E150" s="51">
        <v>0.7</v>
      </c>
      <c r="F150" s="51">
        <v>0</v>
      </c>
      <c r="G150" s="51">
        <v>0</v>
      </c>
      <c r="H150" s="51">
        <v>0.3</v>
      </c>
      <c r="I150" s="57">
        <f t="shared" si="5"/>
        <v>5.3066239316239274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137</v>
      </c>
      <c r="B151" s="60">
        <v>293.07051282051282</v>
      </c>
      <c r="C151" s="50">
        <v>11</v>
      </c>
      <c r="D151" s="60">
        <v>51.160256410256409</v>
      </c>
      <c r="E151" s="51">
        <v>0.7</v>
      </c>
      <c r="F151" s="51">
        <v>0</v>
      </c>
      <c r="G151" s="51">
        <v>0</v>
      </c>
      <c r="H151" s="51">
        <v>0.3</v>
      </c>
      <c r="I151" s="57">
        <f t="shared" si="5"/>
        <v>5.2446581196581219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149</v>
      </c>
      <c r="B152" s="60">
        <v>303.18589743589746</v>
      </c>
      <c r="C152" s="50">
        <v>12</v>
      </c>
      <c r="D152" s="60">
        <v>120.50641025641026</v>
      </c>
      <c r="E152" s="54">
        <v>0.9</v>
      </c>
      <c r="F152" s="54">
        <v>0</v>
      </c>
      <c r="G152" s="54">
        <v>0</v>
      </c>
      <c r="H152" s="54">
        <v>0.1</v>
      </c>
      <c r="I152" s="57">
        <f t="shared" si="5"/>
        <v>5.1063034188034209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153</v>
      </c>
      <c r="B153" s="60">
        <v>195.05769230769226</v>
      </c>
      <c r="C153" s="50">
        <v>13</v>
      </c>
      <c r="D153" s="60">
        <v>70.115384615384613</v>
      </c>
      <c r="E153" s="54">
        <v>0.9</v>
      </c>
      <c r="F153" s="54">
        <v>0</v>
      </c>
      <c r="G153" s="54">
        <v>0</v>
      </c>
      <c r="H153" s="54">
        <v>0.1</v>
      </c>
      <c r="I153" s="57">
        <f t="shared" si="5"/>
        <v>3.0945512820512704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157</v>
      </c>
      <c r="B154" s="56">
        <v>132.42948717948718</v>
      </c>
      <c r="C154" s="50">
        <v>14</v>
      </c>
      <c r="D154" s="50">
        <v>45.71153846153846</v>
      </c>
      <c r="E154" s="54">
        <v>0.9</v>
      </c>
      <c r="F154" s="54">
        <v>0</v>
      </c>
      <c r="G154" s="54">
        <v>0</v>
      </c>
      <c r="H154" s="54">
        <v>0.1</v>
      </c>
      <c r="I154" s="57">
        <f t="shared" si="5"/>
        <v>1.8717948717948829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161</v>
      </c>
      <c r="B155" s="56">
        <v>91.365384615384613</v>
      </c>
      <c r="C155" s="50">
        <v>15</v>
      </c>
      <c r="D155" s="50">
        <v>91.365384615384613</v>
      </c>
      <c r="E155" s="54">
        <v>0.9</v>
      </c>
      <c r="F155" s="54">
        <v>0</v>
      </c>
      <c r="G155" s="54">
        <v>0</v>
      </c>
      <c r="H155" s="54">
        <v>0.1</v>
      </c>
      <c r="I155" s="57">
        <f t="shared" si="5"/>
        <v>1.1618589743589709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Cormier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30</v>
      </c>
      <c r="B166" s="60">
        <v>87.705128205128204</v>
      </c>
      <c r="C166" s="60" t="s">
        <v>324</v>
      </c>
      <c r="D166" s="60">
        <v>0</v>
      </c>
      <c r="E166" s="51">
        <v>0</v>
      </c>
      <c r="F166" s="51">
        <v>0</v>
      </c>
      <c r="G166" s="51">
        <v>0</v>
      </c>
      <c r="H166" s="51">
        <v>0</v>
      </c>
      <c r="I166" s="49">
        <f>IFERROR(B166/A166,"")</f>
        <v>2.9235042735042733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44</v>
      </c>
      <c r="B167" s="60">
        <v>162.42307692307691</v>
      </c>
      <c r="C167" s="60">
        <v>1</v>
      </c>
      <c r="D167" s="60">
        <v>64.416666666666657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5.3369963369963358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51</v>
      </c>
      <c r="B168" s="60">
        <v>145.78846153846152</v>
      </c>
      <c r="C168" s="60">
        <v>2</v>
      </c>
      <c r="D168" s="60">
        <v>37.685897435897431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6.826007326007324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59</v>
      </c>
      <c r="B169" s="60">
        <v>159.25641025641025</v>
      </c>
      <c r="C169" s="60">
        <v>3</v>
      </c>
      <c r="D169" s="60">
        <v>38.942307692307693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6.3942307692307701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67</v>
      </c>
      <c r="B170" s="60">
        <v>167.85897435897436</v>
      </c>
      <c r="C170" s="60">
        <v>4</v>
      </c>
      <c r="D170" s="60">
        <v>31.993589743589741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5.9431089743589762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75</v>
      </c>
      <c r="B171" s="60">
        <v>181.38461538461536</v>
      </c>
      <c r="C171" s="60">
        <v>5</v>
      </c>
      <c r="D171" s="60">
        <v>30.916666666666664</v>
      </c>
      <c r="E171" s="51">
        <v>0.7</v>
      </c>
      <c r="F171" s="51">
        <v>0</v>
      </c>
      <c r="G171" s="51">
        <v>0</v>
      </c>
      <c r="H171" s="51">
        <v>0.3</v>
      </c>
      <c r="I171" s="49">
        <f t="shared" si="6"/>
        <v>5.6899038461538431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84</v>
      </c>
      <c r="B172" s="60">
        <v>200.00641025641025</v>
      </c>
      <c r="C172" s="60">
        <v>6</v>
      </c>
      <c r="D172" s="60">
        <v>35.083333333333329</v>
      </c>
      <c r="E172" s="51">
        <v>0.7</v>
      </c>
      <c r="F172" s="51">
        <v>0</v>
      </c>
      <c r="G172" s="51">
        <v>0</v>
      </c>
      <c r="H172" s="51">
        <v>0.3</v>
      </c>
      <c r="I172" s="49">
        <f t="shared" si="6"/>
        <v>5.5042735042735051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93</v>
      </c>
      <c r="B173" s="50">
        <v>212.26923076923075</v>
      </c>
      <c r="C173" s="50">
        <v>7</v>
      </c>
      <c r="D173" s="50">
        <v>30.083333333333332</v>
      </c>
      <c r="E173" s="51">
        <v>0.7</v>
      </c>
      <c r="F173" s="51">
        <v>0</v>
      </c>
      <c r="G173" s="51">
        <v>0</v>
      </c>
      <c r="H173" s="51">
        <v>0.3</v>
      </c>
      <c r="I173" s="49">
        <f t="shared" si="6"/>
        <v>5.2606837606837598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103</v>
      </c>
      <c r="B174" s="50">
        <v>234.76923076923077</v>
      </c>
      <c r="C174" s="50">
        <v>8</v>
      </c>
      <c r="D174" s="50">
        <v>39.512820512820511</v>
      </c>
      <c r="E174" s="51">
        <v>0.7</v>
      </c>
      <c r="F174" s="51">
        <v>0</v>
      </c>
      <c r="G174" s="51">
        <v>0</v>
      </c>
      <c r="H174" s="51">
        <v>0.3</v>
      </c>
      <c r="I174" s="49">
        <f t="shared" si="6"/>
        <v>5.2583333333333373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113</v>
      </c>
      <c r="B175" s="50">
        <v>246.21794871794873</v>
      </c>
      <c r="C175" s="50">
        <v>9</v>
      </c>
      <c r="D175" s="50">
        <v>31.602564102564099</v>
      </c>
      <c r="E175" s="51">
        <v>0.7</v>
      </c>
      <c r="F175" s="51">
        <v>0</v>
      </c>
      <c r="G175" s="51">
        <v>0</v>
      </c>
      <c r="H175" s="51">
        <v>0.3</v>
      </c>
      <c r="I175" s="49">
        <f t="shared" si="6"/>
        <v>5.0961538461538449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125</v>
      </c>
      <c r="B176" s="50">
        <v>278.29487179487177</v>
      </c>
      <c r="C176" s="50">
        <v>10</v>
      </c>
      <c r="D176" s="50">
        <v>48.160256410256409</v>
      </c>
      <c r="E176" s="51">
        <v>0.7</v>
      </c>
      <c r="F176" s="51">
        <v>0</v>
      </c>
      <c r="G176" s="51">
        <v>0</v>
      </c>
      <c r="H176" s="51">
        <v>0.3</v>
      </c>
      <c r="I176" s="49">
        <f t="shared" si="6"/>
        <v>5.3066239316239274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137</v>
      </c>
      <c r="B177" s="50">
        <v>293.07051282051282</v>
      </c>
      <c r="C177" s="50">
        <v>11</v>
      </c>
      <c r="D177" s="50">
        <v>51.160256410256409</v>
      </c>
      <c r="E177" s="51">
        <v>0.7</v>
      </c>
      <c r="F177" s="51">
        <v>0</v>
      </c>
      <c r="G177" s="51">
        <v>0</v>
      </c>
      <c r="H177" s="51">
        <v>0.3</v>
      </c>
      <c r="I177" s="49">
        <f t="shared" si="6"/>
        <v>5.2446581196581219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149</v>
      </c>
      <c r="B178" s="50">
        <v>303.18589743589746</v>
      </c>
      <c r="C178" s="50">
        <v>12</v>
      </c>
      <c r="D178" s="50">
        <v>120.50641025641026</v>
      </c>
      <c r="E178" s="51">
        <v>0.9</v>
      </c>
      <c r="F178" s="51">
        <v>0</v>
      </c>
      <c r="G178" s="51">
        <v>0</v>
      </c>
      <c r="H178" s="51">
        <v>0.1</v>
      </c>
      <c r="I178" s="49">
        <f t="shared" si="6"/>
        <v>5.1063034188034209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153</v>
      </c>
      <c r="B179" s="50">
        <v>195.05769230769226</v>
      </c>
      <c r="C179" s="50">
        <v>13</v>
      </c>
      <c r="D179" s="50">
        <v>70.115384615384613</v>
      </c>
      <c r="E179" s="51">
        <v>0.9</v>
      </c>
      <c r="F179" s="51">
        <v>0</v>
      </c>
      <c r="G179" s="51">
        <v>0</v>
      </c>
      <c r="H179" s="51">
        <v>0.1</v>
      </c>
      <c r="I179" s="49">
        <f t="shared" si="6"/>
        <v>3.0945512820512704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157</v>
      </c>
      <c r="B180" s="50">
        <v>132.42948717948718</v>
      </c>
      <c r="C180" s="50">
        <v>14</v>
      </c>
      <c r="D180" s="50">
        <v>45.71153846153846</v>
      </c>
      <c r="E180" s="51">
        <v>0.9</v>
      </c>
      <c r="F180" s="51">
        <v>0</v>
      </c>
      <c r="G180" s="51">
        <v>0</v>
      </c>
      <c r="H180" s="51">
        <v>0.1</v>
      </c>
      <c r="I180" s="49">
        <f t="shared" si="6"/>
        <v>1.8717948717948829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161</v>
      </c>
      <c r="B181" s="50">
        <v>91.365384615384613</v>
      </c>
      <c r="C181" s="50">
        <v>15</v>
      </c>
      <c r="D181" s="50">
        <v>91.365384615384613</v>
      </c>
      <c r="E181" s="51">
        <v>0.9</v>
      </c>
      <c r="F181" s="51">
        <v>0</v>
      </c>
      <c r="G181" s="51">
        <v>0</v>
      </c>
      <c r="H181" s="51">
        <v>0.1</v>
      </c>
      <c r="I181" s="49">
        <f t="shared" si="6"/>
        <v>1.1618589743589709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Alisier torminal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30</v>
      </c>
      <c r="B192" s="60">
        <v>87.705128205128204</v>
      </c>
      <c r="C192" s="60" t="s">
        <v>324</v>
      </c>
      <c r="D192" s="60">
        <v>0</v>
      </c>
      <c r="E192" s="51">
        <v>0</v>
      </c>
      <c r="F192" s="51">
        <v>0</v>
      </c>
      <c r="G192" s="51">
        <v>0</v>
      </c>
      <c r="H192" s="51">
        <v>0</v>
      </c>
      <c r="I192" s="49">
        <f>IFERROR(B192/A192,"")</f>
        <v>2.9235042735042733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44</v>
      </c>
      <c r="B193" s="60">
        <v>162.42307692307691</v>
      </c>
      <c r="C193" s="60">
        <v>1</v>
      </c>
      <c r="D193" s="60">
        <v>64.416666666666657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5.3369963369963358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51</v>
      </c>
      <c r="B194" s="60">
        <v>145.78846153846152</v>
      </c>
      <c r="C194" s="60">
        <v>2</v>
      </c>
      <c r="D194" s="60">
        <v>37.685897435897431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7"/>
        <v>6.826007326007324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59</v>
      </c>
      <c r="B195" s="60">
        <v>159.25641025641025</v>
      </c>
      <c r="C195" s="60">
        <v>3</v>
      </c>
      <c r="D195" s="60">
        <v>38.942307692307693</v>
      </c>
      <c r="E195" s="51">
        <v>0</v>
      </c>
      <c r="F195" s="51">
        <v>0</v>
      </c>
      <c r="G195" s="51">
        <v>0</v>
      </c>
      <c r="H195" s="51">
        <v>1</v>
      </c>
      <c r="I195" s="49">
        <f t="shared" si="7"/>
        <v>6.3942307692307701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67</v>
      </c>
      <c r="B196" s="60">
        <v>167.85897435897436</v>
      </c>
      <c r="C196" s="60">
        <v>4</v>
      </c>
      <c r="D196" s="60">
        <v>31.993589743589741</v>
      </c>
      <c r="E196" s="51">
        <v>0</v>
      </c>
      <c r="F196" s="51">
        <v>0</v>
      </c>
      <c r="G196" s="51">
        <v>0</v>
      </c>
      <c r="H196" s="51">
        <v>1</v>
      </c>
      <c r="I196" s="49">
        <f t="shared" si="7"/>
        <v>5.9431089743589762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75</v>
      </c>
      <c r="B197" s="60">
        <v>181.38461538461536</v>
      </c>
      <c r="C197" s="60">
        <v>5</v>
      </c>
      <c r="D197" s="60">
        <v>30.916666666666664</v>
      </c>
      <c r="E197" s="51">
        <v>0.7</v>
      </c>
      <c r="F197" s="51">
        <v>0</v>
      </c>
      <c r="G197" s="51">
        <v>0</v>
      </c>
      <c r="H197" s="51">
        <v>0.3</v>
      </c>
      <c r="I197" s="49">
        <f t="shared" si="7"/>
        <v>5.6899038461538431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84</v>
      </c>
      <c r="B198" s="60">
        <v>200.00641025641025</v>
      </c>
      <c r="C198" s="60">
        <v>6</v>
      </c>
      <c r="D198" s="60">
        <v>35.083333333333329</v>
      </c>
      <c r="E198" s="51">
        <v>0.7</v>
      </c>
      <c r="F198" s="51">
        <v>0</v>
      </c>
      <c r="G198" s="51">
        <v>0</v>
      </c>
      <c r="H198" s="51">
        <v>0.3</v>
      </c>
      <c r="I198" s="49">
        <f t="shared" si="7"/>
        <v>5.5042735042735051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93</v>
      </c>
      <c r="B199" s="50">
        <v>212.26923076923075</v>
      </c>
      <c r="C199" s="50">
        <v>7</v>
      </c>
      <c r="D199" s="50">
        <v>30.083333333333332</v>
      </c>
      <c r="E199" s="51">
        <v>0.7</v>
      </c>
      <c r="F199" s="51">
        <v>0</v>
      </c>
      <c r="G199" s="51">
        <v>0</v>
      </c>
      <c r="H199" s="51">
        <v>0.3</v>
      </c>
      <c r="I199" s="49">
        <f t="shared" si="7"/>
        <v>5.2606837606837598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103</v>
      </c>
      <c r="B200" s="50">
        <v>234.76923076923077</v>
      </c>
      <c r="C200" s="50">
        <v>8</v>
      </c>
      <c r="D200" s="50">
        <v>39.512820512820511</v>
      </c>
      <c r="E200" s="51">
        <v>0.7</v>
      </c>
      <c r="F200" s="51">
        <v>0</v>
      </c>
      <c r="G200" s="51">
        <v>0</v>
      </c>
      <c r="H200" s="51">
        <v>0.3</v>
      </c>
      <c r="I200" s="49">
        <f t="shared" si="7"/>
        <v>5.2583333333333373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113</v>
      </c>
      <c r="B201" s="50">
        <v>246.21794871794873</v>
      </c>
      <c r="C201" s="50">
        <v>9</v>
      </c>
      <c r="D201" s="50">
        <v>31.602564102564099</v>
      </c>
      <c r="E201" s="51">
        <v>0.7</v>
      </c>
      <c r="F201" s="51">
        <v>0</v>
      </c>
      <c r="G201" s="51">
        <v>0</v>
      </c>
      <c r="H201" s="51">
        <v>0.3</v>
      </c>
      <c r="I201" s="49">
        <f t="shared" si="7"/>
        <v>5.0961538461538449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125</v>
      </c>
      <c r="B202" s="50">
        <v>278.29487179487177</v>
      </c>
      <c r="C202" s="50">
        <v>10</v>
      </c>
      <c r="D202" s="50">
        <v>48.160256410256409</v>
      </c>
      <c r="E202" s="51">
        <v>0.7</v>
      </c>
      <c r="F202" s="51">
        <v>0</v>
      </c>
      <c r="G202" s="51">
        <v>0</v>
      </c>
      <c r="H202" s="51">
        <v>0.3</v>
      </c>
      <c r="I202" s="49">
        <f t="shared" si="7"/>
        <v>5.3066239316239274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137</v>
      </c>
      <c r="B203" s="50">
        <v>293.07051282051282</v>
      </c>
      <c r="C203" s="50">
        <v>11</v>
      </c>
      <c r="D203" s="50">
        <v>51.160256410256409</v>
      </c>
      <c r="E203" s="51">
        <v>0.7</v>
      </c>
      <c r="F203" s="51">
        <v>0</v>
      </c>
      <c r="G203" s="51">
        <v>0</v>
      </c>
      <c r="H203" s="51">
        <v>0.3</v>
      </c>
      <c r="I203" s="49">
        <f t="shared" si="7"/>
        <v>5.2446581196581219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149</v>
      </c>
      <c r="B204" s="50">
        <v>303.18589743589746</v>
      </c>
      <c r="C204" s="50">
        <v>12</v>
      </c>
      <c r="D204" s="50">
        <v>120.50641025641026</v>
      </c>
      <c r="E204" s="51">
        <v>0.9</v>
      </c>
      <c r="F204" s="51">
        <v>0</v>
      </c>
      <c r="G204" s="51">
        <v>0</v>
      </c>
      <c r="H204" s="51">
        <v>0.1</v>
      </c>
      <c r="I204" s="49">
        <f t="shared" si="7"/>
        <v>5.1063034188034209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153</v>
      </c>
      <c r="B205" s="50">
        <v>195.05769230769226</v>
      </c>
      <c r="C205" s="50">
        <v>13</v>
      </c>
      <c r="D205" s="50">
        <v>70.115384615384613</v>
      </c>
      <c r="E205" s="51">
        <v>0.9</v>
      </c>
      <c r="F205" s="51">
        <v>0</v>
      </c>
      <c r="G205" s="51">
        <v>0</v>
      </c>
      <c r="H205" s="51">
        <v>0.1</v>
      </c>
      <c r="I205" s="49">
        <f t="shared" si="7"/>
        <v>3.0945512820512704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>
        <v>157</v>
      </c>
      <c r="B206" s="50">
        <v>132.42948717948718</v>
      </c>
      <c r="C206" s="50">
        <v>14</v>
      </c>
      <c r="D206" s="50">
        <v>45.71153846153846</v>
      </c>
      <c r="E206" s="51">
        <v>0.9</v>
      </c>
      <c r="F206" s="51">
        <v>0</v>
      </c>
      <c r="G206" s="51">
        <v>0</v>
      </c>
      <c r="H206" s="51">
        <v>0.1</v>
      </c>
      <c r="I206" s="49">
        <f t="shared" si="7"/>
        <v>1.8717948717948829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>
        <v>161</v>
      </c>
      <c r="B207" s="50">
        <v>91.365384615384613</v>
      </c>
      <c r="C207" s="50">
        <v>15</v>
      </c>
      <c r="D207" s="50">
        <v>91.365384615384613</v>
      </c>
      <c r="E207" s="51">
        <v>0.9</v>
      </c>
      <c r="F207" s="51">
        <v>0</v>
      </c>
      <c r="G207" s="51">
        <v>0</v>
      </c>
      <c r="H207" s="51">
        <v>0.1</v>
      </c>
      <c r="I207" s="49">
        <f t="shared" si="7"/>
        <v>1.1618589743589709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>Pin maritime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15</v>
      </c>
      <c r="B218" s="60">
        <v>141.17692307692306</v>
      </c>
      <c r="C218" s="50">
        <v>1</v>
      </c>
      <c r="D218" s="60">
        <v>49.784615384615385</v>
      </c>
      <c r="E218" s="63">
        <v>0</v>
      </c>
      <c r="F218" s="63">
        <v>0.56000000000000005</v>
      </c>
      <c r="G218" s="63">
        <v>0.44</v>
      </c>
      <c r="H218" s="63">
        <v>0</v>
      </c>
      <c r="I218" s="53">
        <f>IFERROR(B218/A218,"")</f>
        <v>9.4117948717948714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20</v>
      </c>
      <c r="B219" s="60">
        <v>183.7076923076923</v>
      </c>
      <c r="C219" s="50">
        <v>2</v>
      </c>
      <c r="D219" s="60">
        <v>48.723076923076924</v>
      </c>
      <c r="E219" s="63">
        <v>0</v>
      </c>
      <c r="F219" s="63">
        <v>0.56000000000000005</v>
      </c>
      <c r="G219" s="63">
        <v>0.44</v>
      </c>
      <c r="H219" s="63">
        <v>0</v>
      </c>
      <c r="I219" s="53">
        <f t="shared" ref="I219:I237" si="8">IF(A219&lt;&gt;0,(B219-(B218-D218))/(A219-A218),"")</f>
        <v>18.463076923076926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26</v>
      </c>
      <c r="B220" s="60">
        <v>249.41538461538462</v>
      </c>
      <c r="C220" s="50">
        <v>3</v>
      </c>
      <c r="D220" s="60">
        <v>46.984615384615381</v>
      </c>
      <c r="E220" s="63">
        <v>0.7</v>
      </c>
      <c r="F220" s="63">
        <v>0.16800000000000001</v>
      </c>
      <c r="G220" s="63">
        <v>0.13200000000000001</v>
      </c>
      <c r="H220" s="63">
        <v>0</v>
      </c>
      <c r="I220" s="53">
        <f t="shared" si="8"/>
        <v>19.071794871794875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>
        <v>32</v>
      </c>
      <c r="B221" s="55">
        <v>318.7923076923077</v>
      </c>
      <c r="C221" s="55">
        <v>4</v>
      </c>
      <c r="D221" s="55">
        <v>64.523076923076914</v>
      </c>
      <c r="E221" s="63">
        <v>0.7</v>
      </c>
      <c r="F221" s="63">
        <v>0.16800000000000001</v>
      </c>
      <c r="G221" s="63">
        <v>0.13200000000000001</v>
      </c>
      <c r="H221" s="63">
        <v>0</v>
      </c>
      <c r="I221" s="53">
        <f t="shared" si="8"/>
        <v>19.393589743589743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>
        <v>40</v>
      </c>
      <c r="B222" s="55">
        <v>398.71538461538461</v>
      </c>
      <c r="C222" s="55">
        <v>5</v>
      </c>
      <c r="D222" s="55">
        <v>92.661538461538456</v>
      </c>
      <c r="E222" s="63">
        <v>0.7</v>
      </c>
      <c r="F222" s="63">
        <v>0.16800000000000001</v>
      </c>
      <c r="G222" s="63">
        <v>0.13200000000000001</v>
      </c>
      <c r="H222" s="63">
        <v>0</v>
      </c>
      <c r="I222" s="53">
        <f t="shared" si="8"/>
        <v>18.055769230769229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>
        <v>48</v>
      </c>
      <c r="B223" s="55">
        <v>427.74615384615385</v>
      </c>
      <c r="C223" s="55">
        <v>6</v>
      </c>
      <c r="D223" s="55">
        <v>83.969230769230762</v>
      </c>
      <c r="E223" s="63">
        <v>0.7</v>
      </c>
      <c r="F223" s="63">
        <v>0.16800000000000001</v>
      </c>
      <c r="G223" s="63">
        <v>0.13200000000000001</v>
      </c>
      <c r="H223" s="63">
        <v>0</v>
      </c>
      <c r="I223" s="53">
        <f t="shared" si="8"/>
        <v>15.21153846153846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>
        <v>56</v>
      </c>
      <c r="B224" s="55">
        <v>446.47692307692301</v>
      </c>
      <c r="C224" s="55">
        <v>7</v>
      </c>
      <c r="D224" s="55">
        <v>446.47692307692301</v>
      </c>
      <c r="E224" s="63">
        <v>0.7</v>
      </c>
      <c r="F224" s="63">
        <v>0.16800000000000001</v>
      </c>
      <c r="G224" s="63">
        <v>0.13200000000000001</v>
      </c>
      <c r="H224" s="63">
        <v>0</v>
      </c>
      <c r="I224" s="53">
        <f t="shared" si="8"/>
        <v>12.837499999999991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>Cèdre de l'Atlas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>
        <v>30</v>
      </c>
      <c r="B244" s="60">
        <v>216.79230769230767</v>
      </c>
      <c r="C244" s="60" t="s">
        <v>324</v>
      </c>
      <c r="D244" s="60">
        <v>0</v>
      </c>
      <c r="E244" s="51">
        <v>0.7</v>
      </c>
      <c r="F244" s="51">
        <v>0.16800000000000001</v>
      </c>
      <c r="G244" s="51">
        <v>0.13200000000000001</v>
      </c>
      <c r="H244" s="63">
        <v>0</v>
      </c>
      <c r="I244" s="53">
        <f>IFERROR(B244/A244,"")</f>
        <v>7.2264102564102561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>
        <v>42</v>
      </c>
      <c r="B245" s="60">
        <v>410.3692307692308</v>
      </c>
      <c r="C245" s="60">
        <v>1</v>
      </c>
      <c r="D245" s="60">
        <v>179.84615384615384</v>
      </c>
      <c r="E245" s="63">
        <v>0</v>
      </c>
      <c r="F245" s="63">
        <v>0.56000000000000005</v>
      </c>
      <c r="G245" s="63">
        <v>0.44</v>
      </c>
      <c r="H245" s="63">
        <v>0</v>
      </c>
      <c r="I245" s="53">
        <f>IF(A245&lt;&gt;0,(B245-(B244-D244))/(A245-A244),"")</f>
        <v>16.131410256410259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>
        <v>49</v>
      </c>
      <c r="B246" s="60">
        <v>339.85384615384612</v>
      </c>
      <c r="C246" s="60">
        <v>2</v>
      </c>
      <c r="D246" s="60">
        <v>94.476923076923072</v>
      </c>
      <c r="E246" s="63">
        <v>0.7</v>
      </c>
      <c r="F246" s="63">
        <v>0.16800000000000001</v>
      </c>
      <c r="G246" s="63">
        <v>0.13200000000000001</v>
      </c>
      <c r="H246" s="63">
        <v>0</v>
      </c>
      <c r="I246" s="53">
        <f>IF(A246&lt;&gt;0,(B246-(B245-D245))/(A246-A245),"")</f>
        <v>15.618681318681309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>
        <v>56</v>
      </c>
      <c r="B247" s="60">
        <v>348.05384615384617</v>
      </c>
      <c r="C247" s="60">
        <v>3</v>
      </c>
      <c r="D247" s="60">
        <v>72.769230769230759</v>
      </c>
      <c r="E247" s="63">
        <v>0.7</v>
      </c>
      <c r="F247" s="63">
        <v>0.16800000000000001</v>
      </c>
      <c r="G247" s="63">
        <v>0.13200000000000001</v>
      </c>
      <c r="H247" s="63">
        <v>0</v>
      </c>
      <c r="I247" s="53">
        <f t="shared" ref="I247:I263" si="9">IF(A247&lt;&gt;0,(B247-(B246-D246))/(A247-A246),"")</f>
        <v>14.668131868131875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>
        <v>63</v>
      </c>
      <c r="B248" s="60">
        <v>375.17692307692306</v>
      </c>
      <c r="C248" s="60">
        <v>4</v>
      </c>
      <c r="D248" s="60">
        <v>71.123076923076923</v>
      </c>
      <c r="E248" s="63">
        <v>0.7</v>
      </c>
      <c r="F248" s="63">
        <v>0.16800000000000001</v>
      </c>
      <c r="G248" s="63">
        <v>0.13200000000000001</v>
      </c>
      <c r="H248" s="63">
        <v>0</v>
      </c>
      <c r="I248" s="53">
        <f t="shared" si="9"/>
        <v>14.270329670329668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>
        <v>71</v>
      </c>
      <c r="B249" s="60">
        <v>413.95384615384614</v>
      </c>
      <c r="C249" s="60">
        <v>5</v>
      </c>
      <c r="D249" s="60">
        <v>80.399999999999991</v>
      </c>
      <c r="E249" s="63">
        <v>0.7</v>
      </c>
      <c r="F249" s="63">
        <v>0.16800000000000001</v>
      </c>
      <c r="G249" s="63">
        <v>0.13200000000000001</v>
      </c>
      <c r="H249" s="63">
        <v>0</v>
      </c>
      <c r="I249" s="53">
        <f t="shared" si="9"/>
        <v>13.737499999999997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>
        <v>79</v>
      </c>
      <c r="B250" s="60">
        <v>436.86153846153843</v>
      </c>
      <c r="C250" s="60">
        <v>6</v>
      </c>
      <c r="D250" s="60">
        <v>77.338461538461544</v>
      </c>
      <c r="E250" s="63">
        <v>0.7</v>
      </c>
      <c r="F250" s="63">
        <v>0.16800000000000001</v>
      </c>
      <c r="G250" s="63">
        <v>0.13200000000000001</v>
      </c>
      <c r="H250" s="63">
        <v>0</v>
      </c>
      <c r="I250" s="53">
        <f t="shared" si="9"/>
        <v>12.913461538461533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>
        <v>87</v>
      </c>
      <c r="B251" s="55">
        <v>456.51538461538462</v>
      </c>
      <c r="C251" s="55">
        <v>7</v>
      </c>
      <c r="D251" s="55">
        <v>77.330769230769235</v>
      </c>
      <c r="E251" s="63">
        <v>0.7</v>
      </c>
      <c r="F251" s="63">
        <v>0.16800000000000001</v>
      </c>
      <c r="G251" s="63">
        <v>0.13200000000000001</v>
      </c>
      <c r="H251" s="63">
        <v>0</v>
      </c>
      <c r="I251" s="53">
        <f t="shared" si="9"/>
        <v>12.124038461538468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>
        <v>95</v>
      </c>
      <c r="B252" s="55">
        <v>469.12307692307689</v>
      </c>
      <c r="C252" s="55">
        <v>8</v>
      </c>
      <c r="D252" s="55">
        <v>234.42307692307691</v>
      </c>
      <c r="E252" s="63">
        <v>0.7</v>
      </c>
      <c r="F252" s="63">
        <v>0.16800000000000001</v>
      </c>
      <c r="G252" s="63">
        <v>0.13200000000000001</v>
      </c>
      <c r="H252" s="63">
        <v>0</v>
      </c>
      <c r="I252" s="53">
        <f t="shared" si="9"/>
        <v>11.242307692307691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>
        <v>105</v>
      </c>
      <c r="B253" s="55">
        <v>309.71538461538461</v>
      </c>
      <c r="C253" s="55">
        <v>9</v>
      </c>
      <c r="D253" s="55">
        <v>309.71538461538461</v>
      </c>
      <c r="E253" s="63">
        <v>0.7</v>
      </c>
      <c r="F253" s="63">
        <v>0.16800000000000001</v>
      </c>
      <c r="G253" s="63">
        <v>0.13200000000000001</v>
      </c>
      <c r="H253" s="63">
        <v>0</v>
      </c>
      <c r="I253" s="53">
        <f t="shared" si="9"/>
        <v>7.5015384615384617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>Douglas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>
        <v>21</v>
      </c>
      <c r="B270" s="60">
        <v>180.06153846153845</v>
      </c>
      <c r="C270" s="50">
        <v>1</v>
      </c>
      <c r="D270" s="60">
        <v>61.169230769230765</v>
      </c>
      <c r="E270" s="51">
        <v>0</v>
      </c>
      <c r="F270" s="51">
        <v>0.56000000000000005</v>
      </c>
      <c r="G270" s="51">
        <v>0.44</v>
      </c>
      <c r="H270" s="51">
        <v>0</v>
      </c>
      <c r="I270" s="53">
        <f>IFERROR(B270/A270,"")</f>
        <v>8.5743589743589741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>
        <v>28</v>
      </c>
      <c r="B271" s="60">
        <v>235.7076923076923</v>
      </c>
      <c r="C271" s="50">
        <v>2</v>
      </c>
      <c r="D271" s="60">
        <v>56.91538461538461</v>
      </c>
      <c r="E271" s="51">
        <v>0</v>
      </c>
      <c r="F271" s="51">
        <v>0.56000000000000005</v>
      </c>
      <c r="G271" s="51">
        <v>0.44</v>
      </c>
      <c r="H271" s="51">
        <v>0</v>
      </c>
      <c r="I271" s="53">
        <f>IF(A271&lt;&gt;0,(B271-(B270-D270))/(A271-A270),"")</f>
        <v>16.687912087912089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>
        <v>35</v>
      </c>
      <c r="B272" s="60">
        <v>305.49230769230769</v>
      </c>
      <c r="C272" s="50">
        <v>3</v>
      </c>
      <c r="D272" s="60">
        <v>70.5</v>
      </c>
      <c r="E272" s="51">
        <v>0.7</v>
      </c>
      <c r="F272" s="51">
        <v>0.16800000000000001</v>
      </c>
      <c r="G272" s="51">
        <v>0.13200000000000001</v>
      </c>
      <c r="H272" s="51">
        <v>0</v>
      </c>
      <c r="I272" s="53">
        <f t="shared" ref="I272:I289" si="10">IF(A272&lt;&gt;0,(B272-(B271-D271))/(A272-A271),"")</f>
        <v>18.099999999999998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>
        <v>42</v>
      </c>
      <c r="B273" s="60">
        <v>362.59999999999997</v>
      </c>
      <c r="C273" s="50">
        <v>4</v>
      </c>
      <c r="D273" s="60">
        <v>80.669230769230765</v>
      </c>
      <c r="E273" s="51">
        <v>0.7</v>
      </c>
      <c r="F273" s="51">
        <v>0.16800000000000001</v>
      </c>
      <c r="G273" s="51">
        <v>0.13200000000000001</v>
      </c>
      <c r="H273" s="51">
        <v>0</v>
      </c>
      <c r="I273" s="53">
        <f t="shared" si="10"/>
        <v>18.229670329670324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>
        <v>49</v>
      </c>
      <c r="B274" s="60">
        <v>404.56923076923078</v>
      </c>
      <c r="C274" s="50">
        <v>5</v>
      </c>
      <c r="D274" s="60">
        <v>90.453846153846158</v>
      </c>
      <c r="E274" s="51">
        <v>0.7</v>
      </c>
      <c r="F274" s="51">
        <v>0.16800000000000001</v>
      </c>
      <c r="G274" s="51">
        <v>0.13200000000000001</v>
      </c>
      <c r="H274" s="51">
        <v>0</v>
      </c>
      <c r="I274" s="53">
        <f t="shared" si="10"/>
        <v>17.519780219780223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>
        <v>56</v>
      </c>
      <c r="B275" s="60">
        <v>427.7076923076923</v>
      </c>
      <c r="C275" s="50">
        <v>6</v>
      </c>
      <c r="D275" s="60">
        <v>75.869230769230768</v>
      </c>
      <c r="E275" s="63">
        <v>0.7</v>
      </c>
      <c r="F275" s="63">
        <v>0.16800000000000001</v>
      </c>
      <c r="G275" s="63">
        <v>0.13200000000000001</v>
      </c>
      <c r="H275" s="63">
        <v>0</v>
      </c>
      <c r="I275" s="53">
        <f t="shared" si="10"/>
        <v>16.227472527472521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>
        <v>63</v>
      </c>
      <c r="B276" s="60">
        <v>455.71538461538466</v>
      </c>
      <c r="C276" s="50">
        <v>7</v>
      </c>
      <c r="D276" s="60">
        <v>79.723076923076917</v>
      </c>
      <c r="E276" s="63">
        <v>0.7</v>
      </c>
      <c r="F276" s="63">
        <v>0.16800000000000001</v>
      </c>
      <c r="G276" s="63">
        <v>0.13200000000000001</v>
      </c>
      <c r="H276" s="63">
        <v>0</v>
      </c>
      <c r="I276" s="53">
        <f t="shared" si="10"/>
        <v>14.839560439560453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>
        <v>70</v>
      </c>
      <c r="B277" s="55">
        <v>469.06923076923073</v>
      </c>
      <c r="C277" s="55">
        <v>8</v>
      </c>
      <c r="D277" s="55">
        <v>469.06923076923073</v>
      </c>
      <c r="E277" s="63">
        <v>0.7</v>
      </c>
      <c r="F277" s="63">
        <v>0.16800000000000001</v>
      </c>
      <c r="G277" s="63">
        <v>0.13200000000000001</v>
      </c>
      <c r="H277" s="63">
        <v>0</v>
      </c>
      <c r="I277" s="53">
        <f t="shared" si="10"/>
        <v>13.296703296703283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6" sqref="B16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0.74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0.26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tauzin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chevelu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Charme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Cormier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Alisier torminal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Pin maritime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Cèdre de l'Atlas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Douglas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3.7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13.566666666666668</v>
      </c>
      <c r="H3" s="67">
        <f>(B3+E3+F3)*44/12+(C3+D3)*0.475*44/12</f>
        <v>202.4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188.83333333333334</v>
      </c>
      <c r="S3" s="59">
        <f ca="1">AVERAGE(OFFSET($R$3,0,0,'Données projet'!$E$9+1,1))-AVERAGE(OFFSET($H$3,0,0,'Données projet'!$E$9+1,1))</f>
        <v>411.64357329340851</v>
      </c>
      <c r="T3" s="59">
        <f>IF('Données projet'!E9&gt;30,$R$33-$H$33,LOOKUP('Données projet'!$E$9,$A$3:$A$203,R3:R203)-LOOKUP('Données projet'!$E$9,$A$3:$A$203,$H$3:$H$203))</f>
        <v>294.07942258675632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188.83333333333334</v>
      </c>
      <c r="AN3" s="59">
        <f ca="1">AVERAGE(OFFSET($AM$3,0,0,'Données projet'!$E$10+1,1))-AVERAGE(OFFSET($H$3,0,0,'Données projet'!$E$10+1,1))</f>
        <v>453.05577105995508</v>
      </c>
      <c r="AO3" s="59">
        <f>IF('Données projet'!E10&gt;30,$AM$33-$H$33,LOOKUP('Données projet'!$E$10,$A$3:$A$203,AM3:AM203)-LOOKUP('Données projet'!$E$10,$A$3:$A$203,$H$3:$H$203))</f>
        <v>322.6839824496758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188.83333333333334</v>
      </c>
      <c r="BI3" s="59">
        <f ca="1">AVERAGE(OFFSET($BH$3,0,0,'Données projet'!$E$11+1,1))-AVERAGE(OFFSET($H$3,0,0,'Données projet'!$E$11+1,1))</f>
        <v>411.38162678377478</v>
      </c>
      <c r="BJ3" s="59">
        <f>IF('Données projet'!E11&gt;30,$BH$33-$H$33,LOOKUP('Données projet'!$E$11,$A$3:$A$203,BH3:BH203)-LOOKUP('Données projet'!$E$11,$A$3:$A$203,$H$3:$H$203))</f>
        <v>177.89903563360403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188.83333333333334</v>
      </c>
      <c r="CD3" s="59">
        <f ca="1">AVERAGE(OFFSET($CC$3,0,0,'Données projet'!$E$12+1,1))-AVERAGE(OFFSET($H$3,0,0,'Données projet'!$E$12+1,1))</f>
        <v>374.38550202939507</v>
      </c>
      <c r="CE3" s="59">
        <f>IF('Données projet'!E12&gt;30,$CC$33-$H$33,LOOKUP('Données projet'!$E$12,$A$3:$A$203,CC3:CC203)-LOOKUP('Données projet'!$E$12,$A$3:$A$203,$H$3:$H$203))</f>
        <v>324.37486924296718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188.83333333333334</v>
      </c>
      <c r="CY3" s="59">
        <f ca="1">AVERAGE(OFFSET($CX$3,0,0,'Données projet'!$E$13+1,1))-AVERAGE(OFFSET($H$3,0,0,'Données projet'!$E$13+1,1))</f>
        <v>392.81074187112989</v>
      </c>
      <c r="CZ3" s="59">
        <f>IF('Données projet'!E13&gt;30,$CX$33-$H$33,LOOKUP('Données projet'!$E$13,$A$3:$A$203,CX3:CX203)-LOOKUP('Données projet'!$E$13,$A$3:$A$203,$H$3:$H$203))</f>
        <v>236.19146849073687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188.83333333333334</v>
      </c>
      <c r="DT3" s="59">
        <f ca="1">AVERAGE(OFFSET($DS$3,0,0,'Données projet'!$E$14+1,1))-AVERAGE(OFFSET($H$3,0,0,'Données projet'!$E$14+1,1))</f>
        <v>434.77799524785502</v>
      </c>
      <c r="DU3" s="59">
        <f>IF('Données projet'!E14&gt;30,$DS$33-$H$33,LOOKUP('Données projet'!$E$14,$A$3:$A$203,DS3:DS203)-LOOKUP('Données projet'!$E$14,$A$3:$A$203,$H$3:$H$203))</f>
        <v>259.85949838170006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188.83333333333334</v>
      </c>
      <c r="EO3" s="59">
        <f ca="1">AVERAGE(OFFSET($EN$3,0,0,'Données projet'!$E$15+1,1))-AVERAGE(OFFSET($H$3,0,0,'Données projet'!$E$15+1,1))</f>
        <v>398.06270423055565</v>
      </c>
      <c r="EP3" s="59">
        <f>IF('Données projet'!E15&gt;30,$EN$33-$H$33,LOOKUP('Données projet'!$E$15,$A$3:$A$203,EN3:EN203)-LOOKUP('Données projet'!$E$15,$A$3:$A$203,$H$3:$H$203))</f>
        <v>239.15364562040614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188.83333333333334</v>
      </c>
      <c r="FJ3" s="59">
        <f ca="1">AVERAGE(OFFSET($FI$3,0,0,'Données projet'!$E$16+1,1))-AVERAGE(OFFSET($H$3,0,0,'Données projet'!$E$16+1,1))</f>
        <v>334.13861979962491</v>
      </c>
      <c r="FK3" s="59">
        <f>IF('Données projet'!E16&gt;30,$FI$33-$H$33,LOOKUP('Données projet'!$E$16,$A$3:$A$203,FI3:FI203)-LOOKUP('Données projet'!$E$16,$A$3:$A$203,$H$3:$H$203))</f>
        <v>416.48635183664305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188.83333333333334</v>
      </c>
      <c r="GE3" s="59">
        <f ca="1">AVERAGE(OFFSET($GD$3,0,0,'Données projet'!$E$17+1,1))-AVERAGE(OFFSET($H$3,0,0,'Données projet'!$E$17+1,1))</f>
        <v>317.79829681023142</v>
      </c>
      <c r="GF3" s="59">
        <f>IF('Données projet'!E17&gt;30,$GD$33-$H$33,LOOKUP('Données projet'!$E$17,$A$3:$A$203,GD3:GD203)-LOOKUP('Données projet'!$E$17,$A$3:$A$203,$H$3:$H$203))</f>
        <v>275.07716943523621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188.83333333333334</v>
      </c>
      <c r="GZ3" s="59">
        <f ca="1">AVERAGE(OFFSET($GY$3,0,0,'Données projet'!$E$18+1,1))-AVERAGE(OFFSET($H$3,0,0,'Données projet'!$E$18+1,1))</f>
        <v>336.21787234885699</v>
      </c>
      <c r="HA3" s="59">
        <f>IF('Données projet'!E18&gt;30,$GY$33-$H$33,LOOKUP('Données projet'!$E$18,$A$3:$A$203,GY3:GY203)-LOOKUP('Données projet'!$E$18,$A$3:$A$203,$H$3:$H$203))</f>
        <v>315.36156736899113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3.7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13.566666666666668</v>
      </c>
      <c r="H4" s="67">
        <f t="shared" ref="H4:H67" si="1">(B4+E4+F4)*44/12+(C4+D4)*0.475*44/12</f>
        <v>202.4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51.820933640196145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193.92817010352758</v>
      </c>
      <c r="S4" s="59">
        <f ca="1">AVERAGE(OFFSET($R$3,0,0,'Données projet'!$E$9+1,1))-AVERAGE(OFFSET($H$3,0,0,'Données projet'!$E$9+1,1))</f>
        <v>411.64357329340851</v>
      </c>
      <c r="T4" s="59">
        <f>$T$3</f>
        <v>294.07942258675632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51.820933640196145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4.0628205128205126</v>
      </c>
      <c r="AI4" s="13">
        <f>IF('Données projet'!$A$62&gt;35,AI3+AH4-AQ3,IF(A4&lt;'Données projet'!$A$62,$AF$205^A4,IF(A4='Données projet'!$A$62,'Données projet'!$B$62,AI3+AH4-AQ3)))</f>
        <v>1.1736311550444201</v>
      </c>
      <c r="AJ4" s="13">
        <f>AI4*VLOOKUP('Données projet'!$B$10,Paramètres!$A$1:$I$89,3,0)*VLOOKUP('Données projet'!$B$10,Paramètres!$A$1:$I$89,5,0)</f>
        <v>1.1900619912150421</v>
      </c>
      <c r="AK4" s="13">
        <f>EXP(-1.0587+0.8836*LN(AJ4)+0.284)</f>
        <v>0.53743426225295832</v>
      </c>
      <c r="AL4" s="20">
        <f t="shared" ref="AL4:AL67" si="4">(AJ4+AK4)*0.475*44/12</f>
        <v>3.0087226414567669</v>
      </c>
      <c r="AM4" s="59">
        <f t="shared" ref="AM4:AM67" si="5">AL4+(AD4+AE4)*44/12</f>
        <v>194.24103487773152</v>
      </c>
      <c r="AN4" s="59">
        <f ca="1">AVERAGE(OFFSET($AM$3,0,0,'Données projet'!$E$10+1,1))-AVERAGE(OFFSET($H$3,0,0,'Données projet'!$E$10+1,1))</f>
        <v>453.05577105995508</v>
      </c>
      <c r="AO4" s="59">
        <f>$AO$3</f>
        <v>322.6839824496758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51.820933640196145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1.8914529914529912</v>
      </c>
      <c r="BD4" s="12">
        <f>IF('Données projet'!$A$88&gt;35,BD3+BC4-BL3,IF(A4&lt;'Données projet'!$A$88,$BA$205^A4,IF(A4='Données projet'!$A$88,'Données projet'!$B$88,BD3+BC4-BL3)))</f>
        <v>1.1440997575339091</v>
      </c>
      <c r="BE4" s="13">
        <f>BD4*VLOOKUP('Données projet'!$B$11,Paramètres!$A$1:$I$89,3,0)*VLOOKUP('Données projet'!$B$11,Paramètres!$A$1:$I$89,5,0)</f>
        <v>1.1422691979218549</v>
      </c>
      <c r="BF4" s="13">
        <f>EXP(-1.0587+0.8836*LN(BE4)+0.284)</f>
        <v>0.51831798828453313</v>
      </c>
      <c r="BG4" s="20">
        <f t="shared" ref="BG4:BG67" si="7">(BE4+BF4)*0.475*44/12</f>
        <v>2.8921893493094593</v>
      </c>
      <c r="BH4" s="59">
        <f t="shared" ref="BH4:BH67" si="8">BG4+(AY4+AZ4)*44/12</f>
        <v>194.12450158558423</v>
      </c>
      <c r="BI4" s="59">
        <f ca="1">AVERAGE(OFFSET($BH$3,0,0,'Données projet'!$E$11+1,1))-AVERAGE(OFFSET($H$3,0,0,'Données projet'!$E$11+1,1))</f>
        <v>411.38162678377478</v>
      </c>
      <c r="BJ4" s="59">
        <f>$BJ$3</f>
        <v>177.89903563360403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51.820933640196145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</v>
      </c>
      <c r="BY4" s="12">
        <f>IF('Données projet'!$A$114&gt;35,BY3+BX4-CG3,IF(A4&lt;'Données projet'!$A$114,$BV$205^A4,IF(A4='Données projet'!$A$114,'Données projet'!$B$114,BY3+BX4-CG3)))</f>
        <v>1.335141362540313</v>
      </c>
      <c r="BZ4" s="13">
        <f>BY4*VLOOKUP('Données projet'!$B$12,Paramètres!$A$1:$I$89,3,0)*VLOOKUP('Données projet'!$B$12,Paramètres!$A$1:$I$89,5,0)</f>
        <v>1.3954897521271352</v>
      </c>
      <c r="CA4" s="13">
        <f>EXP(-1.0587+0.8836*LN(BZ4)+0.284)</f>
        <v>0.61863221819522474</v>
      </c>
      <c r="CB4" s="20">
        <f t="shared" ref="CB4:CB67" si="10">(BZ4+CA4)*0.475*44/12</f>
        <v>3.5079290983114433</v>
      </c>
      <c r="CC4" s="59">
        <f t="shared" ref="CC4:CC67" si="11">CB4+(BT4+BU4)*44/12</f>
        <v>194.74024133458622</v>
      </c>
      <c r="CD4" s="59">
        <f ca="1">AVERAGE(OFFSET($CC$3,0,0,'Données projet'!$E$12+1,1))-AVERAGE(OFFSET($H$3,0,0,'Données projet'!$E$12+1,1))</f>
        <v>374.38550202939507</v>
      </c>
      <c r="CE4" s="59">
        <f>$CE$3</f>
        <v>324.37486924296718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51.820933640196145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2.9235042735042733</v>
      </c>
      <c r="CT4" s="12">
        <f>IF('Données projet'!$A$140&gt;35,CT3+CS4-DB3,IF(A4&lt;'Données projet'!$A$140,$CQ$205^A4,IF(A4='Données projet'!$A$140,'Données projet'!$B$140,CT3+CS4-DB3)))</f>
        <v>1.1608269964373037</v>
      </c>
      <c r="CU4" s="17">
        <f>CT4*VLOOKUP('Données projet'!$B$13,Paramètres!$A$1:$I$89,3,0)*VLOOKUP('Données projet'!$B$13,Paramètres!$A$1:$I$89,5,0)</f>
        <v>1.1046429698097382</v>
      </c>
      <c r="CV4" s="13">
        <f>EXP(-1.0587+0.8836*LN(CU4)+0.284)</f>
        <v>0.50320270245915544</v>
      </c>
      <c r="CW4" s="20">
        <f t="shared" ref="CW4:CW67" si="13">(CU4+CV4)*0.475*44/12</f>
        <v>2.80033121253499</v>
      </c>
      <c r="CX4" s="59">
        <f t="shared" ref="CX4:CX67" si="14">CW4+(CO4+CP4)*44/12</f>
        <v>194.03264344880975</v>
      </c>
      <c r="CY4" s="59">
        <f ca="1">AVERAGE(OFFSET($CX$3,0,0,'Données projet'!$E$13+1,1))-AVERAGE(OFFSET($H$3,0,0,'Données projet'!$E$13+1,1))</f>
        <v>392.81074187112989</v>
      </c>
      <c r="CZ4" s="59">
        <f>$CZ$3</f>
        <v>236.19146849073687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51.820933640196145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2.9235042735042733</v>
      </c>
      <c r="DO4" s="12">
        <f>IF('Données projet'!$A$166&gt;35,DO3+DN4-DW3,IF(A4&lt;'Données projet'!$A$166,$DL$205^A4,IF(A4='Données projet'!$A$166,'Données projet'!$B$166,DO3+DN4-DW3)))</f>
        <v>1.1608269964373037</v>
      </c>
      <c r="DP4" s="17">
        <f>DO4*VLOOKUP('Données projet'!$B$14,Paramètres!$A$1:$I$89,3,0)*VLOOKUP('Données projet'!$B$14,Paramètres!$A$1:$I$89,5,0)</f>
        <v>1.2495141789651136</v>
      </c>
      <c r="DQ4" s="13">
        <f>EXP(-1.0587+0.8836*LN(DP4)+0.284)</f>
        <v>0.56109006538617967</v>
      </c>
      <c r="DR4" s="20">
        <f t="shared" ref="DR4:DR67" si="16">(DP4+DQ4)*0.475*44/12</f>
        <v>3.1534690589118353</v>
      </c>
      <c r="DS4" s="59">
        <f t="shared" ref="DS4:DS67" si="17">DR4+(DJ4+DK4)*44/12</f>
        <v>194.3857812951866</v>
      </c>
      <c r="DT4" s="59">
        <f ca="1">AVERAGE(OFFSET($DS$3,0,0,'Données projet'!$E$14+1,1))-AVERAGE(OFFSET($H$3,0,0,'Données projet'!$E$14+1,1))</f>
        <v>434.77799524785502</v>
      </c>
      <c r="DU4" s="59">
        <f>$DU$3</f>
        <v>259.85949838170006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51.820933640196145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2.9235042735042733</v>
      </c>
      <c r="EJ4" s="12">
        <f>IF('Données projet'!$A$192&gt;35,EJ3+EI4-ER3,IF(A4&lt;'Données projet'!$A$192,$EG$205^A4,IF(A4='Données projet'!$A$192,'Données projet'!$B$192,EJ3+EI4-ER3)))</f>
        <v>1.1608269964373037</v>
      </c>
      <c r="EK4" s="17">
        <f>EJ4*VLOOKUP('Données projet'!$B$15,Paramètres!$A$1:$I$89,3,0)*VLOOKUP('Données projet'!$B$15,Paramètres!$A$1:$I$89,5,0)</f>
        <v>1.1227518709541602</v>
      </c>
      <c r="EL4" s="13">
        <f>EXP(-1.0587+0.8836*LN(EK4)+0.284)</f>
        <v>0.51048480496708748</v>
      </c>
      <c r="EM4" s="20">
        <f t="shared" ref="EM4:EM67" si="19">(EK4+EL4)*0.475*44/12</f>
        <v>2.8445538772295063</v>
      </c>
      <c r="EN4" s="59">
        <f t="shared" ref="EN4:EN67" si="20">EM4+(EE4+EF4)*44/12</f>
        <v>194.07686611350428</v>
      </c>
      <c r="EO4" s="59">
        <f ca="1">AVERAGE(OFFSET($EN$3,0,0,'Données projet'!$E$15+1,1))-AVERAGE(OFFSET($H$3,0,0,'Données projet'!$E$15+1,1))</f>
        <v>398.06270423055565</v>
      </c>
      <c r="EP4" s="59">
        <f>$EP$3</f>
        <v>239.15364562040614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51.820933640196145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9.4117948717948714</v>
      </c>
      <c r="FE4" s="12">
        <f>IF('Données projet'!$A$218&gt;35,FE3+FD4-FM3,IF(A4&lt;'Données projet'!$A$218,$FB$205^A4,IF(A4='Données projet'!$A$218,'Données projet'!$B$218,FE3+FD4-FM3)))</f>
        <v>1.3909694153327172</v>
      </c>
      <c r="FF4" s="17">
        <f>FE4*VLOOKUP('Données projet'!$B$16,Paramètres!$A$1:$I$89,3,0)*VLOOKUP('Données projet'!$B$16,Paramètres!$A$1:$I$89,5,0)</f>
        <v>0.83179971036896505</v>
      </c>
      <c r="FG4" s="13">
        <f>EXP(-1.0587+0.8836*LN(FF4)+0.284)</f>
        <v>0.39163423183147406</v>
      </c>
      <c r="FH4" s="20">
        <f t="shared" ref="FH4:FH67" si="22">(FF4+FG4)*0.475*44/12</f>
        <v>2.1308141159990979</v>
      </c>
      <c r="FI4" s="59">
        <f t="shared" ref="FI4:FI67" si="23">FH4+(EZ4+FA4)*44/12</f>
        <v>193.36312635227387</v>
      </c>
      <c r="FJ4" s="59">
        <f ca="1">AVERAGE(OFFSET($FI$3,0,0,'Données projet'!$E$16+1,1))-AVERAGE(OFFSET($H$3,0,0,'Données projet'!$E$16+1,1))</f>
        <v>334.13861979962491</v>
      </c>
      <c r="FK4" s="59">
        <f>$FK$3</f>
        <v>416.48635183664305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51.820933640196145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7.2264102564102561</v>
      </c>
      <c r="FZ4" s="12">
        <f>IF('Données projet'!$A$244&gt;35,FZ3+FY4-GH3,IF(A4&lt;'Données projet'!$A$244,$FW$205^A4,IF(A4='Données projet'!$A$244,'Données projet'!$B$244,FZ3+FY4-GH3)))</f>
        <v>1.1963772029987372</v>
      </c>
      <c r="GA4" s="17">
        <f>FZ4*VLOOKUP('Données projet'!$B$17,Paramètres!$A$1:$I$89,3,0)*VLOOKUP('Données projet'!$B$17,Paramètres!$A$1:$I$89,5,0)</f>
        <v>0.55990453100340898</v>
      </c>
      <c r="GB4" s="13">
        <f>EXP(-1.0587+0.8836*LN(GA4)+0.284)</f>
        <v>0.2760486193577778</v>
      </c>
      <c r="GC4" s="20">
        <f t="shared" ref="GC4:GC67" si="25">(GA4+GB4)*0.475*44/12</f>
        <v>1.4559517368790669</v>
      </c>
      <c r="GD4" s="59">
        <f t="shared" ref="GD4:GD67" si="26">GC4+(FU4+FV4)*44/12</f>
        <v>192.68826397315382</v>
      </c>
      <c r="GE4" s="59">
        <f ca="1">AVERAGE(OFFSET($GD$3,0,0,'Données projet'!$E$17+1,1))-AVERAGE(OFFSET($H$3,0,0,'Données projet'!$E$17+1,1))</f>
        <v>317.79829681023142</v>
      </c>
      <c r="GF4" s="59">
        <f>$GF$3</f>
        <v>275.07716943523621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51.820933640196145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8.5743589743589741</v>
      </c>
      <c r="GU4" s="12">
        <f>IF('Données projet'!$A$270&gt;35,GU3+GT4-HC3,IF(A4&lt;'Données projet'!$A$270,$GR$205^A4,IF(A4='Données projet'!$A$270,'Données projet'!$B$270,GU3+GT4-HC3)))</f>
        <v>1.2805631431945952</v>
      </c>
      <c r="GV4" s="17">
        <f>GU4*VLOOKUP('Données projet'!$B$18,Paramètres!$A$1:$I$89,3,0)*VLOOKUP('Données projet'!$B$18,Paramètres!$A$1:$I$89,5,0)</f>
        <v>0.71583479704577868</v>
      </c>
      <c r="GW4" s="13">
        <f>EXP(-1.0587+0.8836*LN(GV4)+0.284)</f>
        <v>0.34297673370795467</v>
      </c>
      <c r="GX4" s="20">
        <f t="shared" ref="GX4:GX67" si="28">(GV4+GW4)*0.475*44/12</f>
        <v>1.8440967493960854</v>
      </c>
      <c r="GY4" s="59">
        <f t="shared" ref="GY4:GY67" si="29">GX4+(GP4+GQ4)*44/12</f>
        <v>193.07640898567084</v>
      </c>
      <c r="GZ4" s="59">
        <f ca="1">AVERAGE(OFFSET($GY$3,0,0,'Données projet'!$E$18+1,1))-AVERAGE(OFFSET($H$3,0,0,'Données projet'!$E$18+1,1))</f>
        <v>336.21787234885699</v>
      </c>
      <c r="HA4" s="59">
        <f>$HA$3</f>
        <v>315.36156736899113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3.7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13.566666666666668</v>
      </c>
      <c r="H5" s="67">
        <f t="shared" si="1"/>
        <v>202.4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52.136299799235019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196.75647948456893</v>
      </c>
      <c r="S5" s="59">
        <f ca="1">AVERAGE(OFFSET($R$3,0,0,'Données projet'!$E$9+1,1))-AVERAGE(OFFSET($H$3,0,0,'Données projet'!$E$9+1,1))</f>
        <v>411.64357329340851</v>
      </c>
      <c r="T5" s="59">
        <f t="shared" ref="T5:T68" si="34">$T$3</f>
        <v>294.07942258675632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52.136299799235019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4.0628205128205126</v>
      </c>
      <c r="AI5" s="13">
        <f>IF('Données projet'!$A$62&gt;35,AI4+AH5-AQ4,IF(A5&lt;'Données projet'!$A$62,$AF$205^A5,IF(A5='Données projet'!$A$62,'Données projet'!$B$62,AI4+AH5-AQ4)))</f>
        <v>1.3774100880908995</v>
      </c>
      <c r="AJ5" s="13">
        <f>AI5*VLOOKUP('Données projet'!$B$10,Paramètres!$A$1:$I$89,3,0)*VLOOKUP('Données projet'!$B$10,Paramètres!$A$1:$I$89,5,0)</f>
        <v>1.3966938293241722</v>
      </c>
      <c r="AK5" s="13">
        <f t="shared" ref="AK5:AK68" si="35">EXP(-1.0587+0.8836*LN(AJ5)+0.284)</f>
        <v>0.61910384026408283</v>
      </c>
      <c r="AL5" s="20">
        <f t="shared" si="4"/>
        <v>3.5108476078662108</v>
      </c>
      <c r="AM5" s="59">
        <f t="shared" si="5"/>
        <v>197.12172464950572</v>
      </c>
      <c r="AN5" s="59">
        <f ca="1">AVERAGE(OFFSET($AM$3,0,0,'Données projet'!$E$10+1,1))-AVERAGE(OFFSET($H$3,0,0,'Données projet'!$E$10+1,1))</f>
        <v>453.05577105995508</v>
      </c>
      <c r="AO5" s="59">
        <f t="shared" ref="AO5:AO68" si="36">$AO$3</f>
        <v>322.6839824496758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52.136299799235019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1.8914529914529912</v>
      </c>
      <c r="BD5" s="12">
        <f>IF('Données projet'!$A$88&gt;35,BD4+BC5-BL4,IF(A5&lt;'Données projet'!$A$88,$BA$205^A5,IF(A5='Données projet'!$A$88,'Données projet'!$B$88,BD4+BC5-BL4)))</f>
        <v>1.3089642551891496</v>
      </c>
      <c r="BE5" s="13">
        <f>BD5*VLOOKUP('Données projet'!$B$11,Paramètres!$A$1:$I$89,3,0)*VLOOKUP('Données projet'!$B$11,Paramètres!$A$1:$I$89,5,0)</f>
        <v>1.3068699123808469</v>
      </c>
      <c r="BF5" s="13">
        <f t="shared" ref="BF5:BF68" si="37">EXP(-1.0587+0.8836*LN(BE5)+0.284)</f>
        <v>0.58378775004073369</v>
      </c>
      <c r="BG5" s="20">
        <f t="shared" si="7"/>
        <v>3.292895428717586</v>
      </c>
      <c r="BH5" s="59">
        <f t="shared" si="8"/>
        <v>196.9037724703571</v>
      </c>
      <c r="BI5" s="59">
        <f ca="1">AVERAGE(OFFSET($BH$3,0,0,'Données projet'!$E$11+1,1))-AVERAGE(OFFSET($H$3,0,0,'Données projet'!$E$11+1,1))</f>
        <v>411.38162678377478</v>
      </c>
      <c r="BJ5" s="59">
        <f t="shared" ref="BJ5:BJ68" si="38">$BJ$3</f>
        <v>177.89903563360403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52.136299799235019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</v>
      </c>
      <c r="BY5" s="12">
        <f>IF('Données projet'!$A$114&gt;35,BY4+BX5-CG4,IF(A5&lt;'Données projet'!$A$114,$BV$205^A5,IF(A5='Données projet'!$A$114,'Données projet'!$B$114,BY4+BX5-CG4)))</f>
        <v>1.7826024579660036</v>
      </c>
      <c r="BZ5" s="13">
        <f>BY5*VLOOKUP('Données projet'!$B$12,Paramètres!$A$1:$I$89,3,0)*VLOOKUP('Données projet'!$B$12,Paramètres!$A$1:$I$89,5,0)</f>
        <v>1.8631760890660669</v>
      </c>
      <c r="CA5" s="13">
        <f t="shared" ref="CA5:CA68" si="39">EXP(-1.0587+0.8836*LN(BZ5)+0.284)</f>
        <v>0.79863513536342279</v>
      </c>
      <c r="CB5" s="20">
        <f t="shared" si="10"/>
        <v>4.6359878825480276</v>
      </c>
      <c r="CC5" s="59">
        <f t="shared" si="11"/>
        <v>198.24686492418752</v>
      </c>
      <c r="CD5" s="59">
        <f ca="1">AVERAGE(OFFSET($CC$3,0,0,'Données projet'!$E$12+1,1))-AVERAGE(OFFSET($H$3,0,0,'Données projet'!$E$12+1,1))</f>
        <v>374.38550202939507</v>
      </c>
      <c r="CE5" s="59">
        <f t="shared" ref="CE5:CE68" si="40">$CE$3</f>
        <v>324.37486924296718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52.136299799235019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2.9235042735042733</v>
      </c>
      <c r="CT5" s="12">
        <f>IF('Données projet'!$A$140&gt;35,CT4+CS5-DB4,IF(A5&lt;'Données projet'!$A$140,$CQ$205^A5,IF(A5='Données projet'!$A$140,'Données projet'!$B$140,CT4+CS5-DB4)))</f>
        <v>1.3475193156576519</v>
      </c>
      <c r="CU5" s="17">
        <f>CT5*VLOOKUP('Données projet'!$B$13,Paramètres!$A$1:$I$89,3,0)*VLOOKUP('Données projet'!$B$13,Paramètres!$A$1:$I$89,5,0)</f>
        <v>1.2822993807798215</v>
      </c>
      <c r="CV5" s="13">
        <f t="shared" ref="CV5:CV68" si="41">EXP(-1.0587+0.8836*LN(CU5)+0.284)</f>
        <v>0.57407882412097866</v>
      </c>
      <c r="CW5" s="20">
        <f t="shared" si="13"/>
        <v>3.2331920402022267</v>
      </c>
      <c r="CX5" s="59">
        <f t="shared" si="14"/>
        <v>196.84406908184172</v>
      </c>
      <c r="CY5" s="59">
        <f ca="1">AVERAGE(OFFSET($CX$3,0,0,'Données projet'!$E$13+1,1))-AVERAGE(OFFSET($H$3,0,0,'Données projet'!$E$13+1,1))</f>
        <v>392.81074187112989</v>
      </c>
      <c r="CZ5" s="59">
        <f t="shared" ref="CZ5:CZ68" si="42">$CZ$3</f>
        <v>236.19146849073687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52.136299799235019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2.9235042735042733</v>
      </c>
      <c r="DO5" s="12">
        <f>IF('Données projet'!$A$166&gt;35,DO4+DN5-DW4,IF(A5&lt;'Données projet'!$A$166,$DL$205^A5,IF(A5='Données projet'!$A$166,'Données projet'!$B$166,DO4+DN5-DW4)))</f>
        <v>1.3475193156576519</v>
      </c>
      <c r="DP5" s="17">
        <f>DO5*VLOOKUP('Données projet'!$B$14,Paramètres!$A$1:$I$89,3,0)*VLOOKUP('Données projet'!$B$14,Paramètres!$A$1:$I$89,5,0)</f>
        <v>1.4504697913738964</v>
      </c>
      <c r="DQ5" s="13">
        <f t="shared" ref="DQ5:DQ68" si="43">EXP(-1.0587+0.8836*LN(DP5)+0.284)</f>
        <v>0.64011962453442217</v>
      </c>
      <c r="DR5" s="20">
        <f t="shared" si="16"/>
        <v>3.6411098993736544</v>
      </c>
      <c r="DS5" s="59">
        <f t="shared" si="17"/>
        <v>197.25198694101314</v>
      </c>
      <c r="DT5" s="59">
        <f ca="1">AVERAGE(OFFSET($DS$3,0,0,'Données projet'!$E$14+1,1))-AVERAGE(OFFSET($H$3,0,0,'Données projet'!$E$14+1,1))</f>
        <v>434.77799524785502</v>
      </c>
      <c r="DU5" s="59">
        <f t="shared" ref="DU5:DU68" si="44">$DU$3</f>
        <v>259.85949838170006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52.136299799235019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2.9235042735042733</v>
      </c>
      <c r="EJ5" s="12">
        <f>IF('Données projet'!$A$192&gt;35,EJ4+EI5-ER4,IF(A5&lt;'Données projet'!$A$192,$EG$205^A5,IF(A5='Données projet'!$A$192,'Données projet'!$B$192,EJ4+EI5-ER4)))</f>
        <v>1.3475193156576519</v>
      </c>
      <c r="EK5" s="17">
        <f>EJ5*VLOOKUP('Données projet'!$B$15,Paramètres!$A$1:$I$89,3,0)*VLOOKUP('Données projet'!$B$15,Paramètres!$A$1:$I$89,5,0)</f>
        <v>1.303320682104081</v>
      </c>
      <c r="EL5" s="13">
        <f t="shared" ref="EL5:EL68" si="45">EXP(-1.0587+0.8836*LN(EK5)+0.284)</f>
        <v>0.5823866110713507</v>
      </c>
      <c r="EM5" s="20">
        <f t="shared" si="19"/>
        <v>3.284273535613877</v>
      </c>
      <c r="EN5" s="59">
        <f t="shared" si="20"/>
        <v>196.89515057725336</v>
      </c>
      <c r="EO5" s="59">
        <f ca="1">AVERAGE(OFFSET($EN$3,0,0,'Données projet'!$E$15+1,1))-AVERAGE(OFFSET($H$3,0,0,'Données projet'!$E$15+1,1))</f>
        <v>398.06270423055565</v>
      </c>
      <c r="EP5" s="59">
        <f t="shared" ref="EP5:EP68" si="46">$EP$3</f>
        <v>239.15364562040614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52.136299799235019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9.4117948717948714</v>
      </c>
      <c r="FE5" s="12">
        <f>IF('Données projet'!$A$218&gt;35,FE4+FD5-FM4,IF(A5&lt;'Données projet'!$A$218,$FB$205^A5,IF(A5='Données projet'!$A$218,'Données projet'!$B$218,FE4+FD5-FM4)))</f>
        <v>1.9347959143910411</v>
      </c>
      <c r="FF5" s="17">
        <f>FE5*VLOOKUP('Données projet'!$B$16,Paramètres!$A$1:$I$89,3,0)*VLOOKUP('Données projet'!$B$16,Paramètres!$A$1:$I$89,5,0)</f>
        <v>1.1570079568058427</v>
      </c>
      <c r="FG5" s="13">
        <f t="shared" ref="FG5:FG68" si="47">EXP(-1.0587+0.8836*LN(FF5)+0.284)</f>
        <v>0.52422298600197004</v>
      </c>
      <c r="FH5" s="20">
        <f t="shared" si="22"/>
        <v>2.9281438920569403</v>
      </c>
      <c r="FI5" s="59">
        <f t="shared" si="23"/>
        <v>196.53902093369643</v>
      </c>
      <c r="FJ5" s="59">
        <f ca="1">AVERAGE(OFFSET($FI$3,0,0,'Données projet'!$E$16+1,1))-AVERAGE(OFFSET($H$3,0,0,'Données projet'!$E$16+1,1))</f>
        <v>334.13861979962491</v>
      </c>
      <c r="FK5" s="59">
        <f t="shared" ref="FK5:FK68" si="48">$FK$3</f>
        <v>416.48635183664305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52.136299799235019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7.2264102564102561</v>
      </c>
      <c r="FZ5" s="12">
        <f>IF('Données projet'!$A$244&gt;35,FZ4+FY5-GH4,IF(A5&lt;'Données projet'!$A$244,$FW$205^A5,IF(A5='Données projet'!$A$244,'Données projet'!$B$244,FZ4+FY5-GH4)))</f>
        <v>1.4313184118550817</v>
      </c>
      <c r="GA5" s="17">
        <f>FZ5*VLOOKUP('Données projet'!$B$17,Paramètres!$A$1:$I$89,3,0)*VLOOKUP('Données projet'!$B$17,Paramètres!$A$1:$I$89,5,0)</f>
        <v>0.66985701674817832</v>
      </c>
      <c r="GB5" s="13">
        <f t="shared" ref="GB5:GB68" si="49">EXP(-1.0587+0.8836*LN(GA5)+0.284)</f>
        <v>0.32343711768198868</v>
      </c>
      <c r="GC5" s="20">
        <f t="shared" si="25"/>
        <v>1.729987284132541</v>
      </c>
      <c r="GD5" s="59">
        <f t="shared" si="26"/>
        <v>195.34086432577203</v>
      </c>
      <c r="GE5" s="59">
        <f ca="1">AVERAGE(OFFSET($GD$3,0,0,'Données projet'!$E$17+1,1))-AVERAGE(OFFSET($H$3,0,0,'Données projet'!$E$17+1,1))</f>
        <v>317.79829681023142</v>
      </c>
      <c r="GF5" s="59">
        <f t="shared" ref="GF5:GF68" si="50">$GF$3</f>
        <v>275.07716943523621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52.136299799235019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8.5743589743589741</v>
      </c>
      <c r="GU5" s="12">
        <f>IF('Données projet'!$A$270&gt;35,GU4+GT5-HC4,IF(A5&lt;'Données projet'!$A$270,$GR$205^A5,IF(A5='Données projet'!$A$270,'Données projet'!$B$270,GU4+GT5-HC4)))</f>
        <v>1.6398419637084214</v>
      </c>
      <c r="GV5" s="17">
        <f>GU5*VLOOKUP('Données projet'!$B$18,Paramètres!$A$1:$I$89,3,0)*VLOOKUP('Données projet'!$B$18,Paramètres!$A$1:$I$89,5,0)</f>
        <v>0.91667165771300751</v>
      </c>
      <c r="GW5" s="13">
        <f t="shared" ref="GW5:GW68" si="51">EXP(-1.0587+0.8836*LN(GV5)+0.284)</f>
        <v>0.42674081455780177</v>
      </c>
      <c r="GX5" s="20">
        <f t="shared" si="28"/>
        <v>2.3397767225383261</v>
      </c>
      <c r="GY5" s="59">
        <f t="shared" si="29"/>
        <v>195.95065376417782</v>
      </c>
      <c r="GZ5" s="59">
        <f ca="1">AVERAGE(OFFSET($GY$3,0,0,'Données projet'!$E$18+1,1))-AVERAGE(OFFSET($H$3,0,0,'Données projet'!$E$18+1,1))</f>
        <v>336.21787234885699</v>
      </c>
      <c r="HA5" s="59">
        <f t="shared" ref="HA5:HA68" si="52">$HA$3</f>
        <v>315.36156736899113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3.7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13.566666666666668</v>
      </c>
      <c r="H6" s="67">
        <f t="shared" si="1"/>
        <v>202.4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52.446195060467673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199.64003154269409</v>
      </c>
      <c r="S6" s="59">
        <f ca="1">AVERAGE(OFFSET($R$3,0,0,'Données projet'!$E$9+1,1))-AVERAGE(OFFSET($H$3,0,0,'Données projet'!$E$9+1,1))</f>
        <v>411.64357329340851</v>
      </c>
      <c r="T6" s="59">
        <f t="shared" si="34"/>
        <v>294.07942258675632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52.446195060467673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4.0628205128205126</v>
      </c>
      <c r="AI6" s="13">
        <f>IF('Données projet'!$A$62&gt;35,AI5+AH6-AQ5,IF(A6&lt;'Données projet'!$A$62,$AF$205^A6,IF(A6='Données projet'!$A$62,'Données projet'!$B$62,AI5+AH6-AQ5)))</f>
        <v>1.6165713926559588</v>
      </c>
      <c r="AJ6" s="13">
        <f>AI6*VLOOKUP('Données projet'!$B$10,Paramètres!$A$1:$I$89,3,0)*VLOOKUP('Données projet'!$B$10,Paramètres!$A$1:$I$89,5,0)</f>
        <v>1.6392033921531424</v>
      </c>
      <c r="AK6" s="13">
        <f t="shared" si="35"/>
        <v>0.71318408957211055</v>
      </c>
      <c r="AL6" s="20">
        <f t="shared" si="4"/>
        <v>4.0970748640048145</v>
      </c>
      <c r="AM6" s="59">
        <f t="shared" si="5"/>
        <v>200.06645675238627</v>
      </c>
      <c r="AN6" s="59">
        <f ca="1">AVERAGE(OFFSET($AM$3,0,0,'Données projet'!$E$10+1,1))-AVERAGE(OFFSET($H$3,0,0,'Données projet'!$E$10+1,1))</f>
        <v>453.05577105995508</v>
      </c>
      <c r="AO6" s="59">
        <f t="shared" si="36"/>
        <v>322.6839824496758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52.446195060467673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1.8914529914529912</v>
      </c>
      <c r="BD6" s="12">
        <f>IF('Données projet'!$A$88&gt;35,BD5+BC6-BL5,IF(A6&lt;'Données projet'!$A$88,$BA$205^A6,IF(A6='Données projet'!$A$88,'Données projet'!$B$88,BD5+BC6-BL5)))</f>
        <v>1.49758568698246</v>
      </c>
      <c r="BE6" s="13">
        <f>BD6*VLOOKUP('Données projet'!$B$11,Paramètres!$A$1:$I$89,3,0)*VLOOKUP('Données projet'!$B$11,Paramètres!$A$1:$I$89,5,0)</f>
        <v>1.4951895498832881</v>
      </c>
      <c r="BF6" s="13">
        <f t="shared" si="37"/>
        <v>0.65752712582017103</v>
      </c>
      <c r="BG6" s="20">
        <f t="shared" si="7"/>
        <v>3.7493148768501912</v>
      </c>
      <c r="BH6" s="59">
        <f t="shared" si="8"/>
        <v>199.71869676523164</v>
      </c>
      <c r="BI6" s="59">
        <f ca="1">AVERAGE(OFFSET($BH$3,0,0,'Données projet'!$E$11+1,1))-AVERAGE(OFFSET($H$3,0,0,'Données projet'!$E$11+1,1))</f>
        <v>411.38162678377478</v>
      </c>
      <c r="BJ6" s="59">
        <f t="shared" si="38"/>
        <v>177.89903563360403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52.446195060467673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</v>
      </c>
      <c r="BY6" s="12">
        <f>IF('Données projet'!$A$114&gt;35,BY5+BX6-CG5,IF(A6&lt;'Données projet'!$A$114,$BV$205^A6,IF(A6='Données projet'!$A$114,'Données projet'!$B$114,BY5+BX6-CG5)))</f>
        <v>2.3800262745964411</v>
      </c>
      <c r="BZ6" s="13">
        <f>BY6*VLOOKUP('Données projet'!$B$12,Paramètres!$A$1:$I$89,3,0)*VLOOKUP('Données projet'!$B$12,Paramètres!$A$1:$I$89,5,0)</f>
        <v>2.4876034622082006</v>
      </c>
      <c r="CA6" s="13">
        <f t="shared" si="39"/>
        <v>1.0310133560416559</v>
      </c>
      <c r="CB6" s="20">
        <f t="shared" si="10"/>
        <v>6.1282576251184997</v>
      </c>
      <c r="CC6" s="59">
        <f t="shared" si="11"/>
        <v>202.09763951349996</v>
      </c>
      <c r="CD6" s="59">
        <f ca="1">AVERAGE(OFFSET($CC$3,0,0,'Données projet'!$E$12+1,1))-AVERAGE(OFFSET($H$3,0,0,'Données projet'!$E$12+1,1))</f>
        <v>374.38550202939507</v>
      </c>
      <c r="CE6" s="59">
        <f t="shared" si="40"/>
        <v>324.37486924296718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52.446195060467673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2.9235042735042733</v>
      </c>
      <c r="CT6" s="12">
        <f>IF('Données projet'!$A$140&gt;35,CT5+CS6-DB5,IF(A6&lt;'Données projet'!$A$140,$CQ$205^A6,IF(A6='Données projet'!$A$140,'Données projet'!$B$140,CT5+CS6-DB5)))</f>
        <v>1.5642367998361231</v>
      </c>
      <c r="CU6" s="17">
        <f>CT6*VLOOKUP('Données projet'!$B$13,Paramètres!$A$1:$I$89,3,0)*VLOOKUP('Données projet'!$B$13,Paramètres!$A$1:$I$89,5,0)</f>
        <v>1.4885277387240547</v>
      </c>
      <c r="CV6" s="13">
        <f t="shared" si="41"/>
        <v>0.6549378504796014</v>
      </c>
      <c r="CW6" s="20">
        <f t="shared" si="13"/>
        <v>3.7332025678630338</v>
      </c>
      <c r="CX6" s="59">
        <f t="shared" si="14"/>
        <v>199.70258445624449</v>
      </c>
      <c r="CY6" s="59">
        <f ca="1">AVERAGE(OFFSET($CX$3,0,0,'Données projet'!$E$13+1,1))-AVERAGE(OFFSET($H$3,0,0,'Données projet'!$E$13+1,1))</f>
        <v>392.81074187112989</v>
      </c>
      <c r="CZ6" s="59">
        <f t="shared" si="42"/>
        <v>236.19146849073687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52.446195060467673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2.9235042735042733</v>
      </c>
      <c r="DO6" s="12">
        <f>IF('Données projet'!$A$166&gt;35,DO5+DN6-DW5,IF(A6&lt;'Données projet'!$A$166,$DL$205^A6,IF(A6='Données projet'!$A$166,'Données projet'!$B$166,DO5+DN6-DW5)))</f>
        <v>1.5642367998361231</v>
      </c>
      <c r="DP6" s="17">
        <f>DO6*VLOOKUP('Données projet'!$B$14,Paramètres!$A$1:$I$89,3,0)*VLOOKUP('Données projet'!$B$14,Paramètres!$A$1:$I$89,5,0)</f>
        <v>1.683744491343603</v>
      </c>
      <c r="DQ6" s="13">
        <f t="shared" si="43"/>
        <v>0.73028050039002235</v>
      </c>
      <c r="DR6" s="20">
        <f t="shared" si="16"/>
        <v>4.2044268606027302</v>
      </c>
      <c r="DS6" s="59">
        <f t="shared" si="17"/>
        <v>200.17380874898419</v>
      </c>
      <c r="DT6" s="59">
        <f ca="1">AVERAGE(OFFSET($DS$3,0,0,'Données projet'!$E$14+1,1))-AVERAGE(OFFSET($H$3,0,0,'Données projet'!$E$14+1,1))</f>
        <v>434.77799524785502</v>
      </c>
      <c r="DU6" s="59">
        <f t="shared" si="44"/>
        <v>259.85949838170006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52.446195060467673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2.9235042735042733</v>
      </c>
      <c r="EJ6" s="12">
        <f>IF('Données projet'!$A$192&gt;35,EJ5+EI6-ER5,IF(A6&lt;'Données projet'!$A$192,$EG$205^A6,IF(A6='Données projet'!$A$192,'Données projet'!$B$192,EJ5+EI6-ER5)))</f>
        <v>1.5642367998361231</v>
      </c>
      <c r="EK6" s="17">
        <f>EJ6*VLOOKUP('Données projet'!$B$15,Paramètres!$A$1:$I$89,3,0)*VLOOKUP('Données projet'!$B$15,Paramètres!$A$1:$I$89,5,0)</f>
        <v>1.5129298328014982</v>
      </c>
      <c r="EL6" s="13">
        <f t="shared" si="45"/>
        <v>0.66441578956897707</v>
      </c>
      <c r="EM6" s="20">
        <f t="shared" si="19"/>
        <v>3.7922102922952434</v>
      </c>
      <c r="EN6" s="59">
        <f t="shared" si="20"/>
        <v>199.7615921806767</v>
      </c>
      <c r="EO6" s="59">
        <f ca="1">AVERAGE(OFFSET($EN$3,0,0,'Données projet'!$E$15+1,1))-AVERAGE(OFFSET($H$3,0,0,'Données projet'!$E$15+1,1))</f>
        <v>398.06270423055565</v>
      </c>
      <c r="EP6" s="59">
        <f t="shared" si="46"/>
        <v>239.15364562040614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52.446195060467673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9.4117948717948714</v>
      </c>
      <c r="FE6" s="12">
        <f>IF('Données projet'!$A$218&gt;35,FE5+FD6-FM5,IF(A6&lt;'Données projet'!$A$218,$FB$205^A6,IF(A6='Données projet'!$A$218,'Données projet'!$B$218,FE5+FD6-FM5)))</f>
        <v>2.6912419418286366</v>
      </c>
      <c r="FF6" s="17">
        <f>FE6*VLOOKUP('Données projet'!$B$16,Paramètres!$A$1:$I$89,3,0)*VLOOKUP('Données projet'!$B$16,Paramètres!$A$1:$I$89,5,0)</f>
        <v>1.6093626812135247</v>
      </c>
      <c r="FG6" s="13">
        <f t="shared" si="47"/>
        <v>0.70169999636568137</v>
      </c>
      <c r="FH6" s="20">
        <f t="shared" si="22"/>
        <v>4.0251008301171156</v>
      </c>
      <c r="FI6" s="59">
        <f t="shared" si="23"/>
        <v>199.99448271849857</v>
      </c>
      <c r="FJ6" s="59">
        <f ca="1">AVERAGE(OFFSET($FI$3,0,0,'Données projet'!$E$16+1,1))-AVERAGE(OFFSET($H$3,0,0,'Données projet'!$E$16+1,1))</f>
        <v>334.13861979962491</v>
      </c>
      <c r="FK6" s="59">
        <f t="shared" si="48"/>
        <v>416.48635183664305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52.446195060467673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7.2264102564102561</v>
      </c>
      <c r="FZ6" s="12">
        <f>IF('Données projet'!$A$244&gt;35,FZ5+FY6-GH5,IF(A6&lt;'Données projet'!$A$244,$FW$205^A6,IF(A6='Données projet'!$A$244,'Données projet'!$B$244,FZ5+FY6-GH5)))</f>
        <v>1.7123967181757771</v>
      </c>
      <c r="GA6" s="17">
        <f>FZ6*VLOOKUP('Données projet'!$B$17,Paramètres!$A$1:$I$89,3,0)*VLOOKUP('Données projet'!$B$17,Paramètres!$A$1:$I$89,5,0)</f>
        <v>0.80140166410626379</v>
      </c>
      <c r="GB6" s="13">
        <f t="shared" si="49"/>
        <v>0.37896066764546593</v>
      </c>
      <c r="GC6" s="20">
        <f t="shared" si="25"/>
        <v>2.0557977278009294</v>
      </c>
      <c r="GD6" s="59">
        <f t="shared" si="26"/>
        <v>198.02517961618238</v>
      </c>
      <c r="GE6" s="59">
        <f ca="1">AVERAGE(OFFSET($GD$3,0,0,'Données projet'!$E$17+1,1))-AVERAGE(OFFSET($H$3,0,0,'Données projet'!$E$17+1,1))</f>
        <v>317.79829681023142</v>
      </c>
      <c r="GF6" s="59">
        <f t="shared" si="50"/>
        <v>275.07716943523621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52.446195060467673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8.5743589743589741</v>
      </c>
      <c r="GU6" s="12">
        <f>IF('Données projet'!$A$270&gt;35,GU5+GT6-HC5,IF(A6&lt;'Données projet'!$A$270,$GR$205^A6,IF(A6='Données projet'!$A$270,'Données projet'!$B$270,GU5+GT6-HC5)))</f>
        <v>2.0999211793888533</v>
      </c>
      <c r="GV6" s="17">
        <f>GU6*VLOOKUP('Données projet'!$B$18,Paramètres!$A$1:$I$89,3,0)*VLOOKUP('Données projet'!$B$18,Paramètres!$A$1:$I$89,5,0)</f>
        <v>1.173855939278369</v>
      </c>
      <c r="GW6" s="13">
        <f t="shared" si="51"/>
        <v>0.53096232167316981</v>
      </c>
      <c r="GX6" s="20">
        <f t="shared" si="28"/>
        <v>2.9692251378239298</v>
      </c>
      <c r="GY6" s="59">
        <f t="shared" si="29"/>
        <v>198.9386070262054</v>
      </c>
      <c r="GZ6" s="59">
        <f ca="1">AVERAGE(OFFSET($GY$3,0,0,'Données projet'!$E$18+1,1))-AVERAGE(OFFSET($H$3,0,0,'Données projet'!$E$18+1,1))</f>
        <v>336.21787234885699</v>
      </c>
      <c r="HA6" s="59">
        <f t="shared" si="52"/>
        <v>315.36156736899113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3.7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13.566666666666668</v>
      </c>
      <c r="H7" s="67">
        <f t="shared" si="1"/>
        <v>202.4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52.750714331739957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202.59182563366355</v>
      </c>
      <c r="S7" s="59">
        <f ca="1">AVERAGE(OFFSET($R$3,0,0,'Données projet'!$E$9+1,1))-AVERAGE(OFFSET($H$3,0,0,'Données projet'!$E$9+1,1))</f>
        <v>411.64357329340851</v>
      </c>
      <c r="T7" s="59">
        <f t="shared" si="34"/>
        <v>294.07942258675632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52.750714331739957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4.0628205128205126</v>
      </c>
      <c r="AI7" s="13">
        <f>IF('Données projet'!$A$62&gt;35,AI6+AH7-AQ6,IF(A7&lt;'Données projet'!$A$62,$AF$205^A7,IF(A7='Données projet'!$A$62,'Données projet'!$B$62,AI6+AH7-AQ6)))</f>
        <v>1.8972585507745794</v>
      </c>
      <c r="AJ7" s="13">
        <f>AI7*VLOOKUP('Données projet'!$B$10,Paramètres!$A$1:$I$89,3,0)*VLOOKUP('Données projet'!$B$10,Paramètres!$A$1:$I$89,5,0)</f>
        <v>1.9238201704854236</v>
      </c>
      <c r="AK7" s="13">
        <f t="shared" si="35"/>
        <v>0.82156096043894689</v>
      </c>
      <c r="AL7" s="20">
        <f t="shared" si="4"/>
        <v>4.7815388030266117</v>
      </c>
      <c r="AM7" s="59">
        <f t="shared" si="5"/>
        <v>203.08971357496205</v>
      </c>
      <c r="AN7" s="59">
        <f ca="1">AVERAGE(OFFSET($AM$3,0,0,'Données projet'!$E$10+1,1))-AVERAGE(OFFSET($H$3,0,0,'Données projet'!$E$10+1,1))</f>
        <v>453.05577105995508</v>
      </c>
      <c r="AO7" s="59">
        <f t="shared" si="36"/>
        <v>322.6839824496758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52.750714331739957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1.8914529914529912</v>
      </c>
      <c r="BD7" s="12">
        <f>IF('Données projet'!$A$88&gt;35,BD6+BC7-BL6,IF(A7&lt;'Données projet'!$A$88,$BA$205^A7,IF(A7='Données projet'!$A$88,'Données projet'!$B$88,BD6+BC7-BL6)))</f>
        <v>1.7133874213628852</v>
      </c>
      <c r="BE7" s="13">
        <f>BD7*VLOOKUP('Données projet'!$B$11,Paramètres!$A$1:$I$89,3,0)*VLOOKUP('Données projet'!$B$11,Paramètres!$A$1:$I$89,5,0)</f>
        <v>1.7106460014887048</v>
      </c>
      <c r="BF7" s="13">
        <f t="shared" si="37"/>
        <v>0.74058066679057322</v>
      </c>
      <c r="BG7" s="20">
        <f t="shared" si="7"/>
        <v>4.2692197805864094</v>
      </c>
      <c r="BH7" s="59">
        <f t="shared" si="8"/>
        <v>202.57739455252184</v>
      </c>
      <c r="BI7" s="59">
        <f ca="1">AVERAGE(OFFSET($BH$3,0,0,'Données projet'!$E$11+1,1))-AVERAGE(OFFSET($H$3,0,0,'Données projet'!$E$11+1,1))</f>
        <v>411.38162678377478</v>
      </c>
      <c r="BJ7" s="59">
        <f t="shared" si="38"/>
        <v>177.89903563360403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52.750714331739957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</v>
      </c>
      <c r="BY7" s="12">
        <f>IF('Données projet'!$A$114&gt;35,BY6+BX7-CG6,IF(A7&lt;'Données projet'!$A$114,$BV$205^A7,IF(A7='Données projet'!$A$114,'Données projet'!$B$114,BY6+BX7-CG6)))</f>
        <v>3.1776715231464374</v>
      </c>
      <c r="BZ7" s="13">
        <f>BY7*VLOOKUP('Données projet'!$B$12,Paramètres!$A$1:$I$89,3,0)*VLOOKUP('Données projet'!$B$12,Paramètres!$A$1:$I$89,5,0)</f>
        <v>3.3213022759926569</v>
      </c>
      <c r="CA7" s="13">
        <f t="shared" si="39"/>
        <v>1.331006480014882</v>
      </c>
      <c r="CB7" s="20">
        <f t="shared" si="10"/>
        <v>8.1027710833797961</v>
      </c>
      <c r="CC7" s="59">
        <f t="shared" si="11"/>
        <v>206.41094585531522</v>
      </c>
      <c r="CD7" s="59">
        <f ca="1">AVERAGE(OFFSET($CC$3,0,0,'Données projet'!$E$12+1,1))-AVERAGE(OFFSET($H$3,0,0,'Données projet'!$E$12+1,1))</f>
        <v>374.38550202939507</v>
      </c>
      <c r="CE7" s="59">
        <f t="shared" si="40"/>
        <v>324.37486924296718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52.750714331739957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2.9235042735042733</v>
      </c>
      <c r="CT7" s="12">
        <f>IF('Données projet'!$A$140&gt;35,CT6+CS7-DB6,IF(A7&lt;'Données projet'!$A$140,$CQ$205^A7,IF(A7='Données projet'!$A$140,'Données projet'!$B$140,CT6+CS7-DB6)))</f>
        <v>1.8158083060704666</v>
      </c>
      <c r="CU7" s="17">
        <f>CT7*VLOOKUP('Données projet'!$B$13,Paramètres!$A$1:$I$89,3,0)*VLOOKUP('Données projet'!$B$13,Paramètres!$A$1:$I$89,5,0)</f>
        <v>1.727923184056656</v>
      </c>
      <c r="CV7" s="13">
        <f t="shared" si="41"/>
        <v>0.7471858740785865</v>
      </c>
      <c r="CW7" s="20">
        <f t="shared" si="13"/>
        <v>4.3108149429188805</v>
      </c>
      <c r="CX7" s="59">
        <f t="shared" si="14"/>
        <v>202.61898971485431</v>
      </c>
      <c r="CY7" s="59">
        <f ca="1">AVERAGE(OFFSET($CX$3,0,0,'Données projet'!$E$13+1,1))-AVERAGE(OFFSET($H$3,0,0,'Données projet'!$E$13+1,1))</f>
        <v>392.81074187112989</v>
      </c>
      <c r="CZ7" s="59">
        <f t="shared" si="42"/>
        <v>236.19146849073687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52.750714331739957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2.9235042735042733</v>
      </c>
      <c r="DO7" s="12">
        <f>IF('Données projet'!$A$166&gt;35,DO6+DN7-DW6,IF(A7&lt;'Données projet'!$A$166,$DL$205^A7,IF(A7='Données projet'!$A$166,'Données projet'!$B$166,DO6+DN7-DW6)))</f>
        <v>1.8158083060704666</v>
      </c>
      <c r="DP7" s="17">
        <f>DO7*VLOOKUP('Données projet'!$B$14,Paramètres!$A$1:$I$89,3,0)*VLOOKUP('Données projet'!$B$14,Paramètres!$A$1:$I$89,5,0)</f>
        <v>1.9545360606542501</v>
      </c>
      <c r="DQ7" s="13">
        <f t="shared" si="43"/>
        <v>0.83314053937620336</v>
      </c>
      <c r="DR7" s="20">
        <f t="shared" si="16"/>
        <v>4.8552034117197067</v>
      </c>
      <c r="DS7" s="59">
        <f t="shared" si="17"/>
        <v>203.16337818365514</v>
      </c>
      <c r="DT7" s="59">
        <f ca="1">AVERAGE(OFFSET($DS$3,0,0,'Données projet'!$E$14+1,1))-AVERAGE(OFFSET($H$3,0,0,'Données projet'!$E$14+1,1))</f>
        <v>434.77799524785502</v>
      </c>
      <c r="DU7" s="59">
        <f t="shared" si="44"/>
        <v>259.85949838170006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52.750714331739957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2.9235042735042733</v>
      </c>
      <c r="EJ7" s="12">
        <f>IF('Données projet'!$A$192&gt;35,EJ6+EI7-ER6,IF(A7&lt;'Données projet'!$A$192,$EG$205^A7,IF(A7='Données projet'!$A$192,'Données projet'!$B$192,EJ6+EI7-ER6)))</f>
        <v>1.8158083060704666</v>
      </c>
      <c r="EK7" s="17">
        <f>EJ7*VLOOKUP('Données projet'!$B$15,Paramètres!$A$1:$I$89,3,0)*VLOOKUP('Données projet'!$B$15,Paramètres!$A$1:$I$89,5,0)</f>
        <v>1.7562497936313552</v>
      </c>
      <c r="EL7" s="13">
        <f t="shared" si="45"/>
        <v>0.75799878128462583</v>
      </c>
      <c r="EM7" s="20">
        <f t="shared" si="19"/>
        <v>4.3789829346453333</v>
      </c>
      <c r="EN7" s="59">
        <f t="shared" si="20"/>
        <v>202.68715770658076</v>
      </c>
      <c r="EO7" s="59">
        <f ca="1">AVERAGE(OFFSET($EN$3,0,0,'Données projet'!$E$15+1,1))-AVERAGE(OFFSET($H$3,0,0,'Données projet'!$E$15+1,1))</f>
        <v>398.06270423055565</v>
      </c>
      <c r="EP7" s="59">
        <f t="shared" si="46"/>
        <v>239.15364562040614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52.750714331739957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9.4117948717948714</v>
      </c>
      <c r="FE7" s="12">
        <f>IF('Données projet'!$A$218&gt;35,FE6+FD7-FM6,IF(A7&lt;'Données projet'!$A$218,$FB$205^A7,IF(A7='Données projet'!$A$218,'Données projet'!$B$218,FE6+FD7-FM6)))</f>
        <v>3.7434352303442648</v>
      </c>
      <c r="FF7" s="17">
        <f>FE7*VLOOKUP('Données projet'!$B$16,Paramètres!$A$1:$I$89,3,0)*VLOOKUP('Données projet'!$B$16,Paramètres!$A$1:$I$89,5,0)</f>
        <v>2.2385742677458706</v>
      </c>
      <c r="FG7" s="13">
        <f t="shared" si="47"/>
        <v>0.93926229495351976</v>
      </c>
      <c r="FH7" s="20">
        <f t="shared" si="22"/>
        <v>5.5347320133681039</v>
      </c>
      <c r="FI7" s="59">
        <f t="shared" si="23"/>
        <v>203.84290678530354</v>
      </c>
      <c r="FJ7" s="59">
        <f ca="1">AVERAGE(OFFSET($FI$3,0,0,'Données projet'!$E$16+1,1))-AVERAGE(OFFSET($H$3,0,0,'Données projet'!$E$16+1,1))</f>
        <v>334.13861979962491</v>
      </c>
      <c r="FK7" s="59">
        <f t="shared" si="48"/>
        <v>416.48635183664305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52.750714331739957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7.2264102564102561</v>
      </c>
      <c r="FZ7" s="12">
        <f>IF('Données projet'!$A$244&gt;35,FZ6+FY7-GH6,IF(A7&lt;'Données projet'!$A$244,$FW$205^A7,IF(A7='Données projet'!$A$244,'Données projet'!$B$244,FZ6+FY7-GH6)))</f>
        <v>2.0486723961153532</v>
      </c>
      <c r="GA7" s="17">
        <f>FZ7*VLOOKUP('Données projet'!$B$17,Paramètres!$A$1:$I$89,3,0)*VLOOKUP('Données projet'!$B$17,Paramètres!$A$1:$I$89,5,0)</f>
        <v>0.95877868138198519</v>
      </c>
      <c r="GB7" s="13">
        <f t="shared" si="49"/>
        <v>0.44401579092570115</v>
      </c>
      <c r="GC7" s="20">
        <f t="shared" si="25"/>
        <v>2.4432003726025537</v>
      </c>
      <c r="GD7" s="59">
        <f t="shared" si="26"/>
        <v>200.75137514453797</v>
      </c>
      <c r="GE7" s="59">
        <f ca="1">AVERAGE(OFFSET($GD$3,0,0,'Données projet'!$E$17+1,1))-AVERAGE(OFFSET($H$3,0,0,'Données projet'!$E$17+1,1))</f>
        <v>317.79829681023142</v>
      </c>
      <c r="GF7" s="59">
        <f t="shared" si="50"/>
        <v>275.07716943523621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52.750714331739957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8.5743589743589741</v>
      </c>
      <c r="GU7" s="12">
        <f>IF('Données projet'!$A$270&gt;35,GU6+GT7-HC6,IF(A7&lt;'Données projet'!$A$270,$GR$205^A7,IF(A7='Données projet'!$A$270,'Données projet'!$B$270,GU6+GT7-HC6)))</f>
        <v>2.6890816659390917</v>
      </c>
      <c r="GV7" s="17">
        <f>GU7*VLOOKUP('Données projet'!$B$18,Paramètres!$A$1:$I$89,3,0)*VLOOKUP('Données projet'!$B$18,Paramètres!$A$1:$I$89,5,0)</f>
        <v>1.5031966512599522</v>
      </c>
      <c r="GW7" s="13">
        <f t="shared" si="51"/>
        <v>0.66063750505958863</v>
      </c>
      <c r="GX7" s="20">
        <f t="shared" si="28"/>
        <v>3.7686778222565338</v>
      </c>
      <c r="GY7" s="59">
        <f t="shared" si="29"/>
        <v>202.07685259419196</v>
      </c>
      <c r="GZ7" s="59">
        <f ca="1">AVERAGE(OFFSET($GY$3,0,0,'Données projet'!$E$18+1,1))-AVERAGE(OFFSET($H$3,0,0,'Données projet'!$E$18+1,1))</f>
        <v>336.21787234885699</v>
      </c>
      <c r="HA7" s="59">
        <f t="shared" si="52"/>
        <v>315.36156736899113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3.7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13.566666666666668</v>
      </c>
      <c r="H8" s="67">
        <f t="shared" si="1"/>
        <v>202.4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53.049950874458773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205.62698738716071</v>
      </c>
      <c r="S8" s="59">
        <f ca="1">AVERAGE(OFFSET($R$3,0,0,'Données projet'!$E$9+1,1))-AVERAGE(OFFSET($H$3,0,0,'Données projet'!$E$9+1,1))</f>
        <v>411.64357329340851</v>
      </c>
      <c r="T8" s="59">
        <f t="shared" si="34"/>
        <v>294.07942258675632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53.049950874458773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4.0628205128205126</v>
      </c>
      <c r="AI8" s="13">
        <f>IF('Données projet'!$A$62&gt;35,AI7+AH8-AQ7,IF(A8&lt;'Données projet'!$A$62,$AF$205^A8,IF(A8='Données projet'!$A$62,'Données projet'!$B$62,AI7+AH8-AQ7)))</f>
        <v>2.2266817443634719</v>
      </c>
      <c r="AJ8" s="13">
        <f>AI8*VLOOKUP('Données projet'!$B$10,Paramètres!$A$1:$I$89,3,0)*VLOOKUP('Données projet'!$B$10,Paramètres!$A$1:$I$89,5,0)</f>
        <v>2.2578552887845609</v>
      </c>
      <c r="AK8" s="13">
        <f t="shared" si="35"/>
        <v>0.94640699587440658</v>
      </c>
      <c r="AL8" s="20">
        <f t="shared" si="4"/>
        <v>5.5807568124477021</v>
      </c>
      <c r="AM8" s="59">
        <f t="shared" si="5"/>
        <v>206.20835446324097</v>
      </c>
      <c r="AN8" s="59">
        <f ca="1">AVERAGE(OFFSET($AM$3,0,0,'Données projet'!$E$10+1,1))-AVERAGE(OFFSET($H$3,0,0,'Données projet'!$E$10+1,1))</f>
        <v>453.05577105995508</v>
      </c>
      <c r="AO8" s="59">
        <f t="shared" si="36"/>
        <v>322.6839824496758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53.049950874458773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1.8914529914529912</v>
      </c>
      <c r="BD8" s="12">
        <f>IF('Données projet'!$A$88&gt;35,BD7+BC8-BL7,IF(A8&lt;'Données projet'!$A$88,$BA$205^A8,IF(A8='Données projet'!$A$88,'Données projet'!$B$88,BD7+BC8-BL7)))</f>
        <v>1.9602861333429269</v>
      </c>
      <c r="BE8" s="13">
        <f>BD8*VLOOKUP('Données projet'!$B$11,Paramètres!$A$1:$I$89,3,0)*VLOOKUP('Données projet'!$B$11,Paramètres!$A$1:$I$89,5,0)</f>
        <v>1.9571496755295783</v>
      </c>
      <c r="BF8" s="13">
        <f t="shared" si="37"/>
        <v>0.83412486342650127</v>
      </c>
      <c r="BG8" s="20">
        <f t="shared" si="7"/>
        <v>4.8614698220151711</v>
      </c>
      <c r="BH8" s="59">
        <f t="shared" si="8"/>
        <v>205.48906747280844</v>
      </c>
      <c r="BI8" s="59">
        <f ca="1">AVERAGE(OFFSET($BH$3,0,0,'Données projet'!$E$11+1,1))-AVERAGE(OFFSET($H$3,0,0,'Données projet'!$E$11+1,1))</f>
        <v>411.38162678377478</v>
      </c>
      <c r="BJ8" s="59">
        <f t="shared" si="38"/>
        <v>177.89903563360403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53.049950874458773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</v>
      </c>
      <c r="BY8" s="12">
        <f>IF('Données projet'!$A$114&gt;35,BY7+BX8-CG7,IF(A8&lt;'Données projet'!$A$114,$BV$205^A8,IF(A8='Données projet'!$A$114,'Données projet'!$B$114,BY7+BX8-CG7)))</f>
        <v>4.2426406871192865</v>
      </c>
      <c r="BZ8" s="13">
        <f>BY8*VLOOKUP('Données projet'!$B$12,Paramètres!$A$1:$I$89,3,0)*VLOOKUP('Données projet'!$B$12,Paramètres!$A$1:$I$89,5,0)</f>
        <v>4.4344080461770785</v>
      </c>
      <c r="CA8" s="13">
        <f t="shared" si="39"/>
        <v>1.7182883611160802</v>
      </c>
      <c r="CB8" s="20">
        <f t="shared" si="10"/>
        <v>10.715946242702252</v>
      </c>
      <c r="CC8" s="59">
        <f t="shared" si="11"/>
        <v>211.34354389349551</v>
      </c>
      <c r="CD8" s="59">
        <f ca="1">AVERAGE(OFFSET($CC$3,0,0,'Données projet'!$E$12+1,1))-AVERAGE(OFFSET($H$3,0,0,'Données projet'!$E$12+1,1))</f>
        <v>374.38550202939507</v>
      </c>
      <c r="CE8" s="59">
        <f t="shared" si="40"/>
        <v>324.37486924296718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53.049950874458773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2.9235042735042733</v>
      </c>
      <c r="CT8" s="12">
        <f>IF('Données projet'!$A$140&gt;35,CT7+CS8-DB7,IF(A8&lt;'Données projet'!$A$140,$CQ$205^A8,IF(A8='Données projet'!$A$140,'Données projet'!$B$140,CT7+CS8-DB7)))</f>
        <v>2.1078393020416879</v>
      </c>
      <c r="CU8" s="17">
        <f>CT8*VLOOKUP('Données projet'!$B$13,Paramètres!$A$1:$I$89,3,0)*VLOOKUP('Données projet'!$B$13,Paramètres!$A$1:$I$89,5,0)</f>
        <v>2.0058198798228699</v>
      </c>
      <c r="CV8" s="13">
        <f t="shared" si="41"/>
        <v>0.85242703565499545</v>
      </c>
      <c r="CW8" s="20">
        <f t="shared" si="13"/>
        <v>4.9781133777906152</v>
      </c>
      <c r="CX8" s="59">
        <f t="shared" si="14"/>
        <v>205.60571102858387</v>
      </c>
      <c r="CY8" s="59">
        <f ca="1">AVERAGE(OFFSET($CX$3,0,0,'Données projet'!$E$13+1,1))-AVERAGE(OFFSET($H$3,0,0,'Données projet'!$E$13+1,1))</f>
        <v>392.81074187112989</v>
      </c>
      <c r="CZ8" s="59">
        <f t="shared" si="42"/>
        <v>236.19146849073687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53.049950874458773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2.9235042735042733</v>
      </c>
      <c r="DO8" s="12">
        <f>IF('Données projet'!$A$166&gt;35,DO7+DN8-DW7,IF(A8&lt;'Données projet'!$A$166,$DL$205^A8,IF(A8='Données projet'!$A$166,'Données projet'!$B$166,DO7+DN8-DW7)))</f>
        <v>2.1078393020416879</v>
      </c>
      <c r="DP8" s="17">
        <f>DO8*VLOOKUP('Données projet'!$B$14,Paramètres!$A$1:$I$89,3,0)*VLOOKUP('Données projet'!$B$14,Paramètres!$A$1:$I$89,5,0)</f>
        <v>2.2688782247176729</v>
      </c>
      <c r="DQ8" s="13">
        <f t="shared" si="43"/>
        <v>0.95048841915039417</v>
      </c>
      <c r="DR8" s="20">
        <f t="shared" si="16"/>
        <v>5.6070635714035504</v>
      </c>
      <c r="DS8" s="59">
        <f t="shared" si="17"/>
        <v>206.23466122219682</v>
      </c>
      <c r="DT8" s="59">
        <f ca="1">AVERAGE(OFFSET($DS$3,0,0,'Données projet'!$E$14+1,1))-AVERAGE(OFFSET($H$3,0,0,'Données projet'!$E$14+1,1))</f>
        <v>434.77799524785502</v>
      </c>
      <c r="DU8" s="59">
        <f t="shared" si="44"/>
        <v>259.85949838170006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53.049950874458773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2.9235042735042733</v>
      </c>
      <c r="EJ8" s="12">
        <f>IF('Données projet'!$A$192&gt;35,EJ7+EI8-ER7,IF(A8&lt;'Données projet'!$A$192,$EG$205^A8,IF(A8='Données projet'!$A$192,'Données projet'!$B$192,EJ7+EI8-ER7)))</f>
        <v>2.1078393020416879</v>
      </c>
      <c r="EK8" s="17">
        <f>EJ8*VLOOKUP('Données projet'!$B$15,Paramètres!$A$1:$I$89,3,0)*VLOOKUP('Données projet'!$B$15,Paramètres!$A$1:$I$89,5,0)</f>
        <v>2.0387021729347206</v>
      </c>
      <c r="EL8" s="13">
        <f t="shared" si="45"/>
        <v>0.86476294129269682</v>
      </c>
      <c r="EM8" s="20">
        <f t="shared" si="19"/>
        <v>5.0568684072794188</v>
      </c>
      <c r="EN8" s="59">
        <f t="shared" si="20"/>
        <v>205.68446605807267</v>
      </c>
      <c r="EO8" s="59">
        <f ca="1">AVERAGE(OFFSET($EN$3,0,0,'Données projet'!$E$15+1,1))-AVERAGE(OFFSET($H$3,0,0,'Données projet'!$E$15+1,1))</f>
        <v>398.06270423055565</v>
      </c>
      <c r="EP8" s="59">
        <f t="shared" si="46"/>
        <v>239.15364562040614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53.049950874458773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9.4117948717948714</v>
      </c>
      <c r="FE8" s="12">
        <f>IF('Données projet'!$A$218&gt;35,FE7+FD8-FM7,IF(A8&lt;'Données projet'!$A$218,$FB$205^A8,IF(A8='Données projet'!$A$218,'Données projet'!$B$218,FE7+FD8-FM7)))</f>
        <v>5.2070039136878581</v>
      </c>
      <c r="FF8" s="17">
        <f>FE8*VLOOKUP('Données projet'!$B$16,Paramètres!$A$1:$I$89,3,0)*VLOOKUP('Données projet'!$B$16,Paramètres!$A$1:$I$89,5,0)</f>
        <v>3.1137883403853395</v>
      </c>
      <c r="FG8" s="13">
        <f t="shared" si="47"/>
        <v>1.2572519072119237</v>
      </c>
      <c r="FH8" s="20">
        <f t="shared" si="22"/>
        <v>7.6128950978985666</v>
      </c>
      <c r="FI8" s="59">
        <f t="shared" si="23"/>
        <v>208.24049274869182</v>
      </c>
      <c r="FJ8" s="59">
        <f ca="1">AVERAGE(OFFSET($FI$3,0,0,'Données projet'!$E$16+1,1))-AVERAGE(OFFSET($H$3,0,0,'Données projet'!$E$16+1,1))</f>
        <v>334.13861979962491</v>
      </c>
      <c r="FK8" s="59">
        <f t="shared" si="48"/>
        <v>416.48635183664305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53.049950874458773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7.2264102564102561</v>
      </c>
      <c r="FZ8" s="12">
        <f>IF('Données projet'!$A$244&gt;35,FZ7+FY8-GH7,IF(A8&lt;'Données projet'!$A$244,$FW$205^A8,IF(A8='Données projet'!$A$244,'Données projet'!$B$244,FZ7+FY8-GH7)))</f>
        <v>2.4509849511252071</v>
      </c>
      <c r="GA8" s="17">
        <f>FZ8*VLOOKUP('Données projet'!$B$17,Paramètres!$A$1:$I$89,3,0)*VLOOKUP('Données projet'!$B$17,Paramètres!$A$1:$I$89,5,0)</f>
        <v>1.1470609571265968</v>
      </c>
      <c r="GB8" s="13">
        <f t="shared" si="49"/>
        <v>0.52023874619045773</v>
      </c>
      <c r="GC8" s="20">
        <f t="shared" si="25"/>
        <v>2.9038803166105365</v>
      </c>
      <c r="GD8" s="59">
        <f t="shared" si="26"/>
        <v>203.53147796740379</v>
      </c>
      <c r="GE8" s="59">
        <f ca="1">AVERAGE(OFFSET($GD$3,0,0,'Données projet'!$E$17+1,1))-AVERAGE(OFFSET($H$3,0,0,'Données projet'!$E$17+1,1))</f>
        <v>317.79829681023142</v>
      </c>
      <c r="GF8" s="59">
        <f t="shared" si="50"/>
        <v>275.07716943523621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53.049950874458773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8.5743589743589741</v>
      </c>
      <c r="GU8" s="12">
        <f>IF('Données projet'!$A$270&gt;35,GU7+GT8-HC7,IF(A8&lt;'Données projet'!$A$270,$GR$205^A8,IF(A8='Données projet'!$A$270,'Données projet'!$B$270,GU7+GT8-HC7)))</f>
        <v>3.4435388704419219</v>
      </c>
      <c r="GV8" s="17">
        <f>GU8*VLOOKUP('Données projet'!$B$18,Paramètres!$A$1:$I$89,3,0)*VLOOKUP('Données projet'!$B$18,Paramètres!$A$1:$I$89,5,0)</f>
        <v>1.9249382285770344</v>
      </c>
      <c r="GW8" s="13">
        <f t="shared" si="51"/>
        <v>0.8219828324466435</v>
      </c>
      <c r="GX8" s="20">
        <f t="shared" si="28"/>
        <v>4.7842208479495723</v>
      </c>
      <c r="GY8" s="59">
        <f t="shared" si="29"/>
        <v>205.41181849874283</v>
      </c>
      <c r="GZ8" s="59">
        <f ca="1">AVERAGE(OFFSET($GY$3,0,0,'Données projet'!$E$18+1,1))-AVERAGE(OFFSET($H$3,0,0,'Données projet'!$E$18+1,1))</f>
        <v>336.21787234885699</v>
      </c>
      <c r="HA8" s="59">
        <f t="shared" si="52"/>
        <v>315.36156736899113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3.7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13.566666666666668</v>
      </c>
      <c r="H9" s="67">
        <f t="shared" si="1"/>
        <v>202.4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53.343996332154092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208.76312926692978</v>
      </c>
      <c r="S9" s="59">
        <f ca="1">AVERAGE(OFFSET($R$3,0,0,'Données projet'!$E$9+1,1))-AVERAGE(OFFSET($H$3,0,0,'Données projet'!$E$9+1,1))</f>
        <v>411.64357329340851</v>
      </c>
      <c r="T9" s="59">
        <f t="shared" si="34"/>
        <v>294.07942258675632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53.343996332154092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4.0628205128205126</v>
      </c>
      <c r="AI9" s="13">
        <f>IF('Données projet'!$A$62&gt;35,AI8+AH9-AQ8,IF(A9&lt;'Données projet'!$A$62,$AF$205^A9,IF(A9='Données projet'!$A$62,'Données projet'!$B$62,AI8+AH9-AQ8)))</f>
        <v>2.6133030675536255</v>
      </c>
      <c r="AJ9" s="13">
        <f>AI9*VLOOKUP('Données projet'!$B$10,Paramètres!$A$1:$I$89,3,0)*VLOOKUP('Données projet'!$B$10,Paramètres!$A$1:$I$89,5,0)</f>
        <v>2.6498893104993768</v>
      </c>
      <c r="AK9" s="13">
        <f t="shared" si="35"/>
        <v>1.0902248828394525</v>
      </c>
      <c r="AL9" s="20">
        <f t="shared" si="4"/>
        <v>6.5140322200651282</v>
      </c>
      <c r="AM9" s="59">
        <f t="shared" si="5"/>
        <v>209.4420187712968</v>
      </c>
      <c r="AN9" s="59">
        <f ca="1">AVERAGE(OFFSET($AM$3,0,0,'Données projet'!$E$10+1,1))-AVERAGE(OFFSET($H$3,0,0,'Données projet'!$E$10+1,1))</f>
        <v>453.05577105995508</v>
      </c>
      <c r="AO9" s="59">
        <f t="shared" si="36"/>
        <v>322.6839824496758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53.343996332154092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1.8914529914529912</v>
      </c>
      <c r="BD9" s="12">
        <f>IF('Données projet'!$A$88&gt;35,BD8+BC9-BL8,IF(A9&lt;'Données projet'!$A$88,$BA$205^A9,IF(A9='Données projet'!$A$88,'Données projet'!$B$88,BD8+BC9-BL8)))</f>
        <v>2.2427628898547267</v>
      </c>
      <c r="BE9" s="13">
        <f>BD9*VLOOKUP('Données projet'!$B$11,Paramètres!$A$1:$I$89,3,0)*VLOOKUP('Données projet'!$B$11,Paramètres!$A$1:$I$89,5,0)</f>
        <v>2.2391744692309592</v>
      </c>
      <c r="BF9" s="13">
        <f t="shared" si="37"/>
        <v>0.93948481102198755</v>
      </c>
      <c r="BG9" s="20">
        <f t="shared" si="7"/>
        <v>5.536164913107215</v>
      </c>
      <c r="BH9" s="59">
        <f t="shared" si="8"/>
        <v>208.4641514643389</v>
      </c>
      <c r="BI9" s="59">
        <f ca="1">AVERAGE(OFFSET($BH$3,0,0,'Données projet'!$E$11+1,1))-AVERAGE(OFFSET($H$3,0,0,'Données projet'!$E$11+1,1))</f>
        <v>411.38162678377478</v>
      </c>
      <c r="BJ9" s="59">
        <f t="shared" si="38"/>
        <v>177.89903563360403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53.343996332154092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</v>
      </c>
      <c r="BY9" s="12">
        <f>IF('Données projet'!$A$114&gt;35,BY8+BX9-CG8,IF(A9&lt;'Données projet'!$A$114,$BV$205^A9,IF(A9='Données projet'!$A$114,'Données projet'!$B$114,BY8+BX9-CG8)))</f>
        <v>5.6645250677694134</v>
      </c>
      <c r="BZ9" s="13">
        <f>BY9*VLOOKUP('Données projet'!$B$12,Paramètres!$A$1:$I$89,3,0)*VLOOKUP('Données projet'!$B$12,Paramètres!$A$1:$I$89,5,0)</f>
        <v>5.920561600832591</v>
      </c>
      <c r="CA9" s="13">
        <f t="shared" si="39"/>
        <v>2.2182573385472719</v>
      </c>
      <c r="CB9" s="20">
        <f t="shared" si="10"/>
        <v>14.175109652753262</v>
      </c>
      <c r="CC9" s="59">
        <f t="shared" si="11"/>
        <v>217.10309620398493</v>
      </c>
      <c r="CD9" s="59">
        <f ca="1">AVERAGE(OFFSET($CC$3,0,0,'Données projet'!$E$12+1,1))-AVERAGE(OFFSET($H$3,0,0,'Données projet'!$E$12+1,1))</f>
        <v>374.38550202939507</v>
      </c>
      <c r="CE9" s="59">
        <f t="shared" si="40"/>
        <v>324.37486924296718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53.343996332154092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2.9235042735042733</v>
      </c>
      <c r="CT9" s="12">
        <f>IF('Données projet'!$A$140&gt;35,CT8+CS9-DB8,IF(A9&lt;'Données projet'!$A$140,$CQ$205^A9,IF(A9='Données projet'!$A$140,'Données projet'!$B$140,CT8+CS9-DB8)))</f>
        <v>2.4468367659615553</v>
      </c>
      <c r="CU9" s="17">
        <f>CT9*VLOOKUP('Données projet'!$B$13,Paramètres!$A$1:$I$89,3,0)*VLOOKUP('Données projet'!$B$13,Paramètres!$A$1:$I$89,5,0)</f>
        <v>2.3284098664890163</v>
      </c>
      <c r="CV9" s="13">
        <f t="shared" si="41"/>
        <v>0.97249141923571569</v>
      </c>
      <c r="CW9" s="20">
        <f t="shared" si="13"/>
        <v>5.7490697393039083</v>
      </c>
      <c r="CX9" s="59">
        <f t="shared" si="14"/>
        <v>208.67705629053557</v>
      </c>
      <c r="CY9" s="59">
        <f ca="1">AVERAGE(OFFSET($CX$3,0,0,'Données projet'!$E$13+1,1))-AVERAGE(OFFSET($H$3,0,0,'Données projet'!$E$13+1,1))</f>
        <v>392.81074187112989</v>
      </c>
      <c r="CZ9" s="59">
        <f t="shared" si="42"/>
        <v>236.19146849073687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53.343996332154092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2.9235042735042733</v>
      </c>
      <c r="DO9" s="12">
        <f>IF('Données projet'!$A$166&gt;35,DO8+DN9-DW8,IF(A9&lt;'Données projet'!$A$166,$DL$205^A9,IF(A9='Données projet'!$A$166,'Données projet'!$B$166,DO8+DN9-DW8)))</f>
        <v>2.4468367659615553</v>
      </c>
      <c r="DP9" s="17">
        <f>DO9*VLOOKUP('Données projet'!$B$14,Paramètres!$A$1:$I$89,3,0)*VLOOKUP('Données projet'!$B$14,Paramètres!$A$1:$I$89,5,0)</f>
        <v>2.6337750948810181</v>
      </c>
      <c r="DQ9" s="13">
        <f t="shared" si="43"/>
        <v>1.0843647526927913</v>
      </c>
      <c r="DR9" s="20">
        <f t="shared" si="16"/>
        <v>6.4757602345243841</v>
      </c>
      <c r="DS9" s="59">
        <f t="shared" si="17"/>
        <v>209.40374678575606</v>
      </c>
      <c r="DT9" s="59">
        <f ca="1">AVERAGE(OFFSET($DS$3,0,0,'Données projet'!$E$14+1,1))-AVERAGE(OFFSET($H$3,0,0,'Données projet'!$E$14+1,1))</f>
        <v>434.77799524785502</v>
      </c>
      <c r="DU9" s="59">
        <f t="shared" si="44"/>
        <v>259.85949838170006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53.343996332154092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2.9235042735042733</v>
      </c>
      <c r="EJ9" s="12">
        <f>IF('Données projet'!$A$192&gt;35,EJ8+EI9-ER8,IF(A9&lt;'Données projet'!$A$192,$EG$205^A9,IF(A9='Données projet'!$A$192,'Données projet'!$B$192,EJ8+EI9-ER8)))</f>
        <v>2.4468367659615553</v>
      </c>
      <c r="EK9" s="17">
        <f>EJ9*VLOOKUP('Données projet'!$B$15,Paramètres!$A$1:$I$89,3,0)*VLOOKUP('Données projet'!$B$15,Paramètres!$A$1:$I$89,5,0)</f>
        <v>2.3665805200380166</v>
      </c>
      <c r="EL9" s="13">
        <f t="shared" si="45"/>
        <v>0.9865648376977989</v>
      </c>
      <c r="EM9" s="20">
        <f t="shared" si="19"/>
        <v>5.8400614980565448</v>
      </c>
      <c r="EN9" s="59">
        <f t="shared" si="20"/>
        <v>208.76804804928821</v>
      </c>
      <c r="EO9" s="59">
        <f ca="1">AVERAGE(OFFSET($EN$3,0,0,'Données projet'!$E$15+1,1))-AVERAGE(OFFSET($H$3,0,0,'Données projet'!$E$15+1,1))</f>
        <v>398.06270423055565</v>
      </c>
      <c r="EP9" s="59">
        <f t="shared" si="46"/>
        <v>239.15364562040614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53.343996332154092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9.4117948717948714</v>
      </c>
      <c r="FE9" s="12">
        <f>IF('Données projet'!$A$218&gt;35,FE8+FD9-FM8,IF(A9&lt;'Données projet'!$A$218,$FB$205^A9,IF(A9='Données projet'!$A$218,'Données projet'!$B$218,FE8+FD9-FM8)))</f>
        <v>7.2427831894575698</v>
      </c>
      <c r="FF9" s="17">
        <f>FE9*VLOOKUP('Données projet'!$B$16,Paramètres!$A$1:$I$89,3,0)*VLOOKUP('Données projet'!$B$16,Paramètres!$A$1:$I$89,5,0)</f>
        <v>4.3311843472956273</v>
      </c>
      <c r="FG9" s="13">
        <f t="shared" si="47"/>
        <v>1.6828977024636564</v>
      </c>
      <c r="FH9" s="20">
        <f t="shared" si="22"/>
        <v>10.474526236664085</v>
      </c>
      <c r="FI9" s="59">
        <f t="shared" si="23"/>
        <v>213.40251278789574</v>
      </c>
      <c r="FJ9" s="59">
        <f ca="1">AVERAGE(OFFSET($FI$3,0,0,'Données projet'!$E$16+1,1))-AVERAGE(OFFSET($H$3,0,0,'Données projet'!$E$16+1,1))</f>
        <v>334.13861979962491</v>
      </c>
      <c r="FK9" s="59">
        <f t="shared" si="48"/>
        <v>416.48635183664305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53.343996332154092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7.2264102564102561</v>
      </c>
      <c r="FZ9" s="12">
        <f>IF('Données projet'!$A$244&gt;35,FZ8+FY9-GH8,IF(A9&lt;'Données projet'!$A$244,$FW$205^A9,IF(A9='Données projet'!$A$244,'Données projet'!$B$244,FZ8+FY9-GH8)))</f>
        <v>2.9323025204191722</v>
      </c>
      <c r="GA9" s="17">
        <f>FZ9*VLOOKUP('Données projet'!$B$17,Paramètres!$A$1:$I$89,3,0)*VLOOKUP('Données projet'!$B$17,Paramètres!$A$1:$I$89,5,0)</f>
        <v>1.3723175795561726</v>
      </c>
      <c r="GB9" s="13">
        <f t="shared" si="49"/>
        <v>0.60954668407977464</v>
      </c>
      <c r="GC9" s="20">
        <f t="shared" si="25"/>
        <v>3.4517469258326074</v>
      </c>
      <c r="GD9" s="59">
        <f t="shared" si="26"/>
        <v>206.37973347706426</v>
      </c>
      <c r="GE9" s="59">
        <f ca="1">AVERAGE(OFFSET($GD$3,0,0,'Données projet'!$E$17+1,1))-AVERAGE(OFFSET($H$3,0,0,'Données projet'!$E$17+1,1))</f>
        <v>317.79829681023142</v>
      </c>
      <c r="GF9" s="59">
        <f t="shared" si="50"/>
        <v>275.07716943523621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53.343996332154092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8.5743589743589741</v>
      </c>
      <c r="GU9" s="12">
        <f>IF('Données projet'!$A$270&gt;35,GU8+GT9-HC8,IF(A9&lt;'Données projet'!$A$270,$GR$205^A9,IF(A9='Données projet'!$A$270,'Données projet'!$B$270,GU8+GT9-HC8)))</f>
        <v>4.4096689596458729</v>
      </c>
      <c r="GV9" s="17">
        <f>GU9*VLOOKUP('Données projet'!$B$18,Paramètres!$A$1:$I$89,3,0)*VLOOKUP('Données projet'!$B$18,Paramètres!$A$1:$I$89,5,0)</f>
        <v>2.4650049484420431</v>
      </c>
      <c r="GW9" s="13">
        <f t="shared" si="51"/>
        <v>1.0227329990537903</v>
      </c>
      <c r="GX9" s="20">
        <f t="shared" si="28"/>
        <v>6.0744769252219095</v>
      </c>
      <c r="GY9" s="59">
        <f t="shared" si="29"/>
        <v>209.00246347645358</v>
      </c>
      <c r="GZ9" s="59">
        <f ca="1">AVERAGE(OFFSET($GY$3,0,0,'Données projet'!$E$18+1,1))-AVERAGE(OFFSET($H$3,0,0,'Données projet'!$E$18+1,1))</f>
        <v>336.21787234885699</v>
      </c>
      <c r="HA9" s="59">
        <f t="shared" si="52"/>
        <v>315.36156736899113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3.7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13.566666666666668</v>
      </c>
      <c r="H10" s="67">
        <f t="shared" si="1"/>
        <v>202.4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53.632940758545558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212.02077222916873</v>
      </c>
      <c r="S10" s="59">
        <f ca="1">AVERAGE(OFFSET($R$3,0,0,'Données projet'!$E$9+1,1))-AVERAGE(OFFSET($H$3,0,0,'Données projet'!$E$9+1,1))</f>
        <v>411.64357329340851</v>
      </c>
      <c r="T10" s="59">
        <f t="shared" si="34"/>
        <v>294.07942258675632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53.632940758545558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4.0628205128205126</v>
      </c>
      <c r="AI10" s="13">
        <f>IF('Données projet'!$A$62&gt;35,AI9+AH10-AQ9,IF(A10&lt;'Données projet'!$A$62,$AF$205^A10,IF(A10='Données projet'!$A$62,'Données projet'!$B$62,AI9+AH10-AQ9)))</f>
        <v>3.067053897654088</v>
      </c>
      <c r="AJ10" s="13">
        <f>AI10*VLOOKUP('Données projet'!$B$10,Paramètres!$A$1:$I$89,3,0)*VLOOKUP('Données projet'!$B$10,Paramètres!$A$1:$I$89,5,0)</f>
        <v>3.1099926522212455</v>
      </c>
      <c r="AK10" s="13">
        <f t="shared" si="35"/>
        <v>1.2558976215767859</v>
      </c>
      <c r="AL10" s="20">
        <f t="shared" si="4"/>
        <v>7.6039255601982383</v>
      </c>
      <c r="AM10" s="59">
        <f t="shared" si="5"/>
        <v>212.81359723042084</v>
      </c>
      <c r="AN10" s="59">
        <f ca="1">AVERAGE(OFFSET($AM$3,0,0,'Données projet'!$E$10+1,1))-AVERAGE(OFFSET($H$3,0,0,'Données projet'!$E$10+1,1))</f>
        <v>453.05577105995508</v>
      </c>
      <c r="AO10" s="59">
        <f t="shared" si="36"/>
        <v>322.6839824496758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53.632940758545558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1.8914529914529912</v>
      </c>
      <c r="BD10" s="12">
        <f>IF('Données projet'!$A$88&gt;35,BD9+BC10-BL9,IF(A10&lt;'Données projet'!$A$88,$BA$205^A10,IF(A10='Données projet'!$A$88,'Données projet'!$B$88,BD9+BC10-BL9)))</f>
        <v>2.5659444784888423</v>
      </c>
      <c r="BE10" s="13">
        <f>BD10*VLOOKUP('Données projet'!$B$11,Paramètres!$A$1:$I$89,3,0)*VLOOKUP('Données projet'!$B$11,Paramètres!$A$1:$I$89,5,0)</f>
        <v>2.5618389673232604</v>
      </c>
      <c r="BF10" s="13">
        <f t="shared" si="37"/>
        <v>1.0581529802567655</v>
      </c>
      <c r="BG10" s="20">
        <f t="shared" si="7"/>
        <v>6.3048193087018776</v>
      </c>
      <c r="BH10" s="59">
        <f t="shared" si="8"/>
        <v>211.51449097892447</v>
      </c>
      <c r="BI10" s="59">
        <f ca="1">AVERAGE(OFFSET($BH$3,0,0,'Données projet'!$E$11+1,1))-AVERAGE(OFFSET($H$3,0,0,'Données projet'!$E$11+1,1))</f>
        <v>411.38162678377478</v>
      </c>
      <c r="BJ10" s="59">
        <f t="shared" si="38"/>
        <v>177.89903563360403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53.632940758545558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</v>
      </c>
      <c r="BY10" s="12">
        <f>IF('Données projet'!$A$114&gt;35,BY9+BX10-CG9,IF(A10&lt;'Données projet'!$A$114,$BV$205^A10,IF(A10='Données projet'!$A$114,'Données projet'!$B$114,BY9+BX10-CG9)))</f>
        <v>7.5629417171254145</v>
      </c>
      <c r="BZ10" s="13">
        <f>BY10*VLOOKUP('Données projet'!$B$12,Paramètres!$A$1:$I$89,3,0)*VLOOKUP('Données projet'!$B$12,Paramètres!$A$1:$I$89,5,0)</f>
        <v>7.9047866827394841</v>
      </c>
      <c r="CA10" s="13">
        <f t="shared" si="39"/>
        <v>2.8637018857665457</v>
      </c>
      <c r="CB10" s="20">
        <f t="shared" si="10"/>
        <v>18.755117590148</v>
      </c>
      <c r="CC10" s="59">
        <f t="shared" si="11"/>
        <v>223.96478926037059</v>
      </c>
      <c r="CD10" s="59">
        <f ca="1">AVERAGE(OFFSET($CC$3,0,0,'Données projet'!$E$12+1,1))-AVERAGE(OFFSET($H$3,0,0,'Données projet'!$E$12+1,1))</f>
        <v>374.38550202939507</v>
      </c>
      <c r="CE10" s="59">
        <f t="shared" si="40"/>
        <v>324.37486924296718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53.632940758545558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2.9235042735042733</v>
      </c>
      <c r="CT10" s="12">
        <f>IF('Données projet'!$A$140&gt;35,CT9+CS10-DB9,IF(A10&lt;'Données projet'!$A$140,$CQ$205^A10,IF(A10='Données projet'!$A$140,'Données projet'!$B$140,CT9+CS10-DB9)))</f>
        <v>2.8403541738035183</v>
      </c>
      <c r="CU10" s="17">
        <f>CT10*VLOOKUP('Données projet'!$B$13,Paramètres!$A$1:$I$89,3,0)*VLOOKUP('Données projet'!$B$13,Paramètres!$A$1:$I$89,5,0)</f>
        <v>2.7028810317914278</v>
      </c>
      <c r="CV10" s="13">
        <f t="shared" si="41"/>
        <v>1.1094668762592685</v>
      </c>
      <c r="CW10" s="20">
        <f t="shared" si="13"/>
        <v>6.6398392731882963</v>
      </c>
      <c r="CX10" s="59">
        <f t="shared" si="14"/>
        <v>211.84951094341091</v>
      </c>
      <c r="CY10" s="59">
        <f ca="1">AVERAGE(OFFSET($CX$3,0,0,'Données projet'!$E$13+1,1))-AVERAGE(OFFSET($H$3,0,0,'Données projet'!$E$13+1,1))</f>
        <v>392.81074187112989</v>
      </c>
      <c r="CZ10" s="59">
        <f t="shared" si="42"/>
        <v>236.19146849073687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53.632940758545558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2.9235042735042733</v>
      </c>
      <c r="DO10" s="12">
        <f>IF('Données projet'!$A$166&gt;35,DO9+DN10-DW9,IF(A10&lt;'Données projet'!$A$166,$DL$205^A10,IF(A10='Données projet'!$A$166,'Données projet'!$B$166,DO9+DN10-DW9)))</f>
        <v>2.8403541738035183</v>
      </c>
      <c r="DP10" s="17">
        <f>DO10*VLOOKUP('Données projet'!$B$14,Paramètres!$A$1:$I$89,3,0)*VLOOKUP('Données projet'!$B$14,Paramètres!$A$1:$I$89,5,0)</f>
        <v>3.057357232682107</v>
      </c>
      <c r="DQ10" s="13">
        <f t="shared" si="43"/>
        <v>1.237097573407095</v>
      </c>
      <c r="DR10" s="20">
        <f t="shared" si="16"/>
        <v>7.4795087872720272</v>
      </c>
      <c r="DS10" s="59">
        <f t="shared" si="17"/>
        <v>212.68918045749464</v>
      </c>
      <c r="DT10" s="59">
        <f ca="1">AVERAGE(OFFSET($DS$3,0,0,'Données projet'!$E$14+1,1))-AVERAGE(OFFSET($H$3,0,0,'Données projet'!$E$14+1,1))</f>
        <v>434.77799524785502</v>
      </c>
      <c r="DU10" s="59">
        <f t="shared" si="44"/>
        <v>259.85949838170006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53.632940758545558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2.9235042735042733</v>
      </c>
      <c r="EJ10" s="12">
        <f>IF('Données projet'!$A$192&gt;35,EJ9+EI10-ER9,IF(A10&lt;'Données projet'!$A$192,$EG$205^A10,IF(A10='Données projet'!$A$192,'Données projet'!$B$192,EJ9+EI10-ER9)))</f>
        <v>2.8403541738035183</v>
      </c>
      <c r="EK10" s="17">
        <f>EJ10*VLOOKUP('Données projet'!$B$15,Paramètres!$A$1:$I$89,3,0)*VLOOKUP('Données projet'!$B$15,Paramètres!$A$1:$I$89,5,0)</f>
        <v>2.7471905569027628</v>
      </c>
      <c r="EL10" s="13">
        <f t="shared" si="45"/>
        <v>1.1255225362996297</v>
      </c>
      <c r="EM10" s="20">
        <f t="shared" si="19"/>
        <v>6.7449753039941669</v>
      </c>
      <c r="EN10" s="59">
        <f t="shared" si="20"/>
        <v>211.95464697421676</v>
      </c>
      <c r="EO10" s="59">
        <f ca="1">AVERAGE(OFFSET($EN$3,0,0,'Données projet'!$E$15+1,1))-AVERAGE(OFFSET($H$3,0,0,'Données projet'!$E$15+1,1))</f>
        <v>398.06270423055565</v>
      </c>
      <c r="EP10" s="59">
        <f t="shared" si="46"/>
        <v>239.15364562040614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53.632940758545558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9.4117948717948714</v>
      </c>
      <c r="FE10" s="12">
        <f>IF('Données projet'!$A$218&gt;35,FE9+FD10-FM9,IF(A10&lt;'Données projet'!$A$218,$FB$205^A10,IF(A10='Données projet'!$A$218,'Données projet'!$B$218,FE9+FD10-FM9)))</f>
        <v>10.07448989842143</v>
      </c>
      <c r="FF10" s="17">
        <f>FE10*VLOOKUP('Données projet'!$B$16,Paramètres!$A$1:$I$89,3,0)*VLOOKUP('Données projet'!$B$16,Paramètres!$A$1:$I$89,5,0)</f>
        <v>6.0245449592560147</v>
      </c>
      <c r="FG10" s="13">
        <f t="shared" si="47"/>
        <v>2.2526469522229675</v>
      </c>
      <c r="FH10" s="20">
        <f t="shared" si="22"/>
        <v>14.416109245825893</v>
      </c>
      <c r="FI10" s="59">
        <f t="shared" si="23"/>
        <v>219.62578091604848</v>
      </c>
      <c r="FJ10" s="59">
        <f ca="1">AVERAGE(OFFSET($FI$3,0,0,'Données projet'!$E$16+1,1))-AVERAGE(OFFSET($H$3,0,0,'Données projet'!$E$16+1,1))</f>
        <v>334.13861979962491</v>
      </c>
      <c r="FK10" s="59">
        <f t="shared" si="48"/>
        <v>416.48635183664305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53.632940758545558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7.2264102564102561</v>
      </c>
      <c r="FZ10" s="12">
        <f>IF('Données projet'!$A$244&gt;35,FZ9+FY10-GH9,IF(A10&lt;'Données projet'!$A$244,$FW$205^A10,IF(A10='Données projet'!$A$244,'Données projet'!$B$244,FZ9+FY10-GH9)))</f>
        <v>3.5081398877252363</v>
      </c>
      <c r="GA10" s="17">
        <f>FZ10*VLOOKUP('Données projet'!$B$17,Paramètres!$A$1:$I$89,3,0)*VLOOKUP('Données projet'!$B$17,Paramètres!$A$1:$I$89,5,0)</f>
        <v>1.6418094674554107</v>
      </c>
      <c r="GB10" s="13">
        <f t="shared" si="49"/>
        <v>0.71418586714920729</v>
      </c>
      <c r="GC10" s="20">
        <f t="shared" si="25"/>
        <v>4.1033585411030424</v>
      </c>
      <c r="GD10" s="59">
        <f t="shared" si="26"/>
        <v>209.31303021132564</v>
      </c>
      <c r="GE10" s="59">
        <f ca="1">AVERAGE(OFFSET($GD$3,0,0,'Données projet'!$E$17+1,1))-AVERAGE(OFFSET($H$3,0,0,'Données projet'!$E$17+1,1))</f>
        <v>317.79829681023142</v>
      </c>
      <c r="GF10" s="59">
        <f t="shared" si="50"/>
        <v>275.07716943523621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53.632940758545558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8.5743589743589741</v>
      </c>
      <c r="GU10" s="12">
        <f>IF('Données projet'!$A$270&gt;35,GU9+GT10-HC9,IF(A10&lt;'Données projet'!$A$270,$GR$205^A10,IF(A10='Données projet'!$A$270,'Données projet'!$B$270,GU9+GT10-HC9)))</f>
        <v>5.6468595434117601</v>
      </c>
      <c r="GV10" s="17">
        <f>GU10*VLOOKUP('Données projet'!$B$18,Paramètres!$A$1:$I$89,3,0)*VLOOKUP('Données projet'!$B$18,Paramètres!$A$1:$I$89,5,0)</f>
        <v>3.1565944847671736</v>
      </c>
      <c r="GW10" s="13">
        <f t="shared" si="51"/>
        <v>1.2725117193021875</v>
      </c>
      <c r="GX10" s="20">
        <f t="shared" si="28"/>
        <v>7.7140266387541381</v>
      </c>
      <c r="GY10" s="59">
        <f t="shared" si="29"/>
        <v>212.92369830897675</v>
      </c>
      <c r="GZ10" s="59">
        <f ca="1">AVERAGE(OFFSET($GY$3,0,0,'Données projet'!$E$18+1,1))-AVERAGE(OFFSET($H$3,0,0,'Données projet'!$E$18+1,1))</f>
        <v>336.21787234885699</v>
      </c>
      <c r="HA10" s="59">
        <f t="shared" si="52"/>
        <v>315.36156736899113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3.7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13.566666666666668</v>
      </c>
      <c r="H11" s="67">
        <f t="shared" si="1"/>
        <v>202.4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53.916872645122098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215.42383886223729</v>
      </c>
      <c r="S11" s="59">
        <f ca="1">AVERAGE(OFFSET($R$3,0,0,'Données projet'!$E$9+1,1))-AVERAGE(OFFSET($H$3,0,0,'Données projet'!$E$9+1,1))</f>
        <v>411.64357329340851</v>
      </c>
      <c r="T11" s="59">
        <f t="shared" si="34"/>
        <v>294.07942258675632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53.916872645122098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4.0628205128205126</v>
      </c>
      <c r="AI11" s="13">
        <f>IF('Données projet'!$A$62&gt;35,AI10+AH11-AQ10,IF(A11&lt;'Données projet'!$A$62,$AF$205^A11,IF(A11='Données projet'!$A$62,'Données projet'!$B$62,AI10+AH11-AQ10)))</f>
        <v>3.5995900084872572</v>
      </c>
      <c r="AJ11" s="13">
        <f>AI11*VLOOKUP('Données projet'!$B$10,Paramètres!$A$1:$I$89,3,0)*VLOOKUP('Données projet'!$B$10,Paramètres!$A$1:$I$89,5,0)</f>
        <v>3.6499842686060791</v>
      </c>
      <c r="AK11" s="13">
        <f t="shared" si="35"/>
        <v>1.4467463187725633</v>
      </c>
      <c r="AL11" s="20">
        <f t="shared" si="4"/>
        <v>8.8768057730178018</v>
      </c>
      <c r="AM11" s="59">
        <f t="shared" si="5"/>
        <v>216.34978324957657</v>
      </c>
      <c r="AN11" s="59">
        <f ca="1">AVERAGE(OFFSET($AM$3,0,0,'Données projet'!$E$10+1,1))-AVERAGE(OFFSET($H$3,0,0,'Données projet'!$E$10+1,1))</f>
        <v>453.05577105995508</v>
      </c>
      <c r="AO11" s="59">
        <f t="shared" si="36"/>
        <v>322.6839824496758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53.916872645122098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1.8914529914529912</v>
      </c>
      <c r="BD11" s="12">
        <f>IF('Données projet'!$A$88&gt;35,BD10+BC11-BL10,IF(A11&lt;'Données projet'!$A$88,$BA$205^A11,IF(A11='Données projet'!$A$88,'Données projet'!$B$88,BD10+BC11-BL10)))</f>
        <v>2.9356964556845573</v>
      </c>
      <c r="BE11" s="13">
        <f>BD11*VLOOKUP('Données projet'!$B$11,Paramètres!$A$1:$I$89,3,0)*VLOOKUP('Données projet'!$B$11,Paramètres!$A$1:$I$89,5,0)</f>
        <v>2.930999341355462</v>
      </c>
      <c r="BF11" s="13">
        <f t="shared" si="37"/>
        <v>1.1918103587095352</v>
      </c>
      <c r="BG11" s="20">
        <f t="shared" si="7"/>
        <v>7.1805602276132028</v>
      </c>
      <c r="BH11" s="59">
        <f t="shared" si="8"/>
        <v>214.65353770417198</v>
      </c>
      <c r="BI11" s="59">
        <f ca="1">AVERAGE(OFFSET($BH$3,0,0,'Données projet'!$E$11+1,1))-AVERAGE(OFFSET($H$3,0,0,'Données projet'!$E$11+1,1))</f>
        <v>411.38162678377478</v>
      </c>
      <c r="BJ11" s="59">
        <f t="shared" si="38"/>
        <v>177.89903563360403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53.916872645122098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</v>
      </c>
      <c r="BY11" s="12">
        <f>IF('Données projet'!$A$114&gt;35,BY10+BX11-CG10,IF(A11&lt;'Données projet'!$A$114,$BV$205^A11,IF(A11='Données projet'!$A$114,'Données projet'!$B$114,BY10+BX11-CG10)))</f>
        <v>10.097596309015799</v>
      </c>
      <c r="BZ11" s="13">
        <f>BY11*VLOOKUP('Données projet'!$B$12,Paramètres!$A$1:$I$89,3,0)*VLOOKUP('Données projet'!$B$12,Paramètres!$A$1:$I$89,5,0)</f>
        <v>10.554007662183313</v>
      </c>
      <c r="CA11" s="13">
        <f t="shared" si="39"/>
        <v>3.6969509118872272</v>
      </c>
      <c r="CB11" s="20">
        <f t="shared" si="10"/>
        <v>24.820419516506192</v>
      </c>
      <c r="CC11" s="59">
        <f t="shared" si="11"/>
        <v>232.29339699306496</v>
      </c>
      <c r="CD11" s="59">
        <f ca="1">AVERAGE(OFFSET($CC$3,0,0,'Données projet'!$E$12+1,1))-AVERAGE(OFFSET($H$3,0,0,'Données projet'!$E$12+1,1))</f>
        <v>374.38550202939507</v>
      </c>
      <c r="CE11" s="59">
        <f t="shared" si="40"/>
        <v>324.37486924296718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53.916872645122098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2.9235042735042733</v>
      </c>
      <c r="CT11" s="12">
        <f>IF('Données projet'!$A$140&gt;35,CT10+CS11-DB10,IF(A11&lt;'Données projet'!$A$140,$CQ$205^A11,IF(A11='Données projet'!$A$140,'Données projet'!$B$140,CT10+CS11-DB10)))</f>
        <v>3.2971598043944974</v>
      </c>
      <c r="CU11" s="17">
        <f>CT11*VLOOKUP('Données projet'!$B$13,Paramètres!$A$1:$I$89,3,0)*VLOOKUP('Données projet'!$B$13,Paramètres!$A$1:$I$89,5,0)</f>
        <v>3.1375772698618039</v>
      </c>
      <c r="CV11" s="13">
        <f t="shared" si="41"/>
        <v>1.2657353321265099</v>
      </c>
      <c r="CW11" s="20">
        <f t="shared" si="13"/>
        <v>7.6691027817963127</v>
      </c>
      <c r="CX11" s="59">
        <f t="shared" si="14"/>
        <v>215.14208025835509</v>
      </c>
      <c r="CY11" s="59">
        <f ca="1">AVERAGE(OFFSET($CX$3,0,0,'Données projet'!$E$13+1,1))-AVERAGE(OFFSET($H$3,0,0,'Données projet'!$E$13+1,1))</f>
        <v>392.81074187112989</v>
      </c>
      <c r="CZ11" s="59">
        <f t="shared" si="42"/>
        <v>236.19146849073687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53.916872645122098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2.9235042735042733</v>
      </c>
      <c r="DO11" s="12">
        <f>IF('Données projet'!$A$166&gt;35,DO10+DN11-DW10,IF(A11&lt;'Données projet'!$A$166,$DL$205^A11,IF(A11='Données projet'!$A$166,'Données projet'!$B$166,DO10+DN11-DW10)))</f>
        <v>3.2971598043944974</v>
      </c>
      <c r="DP11" s="17">
        <f>DO11*VLOOKUP('Données projet'!$B$14,Paramètres!$A$1:$I$89,3,0)*VLOOKUP('Données projet'!$B$14,Paramètres!$A$1:$I$89,5,0)</f>
        <v>3.5490628134502367</v>
      </c>
      <c r="DQ11" s="13">
        <f t="shared" si="43"/>
        <v>1.4113428182991663</v>
      </c>
      <c r="DR11" s="20">
        <f t="shared" si="16"/>
        <v>8.639373141963544</v>
      </c>
      <c r="DS11" s="59">
        <f t="shared" si="17"/>
        <v>216.11235061852233</v>
      </c>
      <c r="DT11" s="59">
        <f ca="1">AVERAGE(OFFSET($DS$3,0,0,'Données projet'!$E$14+1,1))-AVERAGE(OFFSET($H$3,0,0,'Données projet'!$E$14+1,1))</f>
        <v>434.77799524785502</v>
      </c>
      <c r="DU11" s="59">
        <f t="shared" si="44"/>
        <v>259.85949838170006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53.916872645122098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2.9235042735042733</v>
      </c>
      <c r="EJ11" s="12">
        <f>IF('Données projet'!$A$192&gt;35,EJ10+EI11-ER10,IF(A11&lt;'Données projet'!$A$192,$EG$205^A11,IF(A11='Données projet'!$A$192,'Données projet'!$B$192,EJ10+EI11-ER10)))</f>
        <v>3.2971598043944974</v>
      </c>
      <c r="EK11" s="17">
        <f>EJ11*VLOOKUP('Données projet'!$B$15,Paramètres!$A$1:$I$89,3,0)*VLOOKUP('Données projet'!$B$15,Paramètres!$A$1:$I$89,5,0)</f>
        <v>3.1890129628103581</v>
      </c>
      <c r="EL11" s="13">
        <f t="shared" si="45"/>
        <v>1.2840524325542542</v>
      </c>
      <c r="EM11" s="20">
        <f t="shared" si="19"/>
        <v>7.7905888969266996</v>
      </c>
      <c r="EN11" s="59">
        <f t="shared" si="20"/>
        <v>215.26356637348547</v>
      </c>
      <c r="EO11" s="59">
        <f ca="1">AVERAGE(OFFSET($EN$3,0,0,'Données projet'!$E$15+1,1))-AVERAGE(OFFSET($H$3,0,0,'Données projet'!$E$15+1,1))</f>
        <v>398.06270423055565</v>
      </c>
      <c r="EP11" s="59">
        <f t="shared" si="46"/>
        <v>239.15364562040614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53.916872645122098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9.4117948717948714</v>
      </c>
      <c r="FE11" s="12">
        <f>IF('Données projet'!$A$218&gt;35,FE10+FD11-FM10,IF(A11&lt;'Données projet'!$A$218,$FB$205^A11,IF(A11='Données projet'!$A$218,'Données projet'!$B$218,FE10+FD11-FM10)))</f>
        <v>14.01330732378262</v>
      </c>
      <c r="FF11" s="17">
        <f>FE11*VLOOKUP('Données projet'!$B$16,Paramètres!$A$1:$I$89,3,0)*VLOOKUP('Données projet'!$B$16,Paramètres!$A$1:$I$89,5,0)</f>
        <v>8.3799577796220071</v>
      </c>
      <c r="FG11" s="13">
        <f t="shared" si="47"/>
        <v>3.0152862434423646</v>
      </c>
      <c r="FH11" s="20">
        <f t="shared" si="22"/>
        <v>19.846716673503781</v>
      </c>
      <c r="FI11" s="59">
        <f t="shared" si="23"/>
        <v>227.31969415006256</v>
      </c>
      <c r="FJ11" s="59">
        <f ca="1">AVERAGE(OFFSET($FI$3,0,0,'Données projet'!$E$16+1,1))-AVERAGE(OFFSET($H$3,0,0,'Données projet'!$E$16+1,1))</f>
        <v>334.13861979962491</v>
      </c>
      <c r="FK11" s="59">
        <f t="shared" si="48"/>
        <v>416.48635183664305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53.916872645122098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7.2264102564102561</v>
      </c>
      <c r="FZ11" s="12">
        <f>IF('Données projet'!$A$244&gt;35,FZ10+FY11-GH10,IF(A11&lt;'Données projet'!$A$244,$FW$205^A11,IF(A11='Données projet'!$A$244,'Données projet'!$B$244,FZ10+FY11-GH10)))</f>
        <v>4.1970585866050225</v>
      </c>
      <c r="GA11" s="17">
        <f>FZ11*VLOOKUP('Données projet'!$B$17,Paramètres!$A$1:$I$89,3,0)*VLOOKUP('Données projet'!$B$17,Paramètres!$A$1:$I$89,5,0)</f>
        <v>1.9642234185311505</v>
      </c>
      <c r="GB11" s="13">
        <f t="shared" si="49"/>
        <v>0.83678816759654573</v>
      </c>
      <c r="GC11" s="20">
        <f t="shared" si="25"/>
        <v>4.8784285125057369</v>
      </c>
      <c r="GD11" s="59">
        <f t="shared" si="26"/>
        <v>212.35140598906452</v>
      </c>
      <c r="GE11" s="59">
        <f ca="1">AVERAGE(OFFSET($GD$3,0,0,'Données projet'!$E$17+1,1))-AVERAGE(OFFSET($H$3,0,0,'Données projet'!$E$17+1,1))</f>
        <v>317.79829681023142</v>
      </c>
      <c r="GF11" s="59">
        <f t="shared" si="50"/>
        <v>275.07716943523621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53.916872645122098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8.5743589743589741</v>
      </c>
      <c r="GU11" s="12">
        <f>IF('Données projet'!$A$270&gt;35,GU10+GT11-HC10,IF(A11&lt;'Données projet'!$A$270,$GR$205^A11,IF(A11='Données projet'!$A$270,'Données projet'!$B$270,GU10+GT11-HC10)))</f>
        <v>7.2311602060897604</v>
      </c>
      <c r="GV11" s="17">
        <f>GU11*VLOOKUP('Données projet'!$B$18,Paramètres!$A$1:$I$89,3,0)*VLOOKUP('Données projet'!$B$18,Paramètres!$A$1:$I$89,5,0)</f>
        <v>4.0422185552041761</v>
      </c>
      <c r="GW11" s="13">
        <f t="shared" si="51"/>
        <v>1.5832930757681005</v>
      </c>
      <c r="GX11" s="20">
        <f t="shared" si="28"/>
        <v>9.7977660906100486</v>
      </c>
      <c r="GY11" s="59">
        <f t="shared" si="29"/>
        <v>217.27074356716884</v>
      </c>
      <c r="GZ11" s="59">
        <f ca="1">AVERAGE(OFFSET($GY$3,0,0,'Données projet'!$E$18+1,1))-AVERAGE(OFFSET($H$3,0,0,'Données projet'!$E$18+1,1))</f>
        <v>336.21787234885699</v>
      </c>
      <c r="HA11" s="59">
        <f t="shared" si="52"/>
        <v>315.36156736899113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3.7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13.566666666666668</v>
      </c>
      <c r="H12" s="67">
        <f t="shared" si="1"/>
        <v>202.4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54.195878948243134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219.00023015923506</v>
      </c>
      <c r="S12" s="59">
        <f ca="1">AVERAGE(OFFSET($R$3,0,0,'Données projet'!$E$9+1,1))-AVERAGE(OFFSET($H$3,0,0,'Données projet'!$E$9+1,1))</f>
        <v>411.64357329340851</v>
      </c>
      <c r="T12" s="59">
        <f t="shared" si="34"/>
        <v>294.07942258675632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54.195878948243134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4.0628205128205126</v>
      </c>
      <c r="AI12" s="13">
        <f>IF('Données projet'!$A$62&gt;35,AI11+AH12-AQ11,IF(A12&lt;'Données projet'!$A$62,$AF$205^A12,IF(A12='Données projet'!$A$62,'Données projet'!$B$62,AI11+AH12-AQ11)))</f>
        <v>4.2245909793472531</v>
      </c>
      <c r="AJ12" s="13">
        <f>AI12*VLOOKUP('Données projet'!$B$10,Paramètres!$A$1:$I$89,3,0)*VLOOKUP('Données projet'!$B$10,Paramètres!$A$1:$I$89,5,0)</f>
        <v>4.283735253058115</v>
      </c>
      <c r="AK12" s="13">
        <f t="shared" si="35"/>
        <v>1.6665967630817691</v>
      </c>
      <c r="AL12" s="20">
        <f t="shared" si="4"/>
        <v>10.363494928110297</v>
      </c>
      <c r="AM12" s="59">
        <f t="shared" si="5"/>
        <v>220.08171773833513</v>
      </c>
      <c r="AN12" s="59">
        <f ca="1">AVERAGE(OFFSET($AM$3,0,0,'Données projet'!$E$10+1,1))-AVERAGE(OFFSET($H$3,0,0,'Données projet'!$E$10+1,1))</f>
        <v>453.05577105995508</v>
      </c>
      <c r="AO12" s="59">
        <f t="shared" si="36"/>
        <v>322.6839824496758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54.195878948243134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1.8914529914529912</v>
      </c>
      <c r="BD12" s="12">
        <f>IF('Données projet'!$A$88&gt;35,BD11+BC12-BL11,IF(A12&lt;'Données projet'!$A$88,$BA$205^A12,IF(A12='Données projet'!$A$88,'Données projet'!$B$88,BD11+BC12-BL11)))</f>
        <v>3.3587296031418585</v>
      </c>
      <c r="BE12" s="13">
        <f>BD12*VLOOKUP('Données projet'!$B$11,Paramètres!$A$1:$I$89,3,0)*VLOOKUP('Données projet'!$B$11,Paramètres!$A$1:$I$89,5,0)</f>
        <v>3.3533556357768317</v>
      </c>
      <c r="BF12" s="13">
        <f t="shared" si="37"/>
        <v>1.342350262797239</v>
      </c>
      <c r="BG12" s="20">
        <f t="shared" si="7"/>
        <v>8.1783544400165056</v>
      </c>
      <c r="BH12" s="59">
        <f t="shared" si="8"/>
        <v>217.89657725024134</v>
      </c>
      <c r="BI12" s="59">
        <f ca="1">AVERAGE(OFFSET($BH$3,0,0,'Données projet'!$E$11+1,1))-AVERAGE(OFFSET($H$3,0,0,'Données projet'!$E$11+1,1))</f>
        <v>411.38162678377478</v>
      </c>
      <c r="BJ12" s="59">
        <f t="shared" si="38"/>
        <v>177.89903563360403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54.195878948243134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</v>
      </c>
      <c r="BY12" s="12">
        <f>IF('Données projet'!$A$114&gt;35,BY11+BX12-CG11,IF(A12&lt;'Données projet'!$A$114,$BV$205^A12,IF(A12='Données projet'!$A$114,'Données projet'!$B$114,BY11+BX12-CG11)))</f>
        <v>13.48171849440139</v>
      </c>
      <c r="BZ12" s="13">
        <f>BY12*VLOOKUP('Données projet'!$B$12,Paramètres!$A$1:$I$89,3,0)*VLOOKUP('Données projet'!$B$12,Paramètres!$A$1:$I$89,5,0)</f>
        <v>14.091092170348333</v>
      </c>
      <c r="CA12" s="13">
        <f t="shared" si="39"/>
        <v>4.7726497345394394</v>
      </c>
      <c r="CB12" s="20">
        <f t="shared" si="10"/>
        <v>32.854350484346199</v>
      </c>
      <c r="CC12" s="59">
        <f t="shared" si="11"/>
        <v>242.57257329457104</v>
      </c>
      <c r="CD12" s="59">
        <f ca="1">AVERAGE(OFFSET($CC$3,0,0,'Données projet'!$E$12+1,1))-AVERAGE(OFFSET($H$3,0,0,'Données projet'!$E$12+1,1))</f>
        <v>374.38550202939507</v>
      </c>
      <c r="CE12" s="59">
        <f t="shared" si="40"/>
        <v>324.37486924296718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54.195878948243134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2.9235042735042733</v>
      </c>
      <c r="CT12" s="12">
        <f>IF('Données projet'!$A$140&gt;35,CT11+CS12-DB11,IF(A12&lt;'Données projet'!$A$140,$CQ$205^A12,IF(A12='Données projet'!$A$140,'Données projet'!$B$140,CT11+CS12-DB11)))</f>
        <v>3.8274321125090722</v>
      </c>
      <c r="CU12" s="17">
        <f>CT12*VLOOKUP('Données projet'!$B$13,Paramètres!$A$1:$I$89,3,0)*VLOOKUP('Données projet'!$B$13,Paramètres!$A$1:$I$89,5,0)</f>
        <v>3.642184398263633</v>
      </c>
      <c r="CV12" s="13">
        <f t="shared" si="41"/>
        <v>1.4440142065305053</v>
      </c>
      <c r="CW12" s="20">
        <f t="shared" si="13"/>
        <v>8.8584625700164565</v>
      </c>
      <c r="CX12" s="59">
        <f t="shared" si="14"/>
        <v>218.57668538024129</v>
      </c>
      <c r="CY12" s="59">
        <f ca="1">AVERAGE(OFFSET($CX$3,0,0,'Données projet'!$E$13+1,1))-AVERAGE(OFFSET($H$3,0,0,'Données projet'!$E$13+1,1))</f>
        <v>392.81074187112989</v>
      </c>
      <c r="CZ12" s="59">
        <f t="shared" si="42"/>
        <v>236.19146849073687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54.195878948243134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2.9235042735042733</v>
      </c>
      <c r="DO12" s="12">
        <f>IF('Données projet'!$A$166&gt;35,DO11+DN12-DW11,IF(A12&lt;'Données projet'!$A$166,$DL$205^A12,IF(A12='Données projet'!$A$166,'Données projet'!$B$166,DO11+DN12-DW11)))</f>
        <v>3.8274321125090722</v>
      </c>
      <c r="DP12" s="17">
        <f>DO12*VLOOKUP('Données projet'!$B$14,Paramètres!$A$1:$I$89,3,0)*VLOOKUP('Données projet'!$B$14,Paramètres!$A$1:$I$89,5,0)</f>
        <v>4.1198479259047653</v>
      </c>
      <c r="DQ12" s="13">
        <f t="shared" si="43"/>
        <v>1.6101305132130899</v>
      </c>
      <c r="DR12" s="20">
        <f t="shared" si="16"/>
        <v>9.9797124481302628</v>
      </c>
      <c r="DS12" s="59">
        <f t="shared" si="17"/>
        <v>219.6979352583551</v>
      </c>
      <c r="DT12" s="59">
        <f ca="1">AVERAGE(OFFSET($DS$3,0,0,'Données projet'!$E$14+1,1))-AVERAGE(OFFSET($H$3,0,0,'Données projet'!$E$14+1,1))</f>
        <v>434.77799524785502</v>
      </c>
      <c r="DU12" s="59">
        <f t="shared" si="44"/>
        <v>259.85949838170006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54.195878948243134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2.9235042735042733</v>
      </c>
      <c r="EJ12" s="12">
        <f>IF('Données projet'!$A$192&gt;35,EJ11+EI12-ER11,IF(A12&lt;'Données projet'!$A$192,$EG$205^A12,IF(A12='Données projet'!$A$192,'Données projet'!$B$192,EJ11+EI12-ER11)))</f>
        <v>3.8274321125090722</v>
      </c>
      <c r="EK12" s="17">
        <f>EJ12*VLOOKUP('Données projet'!$B$15,Paramètres!$A$1:$I$89,3,0)*VLOOKUP('Données projet'!$B$15,Paramètres!$A$1:$I$89,5,0)</f>
        <v>3.7018923392187748</v>
      </c>
      <c r="EL12" s="13">
        <f t="shared" si="45"/>
        <v>1.4649112713186636</v>
      </c>
      <c r="EM12" s="20">
        <f t="shared" si="19"/>
        <v>8.9988496216860376</v>
      </c>
      <c r="EN12" s="59">
        <f t="shared" si="20"/>
        <v>218.71707243191088</v>
      </c>
      <c r="EO12" s="59">
        <f ca="1">AVERAGE(OFFSET($EN$3,0,0,'Données projet'!$E$15+1,1))-AVERAGE(OFFSET($H$3,0,0,'Données projet'!$E$15+1,1))</f>
        <v>398.06270423055565</v>
      </c>
      <c r="EP12" s="59">
        <f t="shared" si="46"/>
        <v>239.15364562040614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54.195878948243134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9.4117948717948714</v>
      </c>
      <c r="FE12" s="12">
        <f>IF('Données projet'!$A$218&gt;35,FE11+FD12-FM11,IF(A12&lt;'Données projet'!$A$218,$FB$205^A12,IF(A12='Données projet'!$A$218,'Données projet'!$B$218,FE11+FD12-FM11)))</f>
        <v>19.492081895039593</v>
      </c>
      <c r="FF12" s="17">
        <f>FE12*VLOOKUP('Données projet'!$B$16,Paramètres!$A$1:$I$89,3,0)*VLOOKUP('Données projet'!$B$16,Paramètres!$A$1:$I$89,5,0)</f>
        <v>11.656264973233679</v>
      </c>
      <c r="FG12" s="13">
        <f t="shared" si="47"/>
        <v>4.0361189847883647</v>
      </c>
      <c r="FH12" s="20">
        <f t="shared" si="22"/>
        <v>27.330902060221728</v>
      </c>
      <c r="FI12" s="59">
        <f t="shared" si="23"/>
        <v>237.04912487044655</v>
      </c>
      <c r="FJ12" s="59">
        <f ca="1">AVERAGE(OFFSET($FI$3,0,0,'Données projet'!$E$16+1,1))-AVERAGE(OFFSET($H$3,0,0,'Données projet'!$E$16+1,1))</f>
        <v>334.13861979962491</v>
      </c>
      <c r="FK12" s="59">
        <f t="shared" si="48"/>
        <v>416.48635183664305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54.195878948243134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7.2264102564102561</v>
      </c>
      <c r="FZ12" s="12">
        <f>IF('Données projet'!$A$244&gt;35,FZ11+FY12-GH11,IF(A12&lt;'Données projet'!$A$244,$FW$205^A12,IF(A12='Données projet'!$A$244,'Données projet'!$B$244,FZ11+FY12-GH11)))</f>
        <v>5.0212652126643498</v>
      </c>
      <c r="GA12" s="17">
        <f>FZ12*VLOOKUP('Données projet'!$B$17,Paramètres!$A$1:$I$89,3,0)*VLOOKUP('Données projet'!$B$17,Paramètres!$A$1:$I$89,5,0)</f>
        <v>2.349952119526916</v>
      </c>
      <c r="GB12" s="13">
        <f t="shared" si="49"/>
        <v>0.98043726379605944</v>
      </c>
      <c r="GC12" s="20">
        <f t="shared" si="25"/>
        <v>5.8004281759541811</v>
      </c>
      <c r="GD12" s="59">
        <f t="shared" si="26"/>
        <v>215.51865098617901</v>
      </c>
      <c r="GE12" s="59">
        <f ca="1">AVERAGE(OFFSET($GD$3,0,0,'Données projet'!$E$17+1,1))-AVERAGE(OFFSET($H$3,0,0,'Données projet'!$E$17+1,1))</f>
        <v>317.79829681023142</v>
      </c>
      <c r="GF12" s="59">
        <f t="shared" si="50"/>
        <v>275.07716943523621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54.195878948243134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8.5743589743589741</v>
      </c>
      <c r="GU12" s="12">
        <f>IF('Données projet'!$A$270&gt;35,GU11+GT12-HC11,IF(A12&lt;'Données projet'!$A$270,$GR$205^A12,IF(A12='Données projet'!$A$270,'Données projet'!$B$270,GU11+GT12-HC11)))</f>
        <v>9.2599572424539804</v>
      </c>
      <c r="GV12" s="17">
        <f>GU12*VLOOKUP('Données projet'!$B$18,Paramètres!$A$1:$I$89,3,0)*VLOOKUP('Données projet'!$B$18,Paramètres!$A$1:$I$89,5,0)</f>
        <v>5.1763160985317747</v>
      </c>
      <c r="GW12" s="13">
        <f t="shared" si="51"/>
        <v>1.969975541875469</v>
      </c>
      <c r="GX12" s="20">
        <f t="shared" si="28"/>
        <v>12.446457940375948</v>
      </c>
      <c r="GY12" s="59">
        <f t="shared" si="29"/>
        <v>222.16468075060078</v>
      </c>
      <c r="GZ12" s="59">
        <f ca="1">AVERAGE(OFFSET($GY$3,0,0,'Données projet'!$E$18+1,1))-AVERAGE(OFFSET($H$3,0,0,'Données projet'!$E$18+1,1))</f>
        <v>336.21787234885699</v>
      </c>
      <c r="HA12" s="59">
        <f t="shared" si="52"/>
        <v>315.36156736899113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3.7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13.566666666666668</v>
      </c>
      <c r="H13" s="67">
        <f t="shared" si="1"/>
        <v>202.4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54.470045115769665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222.78250014535161</v>
      </c>
      <c r="S13" s="59">
        <f ca="1">AVERAGE(OFFSET($R$3,0,0,'Données projet'!$E$9+1,1))-AVERAGE(OFFSET($H$3,0,0,'Données projet'!$E$9+1,1))</f>
        <v>411.64357329340851</v>
      </c>
      <c r="T13" s="59">
        <f t="shared" si="34"/>
        <v>294.07942258675632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54.470045115769665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4.0628205128205126</v>
      </c>
      <c r="AI13" s="13">
        <f>IF('Données projet'!$A$62&gt;35,AI12+AH13-AQ12,IF(A13&lt;'Données projet'!$A$62,$AF$205^A13,IF(A13='Données projet'!$A$62,'Données projet'!$B$62,AI12+AH13-AQ12)))</f>
        <v>4.9581115906815549</v>
      </c>
      <c r="AJ13" s="13">
        <f>AI13*VLOOKUP('Données projet'!$B$10,Paramètres!$A$1:$I$89,3,0)*VLOOKUP('Données projet'!$B$10,Paramètres!$A$1:$I$89,5,0)</f>
        <v>5.0275251529510969</v>
      </c>
      <c r="AK13" s="13">
        <f t="shared" si="35"/>
        <v>1.9198561176026576</v>
      </c>
      <c r="AL13" s="20">
        <f t="shared" si="4"/>
        <v>12.10002237954779</v>
      </c>
      <c r="AM13" s="59">
        <f t="shared" si="5"/>
        <v>224.04574335959214</v>
      </c>
      <c r="AN13" s="59">
        <f ca="1">AVERAGE(OFFSET($AM$3,0,0,'Données projet'!$E$10+1,1))-AVERAGE(OFFSET($H$3,0,0,'Données projet'!$E$10+1,1))</f>
        <v>453.05577105995508</v>
      </c>
      <c r="AO13" s="59">
        <f t="shared" si="36"/>
        <v>322.6839824496758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54.470045115769665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1.8914529914529912</v>
      </c>
      <c r="BD13" s="12">
        <f>IF('Données projet'!$A$88&gt;35,BD12+BC13-BL12,IF(A13&lt;'Données projet'!$A$88,$BA$205^A13,IF(A13='Données projet'!$A$88,'Données projet'!$B$88,BD12+BC13-BL12)))</f>
        <v>3.8427217245765628</v>
      </c>
      <c r="BE13" s="13">
        <f>BD13*VLOOKUP('Données projet'!$B$11,Paramètres!$A$1:$I$89,3,0)*VLOOKUP('Données projet'!$B$11,Paramètres!$A$1:$I$89,5,0)</f>
        <v>3.8365733698172404</v>
      </c>
      <c r="BF13" s="13">
        <f t="shared" si="37"/>
        <v>1.511905157447093</v>
      </c>
      <c r="BG13" s="20">
        <f t="shared" si="7"/>
        <v>9.3152667683187129</v>
      </c>
      <c r="BH13" s="59">
        <f t="shared" si="8"/>
        <v>221.26098774836305</v>
      </c>
      <c r="BI13" s="59">
        <f ca="1">AVERAGE(OFFSET($BH$3,0,0,'Données projet'!$E$11+1,1))-AVERAGE(OFFSET($H$3,0,0,'Données projet'!$E$11+1,1))</f>
        <v>411.38162678377478</v>
      </c>
      <c r="BJ13" s="59">
        <f t="shared" si="38"/>
        <v>177.89903563360403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54.470045115769665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18</v>
      </c>
      <c r="BW13" s="12">
        <f>VLOOKUP(A13,'Données projet'!$A$113:$I$133,9,0)</f>
        <v>1.8</v>
      </c>
      <c r="BX13" s="12">
        <f t="array" ref="BX13">INDEX(BW:BW,MIN(IF(ISNUMBER(BW13:BW209),ROW(BW13:BW209),"")))</f>
        <v>1.8</v>
      </c>
      <c r="BY13" s="12">
        <f>IF('Données projet'!$A$114&gt;35,BY12+BX13-CG12,IF(A13&lt;'Données projet'!$A$114,$BV$205^A13,IF(A13='Données projet'!$A$114,'Données projet'!$B$114,BY12+BX13-CG12)))</f>
        <v>18</v>
      </c>
      <c r="BZ13" s="13">
        <f>BY13*VLOOKUP('Données projet'!$B$12,Paramètres!$A$1:$I$89,3,0)*VLOOKUP('Données projet'!$B$12,Paramètres!$A$1:$I$89,5,0)</f>
        <v>18.813600000000001</v>
      </c>
      <c r="CA13" s="13">
        <f t="shared" si="39"/>
        <v>6.1613437753144318</v>
      </c>
      <c r="CB13" s="20">
        <f t="shared" si="10"/>
        <v>43.498027075339301</v>
      </c>
      <c r="CC13" s="59">
        <f t="shared" si="11"/>
        <v>255.44374805538365</v>
      </c>
      <c r="CD13" s="59">
        <f ca="1">AVERAGE(OFFSET($CC$3,0,0,'Données projet'!$E$12+1,1))-AVERAGE(OFFSET($H$3,0,0,'Données projet'!$E$12+1,1))</f>
        <v>374.38550202939507</v>
      </c>
      <c r="CE13" s="59">
        <f t="shared" si="40"/>
        <v>324.37486924296718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54.470045115769665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2.9235042735042733</v>
      </c>
      <c r="CT13" s="12">
        <f>IF('Données projet'!$A$140&gt;35,CT12+CS13-DB12,IF(A13&lt;'Données projet'!$A$140,$CQ$205^A13,IF(A13='Données projet'!$A$140,'Données projet'!$B$140,CT12+CS13-DB12)))</f>
        <v>4.4429865232315908</v>
      </c>
      <c r="CU13" s="17">
        <f>CT13*VLOOKUP('Données projet'!$B$13,Paramètres!$A$1:$I$89,3,0)*VLOOKUP('Données projet'!$B$13,Paramètres!$A$1:$I$89,5,0)</f>
        <v>4.2279459755071818</v>
      </c>
      <c r="CV13" s="13">
        <f t="shared" si="41"/>
        <v>1.6474036678416053</v>
      </c>
      <c r="CW13" s="20">
        <f t="shared" si="13"/>
        <v>10.232900628832473</v>
      </c>
      <c r="CX13" s="59">
        <f t="shared" si="14"/>
        <v>222.17862160887682</v>
      </c>
      <c r="CY13" s="59">
        <f ca="1">AVERAGE(OFFSET($CX$3,0,0,'Données projet'!$E$13+1,1))-AVERAGE(OFFSET($H$3,0,0,'Données projet'!$E$13+1,1))</f>
        <v>392.81074187112989</v>
      </c>
      <c r="CZ13" s="59">
        <f t="shared" si="42"/>
        <v>236.19146849073687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54.470045115769665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2.9235042735042733</v>
      </c>
      <c r="DO13" s="12">
        <f>IF('Données projet'!$A$166&gt;35,DO12+DN13-DW12,IF(A13&lt;'Données projet'!$A$166,$DL$205^A13,IF(A13='Données projet'!$A$166,'Données projet'!$B$166,DO12+DN13-DW12)))</f>
        <v>4.4429865232315908</v>
      </c>
      <c r="DP13" s="17">
        <f>DO13*VLOOKUP('Données projet'!$B$14,Paramètres!$A$1:$I$89,3,0)*VLOOKUP('Données projet'!$B$14,Paramètres!$A$1:$I$89,5,0)</f>
        <v>4.782430693606484</v>
      </c>
      <c r="DQ13" s="13">
        <f t="shared" si="43"/>
        <v>1.836917463259663</v>
      </c>
      <c r="DR13" s="20">
        <f t="shared" si="16"/>
        <v>11.528698039875204</v>
      </c>
      <c r="DS13" s="59">
        <f t="shared" si="17"/>
        <v>223.47441901991954</v>
      </c>
      <c r="DT13" s="59">
        <f ca="1">AVERAGE(OFFSET($DS$3,0,0,'Données projet'!$E$14+1,1))-AVERAGE(OFFSET($H$3,0,0,'Données projet'!$E$14+1,1))</f>
        <v>434.77799524785502</v>
      </c>
      <c r="DU13" s="59">
        <f t="shared" si="44"/>
        <v>259.85949838170006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54.470045115769665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2.9235042735042733</v>
      </c>
      <c r="EJ13" s="12">
        <f>IF('Données projet'!$A$192&gt;35,EJ12+EI13-ER12,IF(A13&lt;'Données projet'!$A$192,$EG$205^A13,IF(A13='Données projet'!$A$192,'Données projet'!$B$192,EJ12+EI13-ER12)))</f>
        <v>4.4429865232315908</v>
      </c>
      <c r="EK13" s="17">
        <f>EJ13*VLOOKUP('Données projet'!$B$15,Paramètres!$A$1:$I$89,3,0)*VLOOKUP('Données projet'!$B$15,Paramètres!$A$1:$I$89,5,0)</f>
        <v>4.2972565652695947</v>
      </c>
      <c r="EL13" s="13">
        <f t="shared" si="45"/>
        <v>1.6712440850781161</v>
      </c>
      <c r="EM13" s="20">
        <f t="shared" si="19"/>
        <v>10.395138632688928</v>
      </c>
      <c r="EN13" s="59">
        <f t="shared" si="20"/>
        <v>222.34085961273328</v>
      </c>
      <c r="EO13" s="59">
        <f ca="1">AVERAGE(OFFSET($EN$3,0,0,'Données projet'!$E$15+1,1))-AVERAGE(OFFSET($H$3,0,0,'Données projet'!$E$15+1,1))</f>
        <v>398.06270423055565</v>
      </c>
      <c r="EP13" s="59">
        <f t="shared" si="46"/>
        <v>239.15364562040614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54.470045115769665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9.4117948717948714</v>
      </c>
      <c r="FE13" s="12">
        <f>IF('Données projet'!$A$218&gt;35,FE12+FD13-FM12,IF(A13&lt;'Données projet'!$A$218,$FB$205^A13,IF(A13='Données projet'!$A$218,'Données projet'!$B$218,FE12+FD13-FM12)))</f>
        <v>27.112889757160666</v>
      </c>
      <c r="FF13" s="17">
        <f>FE13*VLOOKUP('Données projet'!$B$16,Paramètres!$A$1:$I$89,3,0)*VLOOKUP('Données projet'!$B$16,Paramètres!$A$1:$I$89,5,0)</f>
        <v>16.21350807478208</v>
      </c>
      <c r="FG13" s="13">
        <f t="shared" si="47"/>
        <v>5.4025572181735821</v>
      </c>
      <c r="FH13" s="20">
        <f t="shared" si="22"/>
        <v>37.647980385231108</v>
      </c>
      <c r="FI13" s="59">
        <f t="shared" si="23"/>
        <v>249.59370136527545</v>
      </c>
      <c r="FJ13" s="59">
        <f ca="1">AVERAGE(OFFSET($FI$3,0,0,'Données projet'!$E$16+1,1))-AVERAGE(OFFSET($H$3,0,0,'Données projet'!$E$16+1,1))</f>
        <v>334.13861979962491</v>
      </c>
      <c r="FK13" s="59">
        <f t="shared" si="48"/>
        <v>416.48635183664305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54.470045115769665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7.2264102564102561</v>
      </c>
      <c r="FZ13" s="12">
        <f>IF('Données projet'!$A$244&gt;35,FZ12+FY13-GH12,IF(A13&lt;'Données projet'!$A$244,$FW$205^A13,IF(A13='Données projet'!$A$244,'Données projet'!$B$244,FZ12+FY13-GH12)))</f>
        <v>6.0073272306422343</v>
      </c>
      <c r="GA13" s="17">
        <f>FZ13*VLOOKUP('Données projet'!$B$17,Paramètres!$A$1:$I$89,3,0)*VLOOKUP('Données projet'!$B$17,Paramètres!$A$1:$I$89,5,0)</f>
        <v>2.8114291439405656</v>
      </c>
      <c r="GB13" s="13">
        <f t="shared" si="49"/>
        <v>1.1487462006075717</v>
      </c>
      <c r="GC13" s="20">
        <f t="shared" si="25"/>
        <v>6.8973053917546716</v>
      </c>
      <c r="GD13" s="59">
        <f t="shared" si="26"/>
        <v>218.84302637179903</v>
      </c>
      <c r="GE13" s="59">
        <f ca="1">AVERAGE(OFFSET($GD$3,0,0,'Données projet'!$E$17+1,1))-AVERAGE(OFFSET($H$3,0,0,'Données projet'!$E$17+1,1))</f>
        <v>317.79829681023142</v>
      </c>
      <c r="GF13" s="59">
        <f t="shared" si="50"/>
        <v>275.07716943523621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54.470045115769665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8.5743589743589741</v>
      </c>
      <c r="GU13" s="12">
        <f>IF('Données projet'!$A$270&gt;35,GU12+GT13-HC12,IF(A13&lt;'Données projet'!$A$270,$GR$205^A13,IF(A13='Données projet'!$A$270,'Données projet'!$B$270,GU12+GT13-HC12)))</f>
        <v>11.857959952244427</v>
      </c>
      <c r="GV13" s="17">
        <f>GU13*VLOOKUP('Données projet'!$B$18,Paramètres!$A$1:$I$89,3,0)*VLOOKUP('Données projet'!$B$18,Paramètres!$A$1:$I$89,5,0)</f>
        <v>6.6285996133046341</v>
      </c>
      <c r="GW13" s="13">
        <f t="shared" si="51"/>
        <v>2.4510961962647757</v>
      </c>
      <c r="GX13" s="20">
        <f t="shared" si="28"/>
        <v>15.813803535000055</v>
      </c>
      <c r="GY13" s="59">
        <f t="shared" si="29"/>
        <v>227.7595245150444</v>
      </c>
      <c r="GZ13" s="59">
        <f ca="1">AVERAGE(OFFSET($GY$3,0,0,'Données projet'!$E$18+1,1))-AVERAGE(OFFSET($H$3,0,0,'Données projet'!$E$18+1,1))</f>
        <v>336.21787234885699</v>
      </c>
      <c r="HA13" s="59">
        <f t="shared" si="52"/>
        <v>315.36156736899113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3.7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13.566666666666668</v>
      </c>
      <c r="H14" s="67">
        <f t="shared" si="1"/>
        <v>202.4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54.739455113233333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226.8086450057074</v>
      </c>
      <c r="S14" s="59">
        <f ca="1">AVERAGE(OFFSET($R$3,0,0,'Données projet'!$E$9+1,1))-AVERAGE(OFFSET($H$3,0,0,'Données projet'!$E$9+1,1))</f>
        <v>411.64357329340851</v>
      </c>
      <c r="T14" s="59">
        <f t="shared" si="34"/>
        <v>294.07942258675632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54.739455113233333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4.0628205128205126</v>
      </c>
      <c r="AI14" s="13">
        <f>IF('Données projet'!$A$62&gt;35,AI13+AH14-AQ13,IF(A14&lt;'Données projet'!$A$62,$AF$205^A14,IF(A14='Données projet'!$A$62,'Données projet'!$B$62,AI13+AH14-AQ13)))</f>
        <v>5.8189942330107201</v>
      </c>
      <c r="AJ14" s="13">
        <f>AI14*VLOOKUP('Données projet'!$B$10,Paramètres!$A$1:$I$89,3,0)*VLOOKUP('Données projet'!$B$10,Paramètres!$A$1:$I$89,5,0)</f>
        <v>5.9004601522728706</v>
      </c>
      <c r="AK14" s="13">
        <f t="shared" si="35"/>
        <v>2.2116012666919538</v>
      </c>
      <c r="AL14" s="20">
        <f t="shared" si="4"/>
        <v>14.128506971363736</v>
      </c>
      <c r="AM14" s="59">
        <f t="shared" si="5"/>
        <v>228.28428683099708</v>
      </c>
      <c r="AN14" s="59">
        <f ca="1">AVERAGE(OFFSET($AM$3,0,0,'Données projet'!$E$10+1,1))-AVERAGE(OFFSET($H$3,0,0,'Données projet'!$E$10+1,1))</f>
        <v>453.05577105995508</v>
      </c>
      <c r="AO14" s="59">
        <f t="shared" si="36"/>
        <v>322.6839824496758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54.739455113233333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1.8914529914529912</v>
      </c>
      <c r="BD14" s="12">
        <f>IF('Données projet'!$A$88&gt;35,BD13+BC14-BL13,IF(A14&lt;'Données projet'!$A$88,$BA$205^A14,IF(A14='Données projet'!$A$88,'Données projet'!$B$88,BD13+BC14-BL13)))</f>
        <v>4.3964569933583304</v>
      </c>
      <c r="BE14" s="13">
        <f>BD14*VLOOKUP('Données projet'!$B$11,Paramètres!$A$1:$I$89,3,0)*VLOOKUP('Données projet'!$B$11,Paramètres!$A$1:$I$89,5,0)</f>
        <v>4.3894226621689567</v>
      </c>
      <c r="BF14" s="13">
        <f t="shared" si="37"/>
        <v>1.702876863413999</v>
      </c>
      <c r="BG14" s="20">
        <f t="shared" si="7"/>
        <v>10.61075500705698</v>
      </c>
      <c r="BH14" s="59">
        <f t="shared" si="8"/>
        <v>224.76653486669031</v>
      </c>
      <c r="BI14" s="59">
        <f ca="1">AVERAGE(OFFSET($BH$3,0,0,'Données projet'!$E$11+1,1))-AVERAGE(OFFSET($H$3,0,0,'Données projet'!$E$11+1,1))</f>
        <v>411.38162678377478</v>
      </c>
      <c r="BJ14" s="59">
        <f t="shared" si="38"/>
        <v>177.89903563360403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54.739455113233333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</v>
      </c>
      <c r="BY14" s="12">
        <f>IF('Données projet'!$A$114&gt;35,BY13+BX14-CG13,IF(A14&lt;'Données projet'!$A$114,$BV$205^A14,IF(A14='Données projet'!$A$114,'Données projet'!$B$114,BY13+BX14-CG13)))</f>
        <v>23.8</v>
      </c>
      <c r="BZ14" s="13">
        <f>BY14*VLOOKUP('Données projet'!$B$12,Paramètres!$A$1:$I$89,3,0)*VLOOKUP('Données projet'!$B$12,Paramètres!$A$1:$I$89,5,0)</f>
        <v>24.875760000000003</v>
      </c>
      <c r="CA14" s="13">
        <f t="shared" si="39"/>
        <v>7.8860595982958923</v>
      </c>
      <c r="CB14" s="20">
        <f t="shared" si="10"/>
        <v>57.060169133698679</v>
      </c>
      <c r="CC14" s="59">
        <f t="shared" si="11"/>
        <v>271.21594899333201</v>
      </c>
      <c r="CD14" s="59">
        <f ca="1">AVERAGE(OFFSET($CC$3,0,0,'Données projet'!$E$12+1,1))-AVERAGE(OFFSET($H$3,0,0,'Données projet'!$E$12+1,1))</f>
        <v>374.38550202939507</v>
      </c>
      <c r="CE14" s="59">
        <f t="shared" si="40"/>
        <v>324.37486924296718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54.739455113233333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2.9235042735042733</v>
      </c>
      <c r="CT14" s="12">
        <f>IF('Données projet'!$A$140&gt;35,CT13+CS14-DB13,IF(A14&lt;'Données projet'!$A$140,$CQ$205^A14,IF(A14='Données projet'!$A$140,'Données projet'!$B$140,CT13+CS14-DB13)))</f>
        <v>5.1575387009743459</v>
      </c>
      <c r="CU14" s="17">
        <f>CT14*VLOOKUP('Données projet'!$B$13,Paramètres!$A$1:$I$89,3,0)*VLOOKUP('Données projet'!$B$13,Paramètres!$A$1:$I$89,5,0)</f>
        <v>4.9079138278471879</v>
      </c>
      <c r="CV14" s="13">
        <f t="shared" si="41"/>
        <v>1.8794405432746286</v>
      </c>
      <c r="CW14" s="20">
        <f t="shared" si="13"/>
        <v>11.821308863037162</v>
      </c>
      <c r="CX14" s="59">
        <f t="shared" si="14"/>
        <v>225.97708872267049</v>
      </c>
      <c r="CY14" s="59">
        <f ca="1">AVERAGE(OFFSET($CX$3,0,0,'Données projet'!$E$13+1,1))-AVERAGE(OFFSET($H$3,0,0,'Données projet'!$E$13+1,1))</f>
        <v>392.81074187112989</v>
      </c>
      <c r="CZ14" s="59">
        <f t="shared" si="42"/>
        <v>236.19146849073687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54.739455113233333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2.9235042735042733</v>
      </c>
      <c r="DO14" s="12">
        <f>IF('Données projet'!$A$166&gt;35,DO13+DN14-DW13,IF(A14&lt;'Données projet'!$A$166,$DL$205^A14,IF(A14='Données projet'!$A$166,'Données projet'!$B$166,DO13+DN14-DW13)))</f>
        <v>5.1575387009743459</v>
      </c>
      <c r="DP14" s="17">
        <f>DO14*VLOOKUP('Données projet'!$B$14,Paramètres!$A$1:$I$89,3,0)*VLOOKUP('Données projet'!$B$14,Paramètres!$A$1:$I$89,5,0)</f>
        <v>5.5515746577287857</v>
      </c>
      <c r="DQ14" s="13">
        <f t="shared" si="43"/>
        <v>2.0956473646939413</v>
      </c>
      <c r="DR14" s="20">
        <f t="shared" si="16"/>
        <v>13.318911689052916</v>
      </c>
      <c r="DS14" s="59">
        <f t="shared" si="17"/>
        <v>227.47469154868625</v>
      </c>
      <c r="DT14" s="59">
        <f ca="1">AVERAGE(OFFSET($DS$3,0,0,'Données projet'!$E$14+1,1))-AVERAGE(OFFSET($H$3,0,0,'Données projet'!$E$14+1,1))</f>
        <v>434.77799524785502</v>
      </c>
      <c r="DU14" s="59">
        <f t="shared" si="44"/>
        <v>259.85949838170006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54.739455113233333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2.9235042735042733</v>
      </c>
      <c r="EJ14" s="12">
        <f>IF('Données projet'!$A$192&gt;35,EJ13+EI14-ER13,IF(A14&lt;'Données projet'!$A$192,$EG$205^A14,IF(A14='Données projet'!$A$192,'Données projet'!$B$192,EJ13+EI14-ER13)))</f>
        <v>5.1575387009743459</v>
      </c>
      <c r="EK14" s="17">
        <f>EJ14*VLOOKUP('Données projet'!$B$15,Paramètres!$A$1:$I$89,3,0)*VLOOKUP('Données projet'!$B$15,Paramètres!$A$1:$I$89,5,0)</f>
        <v>4.9883714315823875</v>
      </c>
      <c r="EL14" s="13">
        <f t="shared" si="45"/>
        <v>1.9066388842747952</v>
      </c>
      <c r="EM14" s="20">
        <f t="shared" si="19"/>
        <v>12.008809633451259</v>
      </c>
      <c r="EN14" s="59">
        <f t="shared" si="20"/>
        <v>226.16458949308458</v>
      </c>
      <c r="EO14" s="59">
        <f ca="1">AVERAGE(OFFSET($EN$3,0,0,'Données projet'!$E$15+1,1))-AVERAGE(OFFSET($H$3,0,0,'Données projet'!$E$15+1,1))</f>
        <v>398.06270423055565</v>
      </c>
      <c r="EP14" s="59">
        <f t="shared" si="46"/>
        <v>239.15364562040614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54.739455113233333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9.4117948717948714</v>
      </c>
      <c r="FE14" s="12">
        <f>IF('Données projet'!$A$218&gt;35,FE13+FD14-FM13,IF(A14&lt;'Données projet'!$A$218,$FB$205^A14,IF(A14='Données projet'!$A$218,'Données projet'!$B$218,FE13+FD14-FM13)))</f>
        <v>37.713200413498193</v>
      </c>
      <c r="FF14" s="17">
        <f>FE14*VLOOKUP('Données projet'!$B$16,Paramètres!$A$1:$I$89,3,0)*VLOOKUP('Données projet'!$B$16,Paramètres!$A$1:$I$89,5,0)</f>
        <v>22.552493847271922</v>
      </c>
      <c r="FG14" s="13">
        <f t="shared" si="47"/>
        <v>7.2316065521467667</v>
      </c>
      <c r="FH14" s="20">
        <f t="shared" si="22"/>
        <v>51.873974862320885</v>
      </c>
      <c r="FI14" s="59">
        <f t="shared" si="23"/>
        <v>266.02975472195419</v>
      </c>
      <c r="FJ14" s="59">
        <f ca="1">AVERAGE(OFFSET($FI$3,0,0,'Données projet'!$E$16+1,1))-AVERAGE(OFFSET($H$3,0,0,'Données projet'!$E$16+1,1))</f>
        <v>334.13861979962491</v>
      </c>
      <c r="FK14" s="59">
        <f t="shared" si="48"/>
        <v>416.48635183664305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54.739455113233333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7.2264102564102561</v>
      </c>
      <c r="FZ14" s="12">
        <f>IF('Données projet'!$A$244&gt;35,FZ13+FY14-GH13,IF(A14&lt;'Données projet'!$A$244,$FW$205^A14,IF(A14='Données projet'!$A$244,'Données projet'!$B$244,FZ13+FY14-GH13)))</f>
        <v>7.1870293496939057</v>
      </c>
      <c r="GA14" s="17">
        <f>FZ14*VLOOKUP('Données projet'!$B$17,Paramètres!$A$1:$I$89,3,0)*VLOOKUP('Données projet'!$B$17,Paramètres!$A$1:$I$89,5,0)</f>
        <v>3.3635297356567477</v>
      </c>
      <c r="GB14" s="13">
        <f t="shared" si="49"/>
        <v>1.3459482642479659</v>
      </c>
      <c r="GC14" s="20">
        <f t="shared" si="25"/>
        <v>8.2023408498340427</v>
      </c>
      <c r="GD14" s="59">
        <f t="shared" si="26"/>
        <v>222.35812070946736</v>
      </c>
      <c r="GE14" s="59">
        <f ca="1">AVERAGE(OFFSET($GD$3,0,0,'Données projet'!$E$17+1,1))-AVERAGE(OFFSET($H$3,0,0,'Données projet'!$E$17+1,1))</f>
        <v>317.79829681023142</v>
      </c>
      <c r="GF14" s="59">
        <f t="shared" si="50"/>
        <v>275.07716943523621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54.739455113233333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8.5743589743589741</v>
      </c>
      <c r="GU14" s="12">
        <f>IF('Données projet'!$A$270&gt;35,GU13+GT14-HC13,IF(A14&lt;'Données projet'!$A$270,$GR$205^A14,IF(A14='Données projet'!$A$270,'Données projet'!$B$270,GU13+GT14-HC13)))</f>
        <v>15.184866468321752</v>
      </c>
      <c r="GV14" s="17">
        <f>GU14*VLOOKUP('Données projet'!$B$18,Paramètres!$A$1:$I$89,3,0)*VLOOKUP('Données projet'!$B$18,Paramètres!$A$1:$I$89,5,0)</f>
        <v>8.4883403557918609</v>
      </c>
      <c r="GW14" s="13">
        <f t="shared" si="51"/>
        <v>3.0497193673907232</v>
      </c>
      <c r="GX14" s="20">
        <f t="shared" si="28"/>
        <v>20.095454017876332</v>
      </c>
      <c r="GY14" s="59">
        <f t="shared" si="29"/>
        <v>234.25123387750966</v>
      </c>
      <c r="GZ14" s="59">
        <f ca="1">AVERAGE(OFFSET($GY$3,0,0,'Données projet'!$E$18+1,1))-AVERAGE(OFFSET($H$3,0,0,'Données projet'!$E$18+1,1))</f>
        <v>336.21787234885699</v>
      </c>
      <c r="HA14" s="59">
        <f t="shared" si="52"/>
        <v>315.36156736899113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3.7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13.566666666666668</v>
      </c>
      <c r="H15" s="67">
        <f t="shared" si="1"/>
        <v>202.4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55.004191449551541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231.12302619714814</v>
      </c>
      <c r="S15" s="59">
        <f ca="1">AVERAGE(OFFSET($R$3,0,0,'Données projet'!$E$9+1,1))-AVERAGE(OFFSET($H$3,0,0,'Données projet'!$E$9+1,1))</f>
        <v>411.64357329340851</v>
      </c>
      <c r="T15" s="59">
        <f t="shared" si="34"/>
        <v>294.07942258675632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55.004191449551541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4.0628205128205126</v>
      </c>
      <c r="AI15" s="13">
        <f>IF('Données projet'!$A$62&gt;35,AI14+AH15-AQ14,IF(A15&lt;'Données projet'!$A$62,$AF$205^A15,IF(A15='Données projet'!$A$62,'Données projet'!$B$62,AI14+AH15-AQ14)))</f>
        <v>6.8293529228851897</v>
      </c>
      <c r="AJ15" s="13">
        <f>AI15*VLOOKUP('Données projet'!$B$10,Paramètres!$A$1:$I$89,3,0)*VLOOKUP('Données projet'!$B$10,Paramètres!$A$1:$I$89,5,0)</f>
        <v>6.9249638638055826</v>
      </c>
      <c r="AK15" s="13">
        <f t="shared" si="35"/>
        <v>2.5476805881375704</v>
      </c>
      <c r="AL15" s="20">
        <f t="shared" si="4"/>
        <v>16.498189087134325</v>
      </c>
      <c r="AM15" s="59">
        <f t="shared" si="5"/>
        <v>232.84689106882334</v>
      </c>
      <c r="AN15" s="59">
        <f ca="1">AVERAGE(OFFSET($AM$3,0,0,'Données projet'!$E$10+1,1))-AVERAGE(OFFSET($H$3,0,0,'Données projet'!$E$10+1,1))</f>
        <v>453.05577105995508</v>
      </c>
      <c r="AO15" s="59">
        <f t="shared" si="36"/>
        <v>322.6839824496758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55.004191449551541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1.8914529914529912</v>
      </c>
      <c r="BD15" s="12">
        <f>IF('Données projet'!$A$88&gt;35,BD14+BC15-BL14,IF(A15&lt;'Données projet'!$A$88,$BA$205^A15,IF(A15='Données projet'!$A$88,'Données projet'!$B$88,BD14+BC15-BL14)))</f>
        <v>5.0299853801095251</v>
      </c>
      <c r="BE15" s="13">
        <f>BD15*VLOOKUP('Données projet'!$B$11,Paramètres!$A$1:$I$89,3,0)*VLOOKUP('Données projet'!$B$11,Paramètres!$A$1:$I$89,5,0)</f>
        <v>5.02193740350135</v>
      </c>
      <c r="BF15" s="13">
        <f t="shared" si="37"/>
        <v>1.9179705801434661</v>
      </c>
      <c r="BG15" s="20">
        <f t="shared" si="7"/>
        <v>12.087006404848054</v>
      </c>
      <c r="BH15" s="59">
        <f t="shared" si="8"/>
        <v>228.43570838653704</v>
      </c>
      <c r="BI15" s="59">
        <f ca="1">AVERAGE(OFFSET($BH$3,0,0,'Données projet'!$E$11+1,1))-AVERAGE(OFFSET($H$3,0,0,'Données projet'!$E$11+1,1))</f>
        <v>411.38162678377478</v>
      </c>
      <c r="BJ15" s="59">
        <f t="shared" si="38"/>
        <v>177.89903563360403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55.004191449551541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</v>
      </c>
      <c r="BY15" s="12">
        <f>IF('Données projet'!$A$114&gt;35,BY14+BX15-CG14,IF(A15&lt;'Données projet'!$A$114,$BV$205^A15,IF(A15='Données projet'!$A$114,'Données projet'!$B$114,BY14+BX15-CG14)))</f>
        <v>29.6</v>
      </c>
      <c r="BZ15" s="13">
        <f>BY15*VLOOKUP('Données projet'!$B$12,Paramètres!$A$1:$I$89,3,0)*VLOOKUP('Données projet'!$B$12,Paramètres!$A$1:$I$89,5,0)</f>
        <v>30.937920000000002</v>
      </c>
      <c r="CA15" s="13">
        <f t="shared" si="39"/>
        <v>9.562028009899409</v>
      </c>
      <c r="CB15" s="20">
        <f t="shared" si="10"/>
        <v>70.537409450574799</v>
      </c>
      <c r="CC15" s="59">
        <f t="shared" si="11"/>
        <v>286.88611143226382</v>
      </c>
      <c r="CD15" s="59">
        <f ca="1">AVERAGE(OFFSET($CC$3,0,0,'Données projet'!$E$12+1,1))-AVERAGE(OFFSET($H$3,0,0,'Données projet'!$E$12+1,1))</f>
        <v>374.38550202939507</v>
      </c>
      <c r="CE15" s="59">
        <f t="shared" si="40"/>
        <v>324.37486924296718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55.004191449551541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2.9235042735042733</v>
      </c>
      <c r="CT15" s="12">
        <f>IF('Données projet'!$A$140&gt;35,CT14+CS15-DB14,IF(A15&lt;'Données projet'!$A$140,$CQ$205^A15,IF(A15='Données projet'!$A$140,'Données projet'!$B$140,CT14+CS15-DB14)))</f>
        <v>5.9870101592612031</v>
      </c>
      <c r="CU15" s="17">
        <f>CT15*VLOOKUP('Données projet'!$B$13,Paramètres!$A$1:$I$89,3,0)*VLOOKUP('Données projet'!$B$13,Paramètres!$A$1:$I$89,5,0)</f>
        <v>5.6972388675529606</v>
      </c>
      <c r="CV15" s="13">
        <f t="shared" si="41"/>
        <v>2.1441598223053449</v>
      </c>
      <c r="CW15" s="20">
        <f t="shared" si="13"/>
        <v>13.657102718169881</v>
      </c>
      <c r="CX15" s="59">
        <f t="shared" si="14"/>
        <v>230.00580469985888</v>
      </c>
      <c r="CY15" s="59">
        <f ca="1">AVERAGE(OFFSET($CX$3,0,0,'Données projet'!$E$13+1,1))-AVERAGE(OFFSET($H$3,0,0,'Données projet'!$E$13+1,1))</f>
        <v>392.81074187112989</v>
      </c>
      <c r="CZ15" s="59">
        <f t="shared" si="42"/>
        <v>236.19146849073687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55.004191449551541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2.9235042735042733</v>
      </c>
      <c r="DO15" s="12">
        <f>IF('Données projet'!$A$166&gt;35,DO14+DN15-DW14,IF(A15&lt;'Données projet'!$A$166,$DL$205^A15,IF(A15='Données projet'!$A$166,'Données projet'!$B$166,DO14+DN15-DW14)))</f>
        <v>5.9870101592612031</v>
      </c>
      <c r="DP15" s="17">
        <f>DO15*VLOOKUP('Données projet'!$B$14,Paramètres!$A$1:$I$89,3,0)*VLOOKUP('Données projet'!$B$14,Paramètres!$A$1:$I$89,5,0)</f>
        <v>6.4444177354287593</v>
      </c>
      <c r="DQ15" s="13">
        <f t="shared" si="43"/>
        <v>2.390819383553247</v>
      </c>
      <c r="DR15" s="20">
        <f t="shared" si="16"/>
        <v>15.38803798222699</v>
      </c>
      <c r="DS15" s="59">
        <f t="shared" si="17"/>
        <v>231.73673996391599</v>
      </c>
      <c r="DT15" s="59">
        <f ca="1">AVERAGE(OFFSET($DS$3,0,0,'Données projet'!$E$14+1,1))-AVERAGE(OFFSET($H$3,0,0,'Données projet'!$E$14+1,1))</f>
        <v>434.77799524785502</v>
      </c>
      <c r="DU15" s="59">
        <f t="shared" si="44"/>
        <v>259.85949838170006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55.004191449551541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2.9235042735042733</v>
      </c>
      <c r="EJ15" s="12">
        <f>IF('Données projet'!$A$192&gt;35,EJ14+EI15-ER14,IF(A15&lt;'Données projet'!$A$192,$EG$205^A15,IF(A15='Données projet'!$A$192,'Données projet'!$B$192,EJ14+EI15-ER14)))</f>
        <v>5.9870101592612031</v>
      </c>
      <c r="EK15" s="17">
        <f>EJ15*VLOOKUP('Données projet'!$B$15,Paramètres!$A$1:$I$89,3,0)*VLOOKUP('Données projet'!$B$15,Paramètres!$A$1:$I$89,5,0)</f>
        <v>5.790636226037436</v>
      </c>
      <c r="EL15" s="13">
        <f t="shared" si="45"/>
        <v>2.175189050771551</v>
      </c>
      <c r="EM15" s="20">
        <f t="shared" si="19"/>
        <v>13.873812357108987</v>
      </c>
      <c r="EN15" s="59">
        <f t="shared" si="20"/>
        <v>230.22251433879799</v>
      </c>
      <c r="EO15" s="59">
        <f ca="1">AVERAGE(OFFSET($EN$3,0,0,'Données projet'!$E$15+1,1))-AVERAGE(OFFSET($H$3,0,0,'Données projet'!$E$15+1,1))</f>
        <v>398.06270423055565</v>
      </c>
      <c r="EP15" s="59">
        <f t="shared" si="46"/>
        <v>239.15364562040614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55.004191449551541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9.4117948717948714</v>
      </c>
      <c r="FE15" s="12">
        <f>IF('Données projet'!$A$218&gt;35,FE14+FD15-FM14,IF(A15&lt;'Données projet'!$A$218,$FB$205^A15,IF(A15='Données projet'!$A$218,'Données projet'!$B$218,FE14+FD15-FM14)))</f>
        <v>52.457908329489165</v>
      </c>
      <c r="FF15" s="17">
        <f>FE15*VLOOKUP('Données projet'!$B$16,Paramètres!$A$1:$I$89,3,0)*VLOOKUP('Données projet'!$B$16,Paramètres!$A$1:$I$89,5,0)</f>
        <v>31.369829181034525</v>
      </c>
      <c r="FG15" s="13">
        <f t="shared" si="47"/>
        <v>9.6798851383070676</v>
      </c>
      <c r="FH15" s="20">
        <f t="shared" si="22"/>
        <v>71.4949191061866</v>
      </c>
      <c r="FI15" s="59">
        <f t="shared" si="23"/>
        <v>287.84362108787559</v>
      </c>
      <c r="FJ15" s="59">
        <f ca="1">AVERAGE(OFFSET($FI$3,0,0,'Données projet'!$E$16+1,1))-AVERAGE(OFFSET($H$3,0,0,'Données projet'!$E$16+1,1))</f>
        <v>334.13861979962491</v>
      </c>
      <c r="FK15" s="59">
        <f t="shared" si="48"/>
        <v>416.48635183664305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55.004191449551541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7.2264102564102561</v>
      </c>
      <c r="FZ15" s="12">
        <f>IF('Données projet'!$A$244&gt;35,FZ14+FY15-GH14,IF(A15&lt;'Données projet'!$A$244,$FW$205^A15,IF(A15='Données projet'!$A$244,'Données projet'!$B$244,FZ14+FY15-GH14)))</f>
        <v>8.5983980712566286</v>
      </c>
      <c r="GA15" s="17">
        <f>FZ15*VLOOKUP('Données projet'!$B$17,Paramètres!$A$1:$I$89,3,0)*VLOOKUP('Données projet'!$B$17,Paramètres!$A$1:$I$89,5,0)</f>
        <v>4.0240502973481025</v>
      </c>
      <c r="GB15" s="13">
        <f t="shared" si="49"/>
        <v>1.5770034573990057</v>
      </c>
      <c r="GC15" s="20">
        <f t="shared" si="25"/>
        <v>9.7551686228512136</v>
      </c>
      <c r="GD15" s="59">
        <f t="shared" si="26"/>
        <v>226.10387060454022</v>
      </c>
      <c r="GE15" s="59">
        <f ca="1">AVERAGE(OFFSET($GD$3,0,0,'Données projet'!$E$17+1,1))-AVERAGE(OFFSET($H$3,0,0,'Données projet'!$E$17+1,1))</f>
        <v>317.79829681023142</v>
      </c>
      <c r="GF15" s="59">
        <f t="shared" si="50"/>
        <v>275.07716943523621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55.004191449551541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8.5743589743589741</v>
      </c>
      <c r="GU15" s="12">
        <f>IF('Données projet'!$A$270&gt;35,GU14+GT15-HC14,IF(A15&lt;'Données projet'!$A$270,$GR$205^A15,IF(A15='Données projet'!$A$270,'Données projet'!$B$270,GU14+GT15-HC14)))</f>
        <v>19.445180333664318</v>
      </c>
      <c r="GV15" s="17">
        <f>GU15*VLOOKUP('Données projet'!$B$18,Paramètres!$A$1:$I$89,3,0)*VLOOKUP('Données projet'!$B$18,Paramètres!$A$1:$I$89,5,0)</f>
        <v>10.869855806518354</v>
      </c>
      <c r="GW15" s="13">
        <f t="shared" si="51"/>
        <v>3.7945423088704313</v>
      </c>
      <c r="GX15" s="20">
        <f t="shared" si="28"/>
        <v>25.540493384302135</v>
      </c>
      <c r="GY15" s="59">
        <f t="shared" si="29"/>
        <v>241.88919536599113</v>
      </c>
      <c r="GZ15" s="59">
        <f ca="1">AVERAGE(OFFSET($GY$3,0,0,'Données projet'!$E$18+1,1))-AVERAGE(OFFSET($H$3,0,0,'Données projet'!$E$18+1,1))</f>
        <v>336.21787234885699</v>
      </c>
      <c r="HA15" s="59">
        <f t="shared" si="52"/>
        <v>315.36156736899113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3.7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13.566666666666668</v>
      </c>
      <c r="H16" s="67">
        <f t="shared" si="1"/>
        <v>202.4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55.264335202296394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235.77745034994769</v>
      </c>
      <c r="S16" s="59">
        <f ca="1">AVERAGE(OFFSET($R$3,0,0,'Données projet'!$E$9+1,1))-AVERAGE(OFFSET($H$3,0,0,'Données projet'!$E$9+1,1))</f>
        <v>411.64357329340851</v>
      </c>
      <c r="T16" s="59">
        <f t="shared" si="34"/>
        <v>294.07942258675632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55.264335202296394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4.0628205128205126</v>
      </c>
      <c r="AI16" s="13">
        <f>IF('Données projet'!$A$62&gt;35,AI15+AH16-AQ15,IF(A16&lt;'Données projet'!$A$62,$AF$205^A16,IF(A16='Données projet'!$A$62,'Données projet'!$B$62,AI15+AH16-AQ15)))</f>
        <v>8.0151413590917304</v>
      </c>
      <c r="AJ16" s="13">
        <f>AI16*VLOOKUP('Données projet'!$B$10,Paramètres!$A$1:$I$89,3,0)*VLOOKUP('Données projet'!$B$10,Paramètres!$A$1:$I$89,5,0)</f>
        <v>8.1273533381190166</v>
      </c>
      <c r="AK16" s="13">
        <f t="shared" si="35"/>
        <v>2.9348311908328566</v>
      </c>
      <c r="AL16" s="20">
        <f t="shared" si="4"/>
        <v>19.26663805459118</v>
      </c>
      <c r="AM16" s="59">
        <f t="shared" si="5"/>
        <v>237.7914226852335</v>
      </c>
      <c r="AN16" s="59">
        <f ca="1">AVERAGE(OFFSET($AM$3,0,0,'Données projet'!$E$10+1,1))-AVERAGE(OFFSET($H$3,0,0,'Données projet'!$E$10+1,1))</f>
        <v>453.05577105995508</v>
      </c>
      <c r="AO16" s="59">
        <f t="shared" si="36"/>
        <v>322.6839824496758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55.264335202296394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1.8914529914529912</v>
      </c>
      <c r="BD16" s="12">
        <f>IF('Données projet'!$A$88&gt;35,BD15+BC16-BL15,IF(A16&lt;'Données projet'!$A$88,$BA$205^A16,IF(A16='Données projet'!$A$88,'Données projet'!$B$88,BD15+BC16-BL15)))</f>
        <v>5.754805053782416</v>
      </c>
      <c r="BE16" s="13">
        <f>BD16*VLOOKUP('Données projet'!$B$11,Paramètres!$A$1:$I$89,3,0)*VLOOKUP('Données projet'!$B$11,Paramètres!$A$1:$I$89,5,0)</f>
        <v>5.7455973656963648</v>
      </c>
      <c r="BF16" s="13">
        <f t="shared" si="37"/>
        <v>2.1602332061290856</v>
      </c>
      <c r="BG16" s="20">
        <f t="shared" si="7"/>
        <v>13.769321579262659</v>
      </c>
      <c r="BH16" s="59">
        <f t="shared" si="8"/>
        <v>232.29410620990498</v>
      </c>
      <c r="BI16" s="59">
        <f ca="1">AVERAGE(OFFSET($BH$3,0,0,'Données projet'!$E$11+1,1))-AVERAGE(OFFSET($H$3,0,0,'Données projet'!$E$11+1,1))</f>
        <v>411.38162678377478</v>
      </c>
      <c r="BJ16" s="59">
        <f t="shared" si="38"/>
        <v>177.89903563360403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55.264335202296394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</v>
      </c>
      <c r="BY16" s="12">
        <f>IF('Données projet'!$A$114&gt;35,BY15+BX16-CG15,IF(A16&lt;'Données projet'!$A$114,$BV$205^A16,IF(A16='Données projet'!$A$114,'Données projet'!$B$114,BY15+BX16-CG15)))</f>
        <v>35.4</v>
      </c>
      <c r="BZ16" s="13">
        <f>BY16*VLOOKUP('Données projet'!$B$12,Paramètres!$A$1:$I$89,3,0)*VLOOKUP('Données projet'!$B$12,Paramètres!$A$1:$I$89,5,0)</f>
        <v>37.000080000000004</v>
      </c>
      <c r="CA16" s="13">
        <f t="shared" si="39"/>
        <v>11.199946237842099</v>
      </c>
      <c r="CB16" s="20">
        <f t="shared" si="10"/>
        <v>83.948379030908328</v>
      </c>
      <c r="CC16" s="59">
        <f t="shared" si="11"/>
        <v>302.47316366155064</v>
      </c>
      <c r="CD16" s="59">
        <f ca="1">AVERAGE(OFFSET($CC$3,0,0,'Données projet'!$E$12+1,1))-AVERAGE(OFFSET($H$3,0,0,'Données projet'!$E$12+1,1))</f>
        <v>374.38550202939507</v>
      </c>
      <c r="CE16" s="59">
        <f t="shared" si="40"/>
        <v>324.37486924296718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55.264335202296394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2.9235042735042733</v>
      </c>
      <c r="CT16" s="12">
        <f>IF('Données projet'!$A$140&gt;35,CT15+CS16-DB15,IF(A16&lt;'Données projet'!$A$140,$CQ$205^A16,IF(A16='Données projet'!$A$140,'Données projet'!$B$140,CT15+CS16-DB15)))</f>
        <v>6.9498830208148057</v>
      </c>
      <c r="CU16" s="17">
        <f>CT16*VLOOKUP('Données projet'!$B$13,Paramètres!$A$1:$I$89,3,0)*VLOOKUP('Données projet'!$B$13,Paramètres!$A$1:$I$89,5,0)</f>
        <v>6.6135086826073701</v>
      </c>
      <c r="CV16" s="13">
        <f t="shared" si="41"/>
        <v>2.446164822845744</v>
      </c>
      <c r="CW16" s="20">
        <f t="shared" si="13"/>
        <v>15.77893135533084</v>
      </c>
      <c r="CX16" s="59">
        <f t="shared" si="14"/>
        <v>234.30371598597316</v>
      </c>
      <c r="CY16" s="59">
        <f ca="1">AVERAGE(OFFSET($CX$3,0,0,'Données projet'!$E$13+1,1))-AVERAGE(OFFSET($H$3,0,0,'Données projet'!$E$13+1,1))</f>
        <v>392.81074187112989</v>
      </c>
      <c r="CZ16" s="59">
        <f t="shared" si="42"/>
        <v>236.19146849073687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55.264335202296394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2.9235042735042733</v>
      </c>
      <c r="DO16" s="12">
        <f>IF('Données projet'!$A$166&gt;35,DO15+DN16-DW15,IF(A16&lt;'Données projet'!$A$166,$DL$205^A16,IF(A16='Données projet'!$A$166,'Données projet'!$B$166,DO15+DN16-DW15)))</f>
        <v>6.9498830208148057</v>
      </c>
      <c r="DP16" s="17">
        <f>DO16*VLOOKUP('Données projet'!$B$14,Paramètres!$A$1:$I$89,3,0)*VLOOKUP('Données projet'!$B$14,Paramètres!$A$1:$I$89,5,0)</f>
        <v>7.4808540836050561</v>
      </c>
      <c r="DQ16" s="13">
        <f t="shared" si="43"/>
        <v>2.7275663935992016</v>
      </c>
      <c r="DR16" s="20">
        <f t="shared" si="16"/>
        <v>17.77966566446408</v>
      </c>
      <c r="DS16" s="59">
        <f t="shared" si="17"/>
        <v>236.30445029510642</v>
      </c>
      <c r="DT16" s="59">
        <f ca="1">AVERAGE(OFFSET($DS$3,0,0,'Données projet'!$E$14+1,1))-AVERAGE(OFFSET($H$3,0,0,'Données projet'!$E$14+1,1))</f>
        <v>434.77799524785502</v>
      </c>
      <c r="DU16" s="59">
        <f t="shared" si="44"/>
        <v>259.85949838170006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55.264335202296394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2.9235042735042733</v>
      </c>
      <c r="EJ16" s="12">
        <f>IF('Données projet'!$A$192&gt;35,EJ15+EI16-ER15,IF(A16&lt;'Données projet'!$A$192,$EG$205^A16,IF(A16='Données projet'!$A$192,'Données projet'!$B$192,EJ15+EI16-ER15)))</f>
        <v>6.9498830208148057</v>
      </c>
      <c r="EK16" s="17">
        <f>EJ16*VLOOKUP('Données projet'!$B$15,Paramètres!$A$1:$I$89,3,0)*VLOOKUP('Données projet'!$B$15,Paramètres!$A$1:$I$89,5,0)</f>
        <v>6.7219268577320808</v>
      </c>
      <c r="EL16" s="13">
        <f t="shared" si="45"/>
        <v>2.4815645194376086</v>
      </c>
      <c r="EM16" s="20">
        <f t="shared" si="19"/>
        <v>16.029414148570542</v>
      </c>
      <c r="EN16" s="59">
        <f t="shared" si="20"/>
        <v>234.55419877921287</v>
      </c>
      <c r="EO16" s="59">
        <f ca="1">AVERAGE(OFFSET($EN$3,0,0,'Données projet'!$E$15+1,1))-AVERAGE(OFFSET($H$3,0,0,'Données projet'!$E$15+1,1))</f>
        <v>398.06270423055565</v>
      </c>
      <c r="EP16" s="59">
        <f t="shared" si="46"/>
        <v>239.15364562040614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55.264335202296394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9.4117948717948714</v>
      </c>
      <c r="FE16" s="12">
        <f>IF('Données projet'!$A$218&gt;35,FE15+FD16-FM15,IF(A16&lt;'Données projet'!$A$218,$FB$205^A16,IF(A16='Données projet'!$A$218,'Données projet'!$B$218,FE15+FD16-FM15)))</f>
        <v>72.967346078646827</v>
      </c>
      <c r="FF16" s="17">
        <f>FE16*VLOOKUP('Données projet'!$B$16,Paramètres!$A$1:$I$89,3,0)*VLOOKUP('Données projet'!$B$16,Paramètres!$A$1:$I$89,5,0)</f>
        <v>43.634472955030802</v>
      </c>
      <c r="FG16" s="13">
        <f t="shared" si="47"/>
        <v>12.957034597381723</v>
      </c>
      <c r="FH16" s="20">
        <f t="shared" si="22"/>
        <v>98.563542320451802</v>
      </c>
      <c r="FI16" s="59">
        <f t="shared" si="23"/>
        <v>317.08832695109413</v>
      </c>
      <c r="FJ16" s="59">
        <f ca="1">AVERAGE(OFFSET($FI$3,0,0,'Données projet'!$E$16+1,1))-AVERAGE(OFFSET($H$3,0,0,'Données projet'!$E$16+1,1))</f>
        <v>334.13861979962491</v>
      </c>
      <c r="FK16" s="59">
        <f t="shared" si="48"/>
        <v>416.48635183664305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55.264335202296394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7.2264102564102561</v>
      </c>
      <c r="FZ16" s="12">
        <f>IF('Données projet'!$A$244&gt;35,FZ15+FY16-GH15,IF(A16&lt;'Données projet'!$A$244,$FW$205^A16,IF(A16='Données projet'!$A$244,'Données projet'!$B$244,FZ15+FY16-GH15)))</f>
        <v>10.286927434759741</v>
      </c>
      <c r="GA16" s="17">
        <f>FZ16*VLOOKUP('Données projet'!$B$17,Paramètres!$A$1:$I$89,3,0)*VLOOKUP('Données projet'!$B$17,Paramètres!$A$1:$I$89,5,0)</f>
        <v>4.8142820394675585</v>
      </c>
      <c r="GB16" s="13">
        <f t="shared" si="49"/>
        <v>1.8477232526006253</v>
      </c>
      <c r="GC16" s="20">
        <f t="shared" si="25"/>
        <v>11.602992550352086</v>
      </c>
      <c r="GD16" s="59">
        <f t="shared" si="26"/>
        <v>230.12777718099443</v>
      </c>
      <c r="GE16" s="59">
        <f ca="1">AVERAGE(OFFSET($GD$3,0,0,'Données projet'!$E$17+1,1))-AVERAGE(OFFSET($H$3,0,0,'Données projet'!$E$17+1,1))</f>
        <v>317.79829681023142</v>
      </c>
      <c r="GF16" s="59">
        <f t="shared" si="50"/>
        <v>275.07716943523621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55.264335202296394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8.5743589743589741</v>
      </c>
      <c r="GU16" s="12">
        <f>IF('Données projet'!$A$270&gt;35,GU15+GT16-HC15,IF(A16&lt;'Données projet'!$A$270,$GR$205^A16,IF(A16='Données projet'!$A$270,'Données projet'!$B$270,GU15+GT16-HC15)))</f>
        <v>24.900781248062909</v>
      </c>
      <c r="GV16" s="17">
        <f>GU16*VLOOKUP('Données projet'!$B$18,Paramètres!$A$1:$I$89,3,0)*VLOOKUP('Données projet'!$B$18,Paramètres!$A$1:$I$89,5,0)</f>
        <v>13.919536717667166</v>
      </c>
      <c r="GW16" s="13">
        <f t="shared" si="51"/>
        <v>4.7212709102893111</v>
      </c>
      <c r="GX16" s="20">
        <f t="shared" si="28"/>
        <v>32.466073285357531</v>
      </c>
      <c r="GY16" s="59">
        <f t="shared" si="29"/>
        <v>250.99085791599987</v>
      </c>
      <c r="GZ16" s="59">
        <f ca="1">AVERAGE(OFFSET($GY$3,0,0,'Données projet'!$E$18+1,1))-AVERAGE(OFFSET($H$3,0,0,'Données projet'!$E$18+1,1))</f>
        <v>336.21787234885699</v>
      </c>
      <c r="HA16" s="59">
        <f t="shared" si="52"/>
        <v>315.36156736899113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3.7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13.566666666666668</v>
      </c>
      <c r="H17" s="67">
        <f t="shared" si="1"/>
        <v>202.4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55.519966042525439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240.83243265557621</v>
      </c>
      <c r="S17" s="59">
        <f ca="1">AVERAGE(OFFSET($R$3,0,0,'Données projet'!$E$9+1,1))-AVERAGE(OFFSET($H$3,0,0,'Données projet'!$E$9+1,1))</f>
        <v>411.64357329340851</v>
      </c>
      <c r="T17" s="59">
        <f t="shared" si="34"/>
        <v>294.07942258675632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55.519966042525439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4.0628205128205126</v>
      </c>
      <c r="AI17" s="13">
        <f>IF('Données projet'!$A$62&gt;35,AI16+AH17-AQ16,IF(A17&lt;'Données projet'!$A$62,$AF$205^A17,IF(A17='Données projet'!$A$62,'Données projet'!$B$62,AI16+AH17-AQ16)))</f>
        <v>9.4068196111151305</v>
      </c>
      <c r="AJ17" s="13">
        <f>AI17*VLOOKUP('Données projet'!$B$10,Paramètres!$A$1:$I$89,3,0)*VLOOKUP('Données projet'!$B$10,Paramètres!$A$1:$I$89,5,0)</f>
        <v>9.5385150856707419</v>
      </c>
      <c r="AK17" s="13">
        <f t="shared" si="35"/>
        <v>3.3808139681206768</v>
      </c>
      <c r="AL17" s="20">
        <f t="shared" si="4"/>
        <v>22.501164768686721</v>
      </c>
      <c r="AM17" s="59">
        <f t="shared" si="5"/>
        <v>243.18548470239111</v>
      </c>
      <c r="AN17" s="59">
        <f ca="1">AVERAGE(OFFSET($AM$3,0,0,'Données projet'!$E$10+1,1))-AVERAGE(OFFSET($H$3,0,0,'Données projet'!$E$10+1,1))</f>
        <v>453.05577105995508</v>
      </c>
      <c r="AO17" s="59">
        <f t="shared" si="36"/>
        <v>322.6839824496758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55.519966042525439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1.8914529914529912</v>
      </c>
      <c r="BD17" s="12">
        <f>IF('Données projet'!$A$88&gt;35,BD16+BC17-BL16,IF(A17&lt;'Données projet'!$A$88,$BA$205^A17,IF(A17='Données projet'!$A$88,'Données projet'!$B$88,BD16+BC17-BL16)))</f>
        <v>6.5840710666873763</v>
      </c>
      <c r="BE17" s="13">
        <f>BD17*VLOOKUP('Données projet'!$B$11,Paramètres!$A$1:$I$89,3,0)*VLOOKUP('Données projet'!$B$11,Paramètres!$A$1:$I$89,5,0)</f>
        <v>6.5735365529806762</v>
      </c>
      <c r="BF17" s="13">
        <f t="shared" si="37"/>
        <v>2.4330964995895195</v>
      </c>
      <c r="BG17" s="20">
        <f t="shared" si="7"/>
        <v>15.68655256655976</v>
      </c>
      <c r="BH17" s="59">
        <f t="shared" si="8"/>
        <v>236.37087250026414</v>
      </c>
      <c r="BI17" s="59">
        <f ca="1">AVERAGE(OFFSET($BH$3,0,0,'Données projet'!$E$11+1,1))-AVERAGE(OFFSET($H$3,0,0,'Données projet'!$E$11+1,1))</f>
        <v>411.38162678377478</v>
      </c>
      <c r="BJ17" s="59">
        <f t="shared" si="38"/>
        <v>177.89903563360403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55.519966042525439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</v>
      </c>
      <c r="BY17" s="12">
        <f>IF('Données projet'!$A$114&gt;35,BY16+BX17-CG16,IF(A17&lt;'Données projet'!$A$114,$BV$205^A17,IF(A17='Données projet'!$A$114,'Données projet'!$B$114,BY16+BX17-CG16)))</f>
        <v>41.199999999999996</v>
      </c>
      <c r="BZ17" s="13">
        <f>BY17*VLOOKUP('Données projet'!$B$12,Paramètres!$A$1:$I$89,3,0)*VLOOKUP('Données projet'!$B$12,Paramètres!$A$1:$I$89,5,0)</f>
        <v>43.062240000000003</v>
      </c>
      <c r="CA17" s="13">
        <f t="shared" si="39"/>
        <v>12.806776656744804</v>
      </c>
      <c r="CB17" s="20">
        <f t="shared" si="10"/>
        <v>97.305204010497206</v>
      </c>
      <c r="CC17" s="59">
        <f t="shared" si="11"/>
        <v>317.98952394420161</v>
      </c>
      <c r="CD17" s="59">
        <f ca="1">AVERAGE(OFFSET($CC$3,0,0,'Données projet'!$E$12+1,1))-AVERAGE(OFFSET($H$3,0,0,'Données projet'!$E$12+1,1))</f>
        <v>374.38550202939507</v>
      </c>
      <c r="CE17" s="59">
        <f t="shared" si="40"/>
        <v>324.37486924296718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55.519966042525439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2.9235042735042733</v>
      </c>
      <c r="CT17" s="12">
        <f>IF('Données projet'!$A$140&gt;35,CT16+CS17-DB16,IF(A17&lt;'Données projet'!$A$140,$CQ$205^A17,IF(A17='Données projet'!$A$140,'Données projet'!$B$140,CT16+CS17-DB16)))</f>
        <v>8.0676118326430668</v>
      </c>
      <c r="CU17" s="17">
        <f>CT17*VLOOKUP('Données projet'!$B$13,Paramètres!$A$1:$I$89,3,0)*VLOOKUP('Données projet'!$B$13,Paramètres!$A$1:$I$89,5,0)</f>
        <v>7.6771394199431429</v>
      </c>
      <c r="CV17" s="13">
        <f t="shared" si="41"/>
        <v>2.7907072403280107</v>
      </c>
      <c r="CW17" s="20">
        <f t="shared" si="13"/>
        <v>18.231499599972256</v>
      </c>
      <c r="CX17" s="59">
        <f t="shared" si="14"/>
        <v>238.91581953367665</v>
      </c>
      <c r="CY17" s="59">
        <f ca="1">AVERAGE(OFFSET($CX$3,0,0,'Données projet'!$E$13+1,1))-AVERAGE(OFFSET($H$3,0,0,'Données projet'!$E$13+1,1))</f>
        <v>392.81074187112989</v>
      </c>
      <c r="CZ17" s="59">
        <f t="shared" si="42"/>
        <v>236.19146849073687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55.519966042525439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2.9235042735042733</v>
      </c>
      <c r="DO17" s="12">
        <f>IF('Données projet'!$A$166&gt;35,DO16+DN17-DW16,IF(A17&lt;'Données projet'!$A$166,$DL$205^A17,IF(A17='Données projet'!$A$166,'Données projet'!$B$166,DO16+DN17-DW16)))</f>
        <v>8.0676118326430668</v>
      </c>
      <c r="DP17" s="17">
        <f>DO17*VLOOKUP('Données projet'!$B$14,Paramètres!$A$1:$I$89,3,0)*VLOOKUP('Données projet'!$B$14,Paramètres!$A$1:$I$89,5,0)</f>
        <v>8.6839773766569976</v>
      </c>
      <c r="DQ17" s="13">
        <f t="shared" si="43"/>
        <v>3.1117442340771748</v>
      </c>
      <c r="DR17" s="20">
        <f t="shared" si="16"/>
        <v>20.54421513869535</v>
      </c>
      <c r="DS17" s="59">
        <f t="shared" si="17"/>
        <v>241.22853507239972</v>
      </c>
      <c r="DT17" s="59">
        <f ca="1">AVERAGE(OFFSET($DS$3,0,0,'Données projet'!$E$14+1,1))-AVERAGE(OFFSET($H$3,0,0,'Données projet'!$E$14+1,1))</f>
        <v>434.77799524785502</v>
      </c>
      <c r="DU17" s="59">
        <f t="shared" si="44"/>
        <v>259.85949838170006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55.519966042525439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2.9235042735042733</v>
      </c>
      <c r="EJ17" s="12">
        <f>IF('Données projet'!$A$192&gt;35,EJ16+EI17-ER16,IF(A17&lt;'Données projet'!$A$192,$EG$205^A17,IF(A17='Données projet'!$A$192,'Données projet'!$B$192,EJ16+EI17-ER16)))</f>
        <v>8.0676118326430668</v>
      </c>
      <c r="EK17" s="17">
        <f>EJ17*VLOOKUP('Données projet'!$B$15,Paramètres!$A$1:$I$89,3,0)*VLOOKUP('Données projet'!$B$15,Paramètres!$A$1:$I$89,5,0)</f>
        <v>7.8029941645323753</v>
      </c>
      <c r="EL17" s="13">
        <f t="shared" si="45"/>
        <v>2.8310929856636031</v>
      </c>
      <c r="EM17" s="20">
        <f t="shared" si="19"/>
        <v>18.521035119924662</v>
      </c>
      <c r="EN17" s="59">
        <f t="shared" si="20"/>
        <v>239.20535505362903</v>
      </c>
      <c r="EO17" s="59">
        <f ca="1">AVERAGE(OFFSET($EN$3,0,0,'Données projet'!$E$15+1,1))-AVERAGE(OFFSET($H$3,0,0,'Données projet'!$E$15+1,1))</f>
        <v>398.06270423055565</v>
      </c>
      <c r="EP17" s="59">
        <f t="shared" si="46"/>
        <v>239.15364562040614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55.519966042525439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9.4117948717948714</v>
      </c>
      <c r="FE17" s="12">
        <f>IF('Données projet'!$A$218&gt;35,FE16+FD17-FM16,IF(A17&lt;'Données projet'!$A$218,$FB$205^A17,IF(A17='Données projet'!$A$218,'Données projet'!$B$218,FE16+FD17-FM16)))</f>
        <v>101.49534671339541</v>
      </c>
      <c r="FF17" s="17">
        <f>FE17*VLOOKUP('Données projet'!$B$16,Paramètres!$A$1:$I$89,3,0)*VLOOKUP('Données projet'!$B$16,Paramètres!$A$1:$I$89,5,0)</f>
        <v>60.694217334610457</v>
      </c>
      <c r="FG17" s="13">
        <f t="shared" si="47"/>
        <v>17.343671248056637</v>
      </c>
      <c r="FH17" s="20">
        <f t="shared" si="22"/>
        <v>135.91598928147849</v>
      </c>
      <c r="FI17" s="59">
        <f t="shared" si="23"/>
        <v>356.60030921518285</v>
      </c>
      <c r="FJ17" s="59">
        <f ca="1">AVERAGE(OFFSET($FI$3,0,0,'Données projet'!$E$16+1,1))-AVERAGE(OFFSET($H$3,0,0,'Données projet'!$E$16+1,1))</f>
        <v>334.13861979962491</v>
      </c>
      <c r="FK17" s="59">
        <f t="shared" si="48"/>
        <v>416.48635183664305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55.519966042525439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7.2264102564102561</v>
      </c>
      <c r="FZ17" s="12">
        <f>IF('Données projet'!$A$244&gt;35,FZ16+FY17-GH16,IF(A17&lt;'Données projet'!$A$244,$FW$205^A17,IF(A17='Données projet'!$A$244,'Données projet'!$B$244,FZ16+FY17-GH16)))</f>
        <v>12.307045471848836</v>
      </c>
      <c r="GA17" s="17">
        <f>FZ17*VLOOKUP('Données projet'!$B$17,Paramètres!$A$1:$I$89,3,0)*VLOOKUP('Données projet'!$B$17,Paramètres!$A$1:$I$89,5,0)</f>
        <v>5.7596972808252556</v>
      </c>
      <c r="GB17" s="13">
        <f t="shared" si="49"/>
        <v>2.1649167617120959</v>
      </c>
      <c r="GC17" s="20">
        <f t="shared" si="25"/>
        <v>13.802036124085888</v>
      </c>
      <c r="GD17" s="59">
        <f t="shared" si="26"/>
        <v>234.48635605779026</v>
      </c>
      <c r="GE17" s="59">
        <f ca="1">AVERAGE(OFFSET($GD$3,0,0,'Données projet'!$E$17+1,1))-AVERAGE(OFFSET($H$3,0,0,'Données projet'!$E$17+1,1))</f>
        <v>317.79829681023142</v>
      </c>
      <c r="GF17" s="59">
        <f t="shared" si="50"/>
        <v>275.07716943523621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55.519966042525439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8.5743589743589741</v>
      </c>
      <c r="GU17" s="12">
        <f>IF('Données projet'!$A$270&gt;35,GU16+GT17-HC16,IF(A17&lt;'Données projet'!$A$270,$GR$205^A17,IF(A17='Données projet'!$A$270,'Données projet'!$B$270,GU16+GT17-HC16)))</f>
        <v>31.88702270302047</v>
      </c>
      <c r="GV17" s="17">
        <f>GU17*VLOOKUP('Données projet'!$B$18,Paramètres!$A$1:$I$89,3,0)*VLOOKUP('Données projet'!$B$18,Paramètres!$A$1:$I$89,5,0)</f>
        <v>17.824845690988443</v>
      </c>
      <c r="GW17" s="13">
        <f t="shared" si="51"/>
        <v>5.8743313933372665</v>
      </c>
      <c r="GX17" s="20">
        <f t="shared" si="28"/>
        <v>41.27606675520061</v>
      </c>
      <c r="GY17" s="59">
        <f t="shared" si="29"/>
        <v>261.96038668890498</v>
      </c>
      <c r="GZ17" s="59">
        <f ca="1">AVERAGE(OFFSET($GY$3,0,0,'Données projet'!$E$18+1,1))-AVERAGE(OFFSET($H$3,0,0,'Données projet'!$E$18+1,1))</f>
        <v>336.21787234885699</v>
      </c>
      <c r="HA17" s="59">
        <f t="shared" si="52"/>
        <v>315.36156736899113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3.7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13.566666666666668</v>
      </c>
      <c r="H18" s="67">
        <f t="shared" si="1"/>
        <v>202.4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55.771162259181452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246.35867499176126</v>
      </c>
      <c r="S18" s="59">
        <f ca="1">AVERAGE(OFFSET($R$3,0,0,'Données projet'!$E$9+1,1))-AVERAGE(OFFSET($H$3,0,0,'Données projet'!$E$9+1,1))</f>
        <v>411.64357329340851</v>
      </c>
      <c r="T18" s="59">
        <f t="shared" si="34"/>
        <v>294.07942258675632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55.771162259181452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4.0628205128205126</v>
      </c>
      <c r="AI18" s="13">
        <f>IF('Données projet'!$A$62&gt;35,AI17+AH18-AQ17,IF(A18&lt;'Données projet'!$A$62,$AF$205^A18,IF(A18='Données projet'!$A$62,'Données projet'!$B$62,AI17+AH18-AQ17)))</f>
        <v>11.040136565487554</v>
      </c>
      <c r="AJ18" s="13">
        <f>AI18*VLOOKUP('Données projet'!$B$10,Paramètres!$A$1:$I$89,3,0)*VLOOKUP('Données projet'!$B$10,Paramètres!$A$1:$I$89,5,0)</f>
        <v>11.194698477404382</v>
      </c>
      <c r="AK18" s="13">
        <f t="shared" si="35"/>
        <v>3.8945691741119406</v>
      </c>
      <c r="AL18" s="20">
        <f t="shared" si="4"/>
        <v>26.280474493057593</v>
      </c>
      <c r="AM18" s="59">
        <f t="shared" si="5"/>
        <v>249.10806944338958</v>
      </c>
      <c r="AN18" s="59">
        <f ca="1">AVERAGE(OFFSET($AM$3,0,0,'Données projet'!$E$10+1,1))-AVERAGE(OFFSET($H$3,0,0,'Données projet'!$E$10+1,1))</f>
        <v>453.05577105995508</v>
      </c>
      <c r="AO18" s="59">
        <f t="shared" si="36"/>
        <v>322.6839824496758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55.771162259181452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1.8914529914529912</v>
      </c>
      <c r="BD18" s="12">
        <f>IF('Données projet'!$A$88&gt;35,BD17+BC18-BL17,IF(A18&lt;'Données projet'!$A$88,$BA$205^A18,IF(A18='Données projet'!$A$88,'Données projet'!$B$88,BD17+BC18-BL17)))</f>
        <v>7.5328341109830541</v>
      </c>
      <c r="BE18" s="13">
        <f>BD18*VLOOKUP('Données projet'!$B$11,Paramètres!$A$1:$I$89,3,0)*VLOOKUP('Données projet'!$B$11,Paramètres!$A$1:$I$89,5,0)</f>
        <v>7.5207815764054811</v>
      </c>
      <c r="BF18" s="13">
        <f t="shared" si="37"/>
        <v>2.7404256908552611</v>
      </c>
      <c r="BG18" s="20">
        <f t="shared" si="7"/>
        <v>17.871602657145793</v>
      </c>
      <c r="BH18" s="59">
        <f t="shared" si="8"/>
        <v>240.69919760747777</v>
      </c>
      <c r="BI18" s="59">
        <f ca="1">AVERAGE(OFFSET($BH$3,0,0,'Données projet'!$E$11+1,1))-AVERAGE(OFFSET($H$3,0,0,'Données projet'!$E$11+1,1))</f>
        <v>411.38162678377478</v>
      </c>
      <c r="BJ18" s="59">
        <f t="shared" si="38"/>
        <v>177.89903563360403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55.771162259181452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47</v>
      </c>
      <c r="BW18" s="12">
        <f>VLOOKUP(A18,'Données projet'!$A$113:$I$133,9,0)</f>
        <v>5.8</v>
      </c>
      <c r="BX18" s="12">
        <f t="array" ref="BX18">INDEX(BW:BW,MIN(IF(ISNUMBER(BW18:BW214),ROW(BW18:BW214),"")))</f>
        <v>5.8</v>
      </c>
      <c r="BY18" s="12">
        <f>IF('Données projet'!$A$114&gt;35,BY17+BX18-CG17,IF(A18&lt;'Données projet'!$A$114,$BV$205^A18,IF(A18='Données projet'!$A$114,'Données projet'!$B$114,BY17+BX18-CG17)))</f>
        <v>46.999999999999993</v>
      </c>
      <c r="BZ18" s="13">
        <f>BY18*VLOOKUP('Données projet'!$B$12,Paramètres!$A$1:$I$89,3,0)*VLOOKUP('Données projet'!$B$12,Paramètres!$A$1:$I$89,5,0)</f>
        <v>49.124400000000001</v>
      </c>
      <c r="CA18" s="13">
        <f t="shared" si="39"/>
        <v>14.38740016036772</v>
      </c>
      <c r="CB18" s="20">
        <f t="shared" si="10"/>
        <v>110.61638527930711</v>
      </c>
      <c r="CC18" s="59">
        <f t="shared" si="11"/>
        <v>333.44398022963912</v>
      </c>
      <c r="CD18" s="59">
        <f ca="1">AVERAGE(OFFSET($CC$3,0,0,'Données projet'!$E$12+1,1))-AVERAGE(OFFSET($H$3,0,0,'Données projet'!$E$12+1,1))</f>
        <v>374.38550202939507</v>
      </c>
      <c r="CE18" s="59">
        <f t="shared" si="40"/>
        <v>324.37486924296718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55.771162259181452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2.9235042735042733</v>
      </c>
      <c r="CT18" s="12">
        <f>IF('Données projet'!$A$140&gt;35,CT17+CS18-DB17,IF(A18&lt;'Données projet'!$A$140,$CQ$205^A18,IF(A18='Données projet'!$A$140,'Données projet'!$B$140,CT17+CS18-DB17)))</f>
        <v>9.3651016121091022</v>
      </c>
      <c r="CU18" s="17">
        <f>CT18*VLOOKUP('Données projet'!$B$13,Paramètres!$A$1:$I$89,3,0)*VLOOKUP('Données projet'!$B$13,Paramètres!$A$1:$I$89,5,0)</f>
        <v>8.9118306940830223</v>
      </c>
      <c r="CV18" s="13">
        <f t="shared" si="41"/>
        <v>3.183778471705339</v>
      </c>
      <c r="CW18" s="20">
        <f t="shared" si="13"/>
        <v>21.066519297081395</v>
      </c>
      <c r="CX18" s="59">
        <f t="shared" si="14"/>
        <v>243.89411424741337</v>
      </c>
      <c r="CY18" s="59">
        <f ca="1">AVERAGE(OFFSET($CX$3,0,0,'Données projet'!$E$13+1,1))-AVERAGE(OFFSET($H$3,0,0,'Données projet'!$E$13+1,1))</f>
        <v>392.81074187112989</v>
      </c>
      <c r="CZ18" s="59">
        <f t="shared" si="42"/>
        <v>236.19146849073687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55.771162259181452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2.9235042735042733</v>
      </c>
      <c r="DO18" s="12">
        <f>IF('Données projet'!$A$166&gt;35,DO17+DN18-DW17,IF(A18&lt;'Données projet'!$A$166,$DL$205^A18,IF(A18='Données projet'!$A$166,'Données projet'!$B$166,DO17+DN18-DW17)))</f>
        <v>9.3651016121091022</v>
      </c>
      <c r="DP18" s="17">
        <f>DO18*VLOOKUP('Données projet'!$B$14,Paramètres!$A$1:$I$89,3,0)*VLOOKUP('Données projet'!$B$14,Paramètres!$A$1:$I$89,5,0)</f>
        <v>10.080595375274237</v>
      </c>
      <c r="DQ18" s="13">
        <f t="shared" si="43"/>
        <v>3.5500335394348563</v>
      </c>
      <c r="DR18" s="20">
        <f t="shared" si="16"/>
        <v>23.740012026451669</v>
      </c>
      <c r="DS18" s="59">
        <f t="shared" si="17"/>
        <v>246.56760697678365</v>
      </c>
      <c r="DT18" s="59">
        <f ca="1">AVERAGE(OFFSET($DS$3,0,0,'Données projet'!$E$14+1,1))-AVERAGE(OFFSET($H$3,0,0,'Données projet'!$E$14+1,1))</f>
        <v>434.77799524785502</v>
      </c>
      <c r="DU18" s="59">
        <f t="shared" si="44"/>
        <v>259.85949838170006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55.771162259181452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2.9235042735042733</v>
      </c>
      <c r="EJ18" s="12">
        <f>IF('Données projet'!$A$192&gt;35,EJ17+EI18-ER17,IF(A18&lt;'Données projet'!$A$192,$EG$205^A18,IF(A18='Données projet'!$A$192,'Données projet'!$B$192,EJ17+EI18-ER17)))</f>
        <v>9.3651016121091022</v>
      </c>
      <c r="EK18" s="17">
        <f>EJ18*VLOOKUP('Données projet'!$B$15,Paramètres!$A$1:$I$89,3,0)*VLOOKUP('Données projet'!$B$15,Paramètres!$A$1:$I$89,5,0)</f>
        <v>9.0579262792319231</v>
      </c>
      <c r="EL18" s="13">
        <f t="shared" si="45"/>
        <v>3.2298525509584954</v>
      </c>
      <c r="EM18" s="20">
        <f t="shared" si="19"/>
        <v>21.401214795914981</v>
      </c>
      <c r="EN18" s="59">
        <f t="shared" si="20"/>
        <v>244.22880974624695</v>
      </c>
      <c r="EO18" s="59">
        <f ca="1">AVERAGE(OFFSET($EN$3,0,0,'Données projet'!$E$15+1,1))-AVERAGE(OFFSET($H$3,0,0,'Données projet'!$E$15+1,1))</f>
        <v>398.06270423055565</v>
      </c>
      <c r="EP18" s="59">
        <f t="shared" si="46"/>
        <v>239.15364562040614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55.771162259181452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141.17692307692306</v>
      </c>
      <c r="FC18" s="12">
        <f>VLOOKUP(A18,'Données projet'!$A$217:$I$237,9,0)</f>
        <v>9.4117948717948714</v>
      </c>
      <c r="FD18" s="12">
        <f t="array" ref="FD18">INDEX(FC:FC,MIN(IF(ISNUMBER(FC18:FC214),ROW(FC18:FC214),"")))</f>
        <v>9.4117948717948714</v>
      </c>
      <c r="FE18" s="12">
        <f>IF('Données projet'!$A$218&gt;35,FE17+FD18-FM17,IF(A18&lt;'Données projet'!$A$218,$FB$205^A18,IF(A18='Données projet'!$A$218,'Données projet'!$B$218,FE17+FD18-FM17)))</f>
        <v>141.17692307692306</v>
      </c>
      <c r="FF18" s="17">
        <f>FE18*VLOOKUP('Données projet'!$B$16,Paramètres!$A$1:$I$89,3,0)*VLOOKUP('Données projet'!$B$16,Paramètres!$A$1:$I$89,5,0)</f>
        <v>84.423799999999986</v>
      </c>
      <c r="FG18" s="13">
        <f t="shared" si="47"/>
        <v>23.215414769475935</v>
      </c>
      <c r="FH18" s="20">
        <f t="shared" si="22"/>
        <v>187.47163239017053</v>
      </c>
      <c r="FI18" s="59">
        <f t="shared" si="23"/>
        <v>410.29922734050251</v>
      </c>
      <c r="FJ18" s="59">
        <f ca="1">AVERAGE(OFFSET($FI$3,0,0,'Données projet'!$E$16+1,1))-AVERAGE(OFFSET($H$3,0,0,'Données projet'!$E$16+1,1))</f>
        <v>334.13861979962491</v>
      </c>
      <c r="FK18" s="59">
        <f t="shared" si="48"/>
        <v>416.48635183664305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49.784615384615385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0.25200000000000006</v>
      </c>
      <c r="FP18" s="16">
        <f>IF(ISNA(VLOOKUP(A18,'Données projet'!$A$217:$I$237,7,0)),0%,VLOOKUP(A18,'Données projet'!$A$217:$I$237,7,0))</f>
        <v>0.44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9.9131546026642408</v>
      </c>
      <c r="FS18" s="21">
        <f>EXP(-LN(2)/2)*FS17+(1-EXP(-LN(2)/2))/(LN(2)/2)*FM18*FP18*VLOOKUP('Données projet'!$B$16,Paramètres!$A$1:$I$89,3,0)*0.475*44/12</f>
        <v>14.831482237492764</v>
      </c>
      <c r="FT18" s="22">
        <f t="shared" si="24"/>
        <v>24.744636840157007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55.771162259181452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7.2264102564102561</v>
      </c>
      <c r="FZ18" s="12">
        <f>IF('Données projet'!$A$244&gt;35,FZ17+FY18-GH17,IF(A18&lt;'Données projet'!$A$244,$FW$205^A18,IF(A18='Données projet'!$A$244,'Données projet'!$B$244,FZ17+FY18-GH17)))</f>
        <v>14.723868638788783</v>
      </c>
      <c r="GA18" s="17">
        <f>FZ18*VLOOKUP('Données projet'!$B$17,Paramètres!$A$1:$I$89,3,0)*VLOOKUP('Données projet'!$B$17,Paramètres!$A$1:$I$89,5,0)</f>
        <v>6.89077052295315</v>
      </c>
      <c r="GB18" s="13">
        <f t="shared" si="49"/>
        <v>2.5365619978778424</v>
      </c>
      <c r="GC18" s="20">
        <f t="shared" si="25"/>
        <v>16.419270807113978</v>
      </c>
      <c r="GD18" s="59">
        <f t="shared" si="26"/>
        <v>239.24686575744596</v>
      </c>
      <c r="GE18" s="59">
        <f ca="1">AVERAGE(OFFSET($GD$3,0,0,'Données projet'!$E$17+1,1))-AVERAGE(OFFSET($H$3,0,0,'Données projet'!$E$17+1,1))</f>
        <v>317.79829681023142</v>
      </c>
      <c r="GF18" s="59">
        <f t="shared" si="50"/>
        <v>275.07716943523621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55.771162259181452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8.5743589743589741</v>
      </c>
      <c r="GU18" s="12">
        <f>IF('Données projet'!$A$270&gt;35,GU17+GT18-HC17,IF(A18&lt;'Données projet'!$A$270,$GR$205^A18,IF(A18='Données projet'!$A$270,'Données projet'!$B$270,GU17+GT18-HC17)))</f>
        <v>40.833346019697316</v>
      </c>
      <c r="GV18" s="17">
        <f>GU18*VLOOKUP('Données projet'!$B$18,Paramètres!$A$1:$I$89,3,0)*VLOOKUP('Données projet'!$B$18,Paramètres!$A$1:$I$89,5,0)</f>
        <v>22.825840425010803</v>
      </c>
      <c r="GW18" s="13">
        <f t="shared" si="51"/>
        <v>7.3090000498686072</v>
      </c>
      <c r="GX18" s="20">
        <f t="shared" si="28"/>
        <v>52.484847160414972</v>
      </c>
      <c r="GY18" s="59">
        <f t="shared" si="29"/>
        <v>275.31244211074693</v>
      </c>
      <c r="GZ18" s="59">
        <f ca="1">AVERAGE(OFFSET($GY$3,0,0,'Données projet'!$E$18+1,1))-AVERAGE(OFFSET($H$3,0,0,'Données projet'!$E$18+1,1))</f>
        <v>336.21787234885699</v>
      </c>
      <c r="HA18" s="59">
        <f t="shared" si="52"/>
        <v>315.36156736899113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3.7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13.566666666666668</v>
      </c>
      <c r="H19" s="67">
        <f t="shared" si="1"/>
        <v>202.4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56.01800078306907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252.43879536986935</v>
      </c>
      <c r="S19" s="59">
        <f ca="1">AVERAGE(OFFSET($R$3,0,0,'Données projet'!$E$9+1,1))-AVERAGE(OFFSET($H$3,0,0,'Données projet'!$E$9+1,1))</f>
        <v>411.64357329340851</v>
      </c>
      <c r="T19" s="59">
        <f t="shared" si="34"/>
        <v>294.07942258675632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56.01800078306907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4.0628205128205126</v>
      </c>
      <c r="AI19" s="13">
        <f>IF('Données projet'!$A$62&gt;35,AI18+AH19-AQ18,IF(A19&lt;'Données projet'!$A$62,$AF$205^A19,IF(A19='Données projet'!$A$62,'Données projet'!$B$62,AI18+AH19-AQ18)))</f>
        <v>12.957048229201293</v>
      </c>
      <c r="AJ19" s="13">
        <f>AI19*VLOOKUP('Données projet'!$B$10,Paramètres!$A$1:$I$89,3,0)*VLOOKUP('Données projet'!$B$10,Paramètres!$A$1:$I$89,5,0)</f>
        <v>13.138446904410113</v>
      </c>
      <c r="AK19" s="13">
        <f t="shared" si="35"/>
        <v>4.486395641690498</v>
      </c>
      <c r="AL19" s="20">
        <f t="shared" si="4"/>
        <v>30.696600767791892</v>
      </c>
      <c r="AM19" s="59">
        <f t="shared" si="5"/>
        <v>255.65149252793404</v>
      </c>
      <c r="AN19" s="59">
        <f ca="1">AVERAGE(OFFSET($AM$3,0,0,'Données projet'!$E$10+1,1))-AVERAGE(OFFSET($H$3,0,0,'Données projet'!$E$10+1,1))</f>
        <v>453.05577105995508</v>
      </c>
      <c r="AO19" s="59">
        <f t="shared" si="36"/>
        <v>322.6839824496758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56.01800078306907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1.8914529914529912</v>
      </c>
      <c r="BD19" s="12">
        <f>IF('Données projet'!$A$88&gt;35,BD18+BC19-BL18,IF(A19&lt;'Données projet'!$A$88,$BA$205^A19,IF(A19='Données projet'!$A$88,'Données projet'!$B$88,BD18+BC19-BL18)))</f>
        <v>8.618313679918872</v>
      </c>
      <c r="BE19" s="13">
        <f>BD19*VLOOKUP('Données projet'!$B$11,Paramètres!$A$1:$I$89,3,0)*VLOOKUP('Données projet'!$B$11,Paramètres!$A$1:$I$89,5,0)</f>
        <v>8.6045243780310017</v>
      </c>
      <c r="BF19" s="13">
        <f t="shared" si="37"/>
        <v>3.0865742350813092</v>
      </c>
      <c r="BG19" s="20">
        <f t="shared" si="7"/>
        <v>20.361996751170608</v>
      </c>
      <c r="BH19" s="59">
        <f t="shared" si="8"/>
        <v>245.31688851131275</v>
      </c>
      <c r="BI19" s="59">
        <f ca="1">AVERAGE(OFFSET($BH$3,0,0,'Données projet'!$E$11+1,1))-AVERAGE(OFFSET($H$3,0,0,'Données projet'!$E$11+1,1))</f>
        <v>411.38162678377478</v>
      </c>
      <c r="BJ19" s="59">
        <f t="shared" si="38"/>
        <v>177.89903563360403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56.01800078306907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8</v>
      </c>
      <c r="BY19" s="12">
        <f>IF('Données projet'!$A$114&gt;35,BY18+BX19-CG18,IF(A19&lt;'Données projet'!$A$114,$BV$205^A19,IF(A19='Données projet'!$A$114,'Données projet'!$B$114,BY18+BX19-CG18)))</f>
        <v>54.999999999999993</v>
      </c>
      <c r="BZ19" s="13">
        <f>BY19*VLOOKUP('Données projet'!$B$12,Paramètres!$A$1:$I$89,3,0)*VLOOKUP('Données projet'!$B$12,Paramètres!$A$1:$I$89,5,0)</f>
        <v>57.48599999999999</v>
      </c>
      <c r="CA19" s="13">
        <f t="shared" si="39"/>
        <v>16.531076211754396</v>
      </c>
      <c r="CB19" s="20">
        <f t="shared" si="10"/>
        <v>128.9130744021389</v>
      </c>
      <c r="CC19" s="59">
        <f t="shared" si="11"/>
        <v>353.86796616228105</v>
      </c>
      <c r="CD19" s="59">
        <f ca="1">AVERAGE(OFFSET($CC$3,0,0,'Données projet'!$E$12+1,1))-AVERAGE(OFFSET($H$3,0,0,'Données projet'!$E$12+1,1))</f>
        <v>374.38550202939507</v>
      </c>
      <c r="CE19" s="59">
        <f t="shared" si="40"/>
        <v>324.37486924296718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56.01800078306907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2.9235042735042733</v>
      </c>
      <c r="CT19" s="12">
        <f>IF('Données projet'!$A$140&gt;35,CT18+CS19-DB18,IF(A19&lt;'Données projet'!$A$140,$CQ$205^A19,IF(A19='Données projet'!$A$140,'Données projet'!$B$140,CT18+CS19-DB18)))</f>
        <v>10.87126277571476</v>
      </c>
      <c r="CU19" s="17">
        <f>CT19*VLOOKUP('Données projet'!$B$13,Paramètres!$A$1:$I$89,3,0)*VLOOKUP('Données projet'!$B$13,Paramètres!$A$1:$I$89,5,0)</f>
        <v>10.345093657370166</v>
      </c>
      <c r="CV19" s="13">
        <f t="shared" si="41"/>
        <v>3.6322138024420574</v>
      </c>
      <c r="CW19" s="20">
        <f t="shared" si="13"/>
        <v>24.343810492506289</v>
      </c>
      <c r="CX19" s="59">
        <f t="shared" si="14"/>
        <v>249.29870225264844</v>
      </c>
      <c r="CY19" s="59">
        <f ca="1">AVERAGE(OFFSET($CX$3,0,0,'Données projet'!$E$13+1,1))-AVERAGE(OFFSET($H$3,0,0,'Données projet'!$E$13+1,1))</f>
        <v>392.81074187112989</v>
      </c>
      <c r="CZ19" s="59">
        <f t="shared" si="42"/>
        <v>236.19146849073687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56.01800078306907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2.9235042735042733</v>
      </c>
      <c r="DO19" s="12">
        <f>IF('Données projet'!$A$166&gt;35,DO18+DN19-DW18,IF(A19&lt;'Données projet'!$A$166,$DL$205^A19,IF(A19='Données projet'!$A$166,'Données projet'!$B$166,DO18+DN19-DW18)))</f>
        <v>10.87126277571476</v>
      </c>
      <c r="DP19" s="17">
        <f>DO19*VLOOKUP('Données projet'!$B$14,Paramètres!$A$1:$I$89,3,0)*VLOOKUP('Données projet'!$B$14,Paramètres!$A$1:$I$89,5,0)</f>
        <v>11.701827251779367</v>
      </c>
      <c r="DQ19" s="13">
        <f t="shared" si="43"/>
        <v>4.0500559117609676</v>
      </c>
      <c r="DR19" s="20">
        <f t="shared" si="16"/>
        <v>27.434529843166086</v>
      </c>
      <c r="DS19" s="59">
        <f t="shared" si="17"/>
        <v>252.38942160330822</v>
      </c>
      <c r="DT19" s="59">
        <f ca="1">AVERAGE(OFFSET($DS$3,0,0,'Données projet'!$E$14+1,1))-AVERAGE(OFFSET($H$3,0,0,'Données projet'!$E$14+1,1))</f>
        <v>434.77799524785502</v>
      </c>
      <c r="DU19" s="59">
        <f t="shared" si="44"/>
        <v>259.85949838170006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56.01800078306907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2.9235042735042733</v>
      </c>
      <c r="EJ19" s="12">
        <f>IF('Données projet'!$A$192&gt;35,EJ18+EI19-ER18,IF(A19&lt;'Données projet'!$A$192,$EG$205^A19,IF(A19='Données projet'!$A$192,'Données projet'!$B$192,EJ18+EI19-ER18)))</f>
        <v>10.87126277571476</v>
      </c>
      <c r="EK19" s="17">
        <f>EJ19*VLOOKUP('Données projet'!$B$15,Paramètres!$A$1:$I$89,3,0)*VLOOKUP('Données projet'!$B$15,Paramètres!$A$1:$I$89,5,0)</f>
        <v>10.514685356671317</v>
      </c>
      <c r="EL19" s="13">
        <f t="shared" si="45"/>
        <v>3.6847774176826884</v>
      </c>
      <c r="EM19" s="20">
        <f t="shared" si="19"/>
        <v>24.730730998666559</v>
      </c>
      <c r="EN19" s="59">
        <f t="shared" si="20"/>
        <v>249.68562275880871</v>
      </c>
      <c r="EO19" s="59">
        <f ca="1">AVERAGE(OFFSET($EN$3,0,0,'Données projet'!$E$15+1,1))-AVERAGE(OFFSET($H$3,0,0,'Données projet'!$E$15+1,1))</f>
        <v>398.06270423055565</v>
      </c>
      <c r="EP19" s="59">
        <f t="shared" si="46"/>
        <v>239.15364562040614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56.01800078306907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18.463076923076926</v>
      </c>
      <c r="FE19" s="12">
        <f>IF('Données projet'!$A$218&gt;35,FE18+FD19-FM18,IF(A19&lt;'Données projet'!$A$218,$FB$205^A19,IF(A19='Données projet'!$A$218,'Données projet'!$B$218,FE18+FD19-FM18)))</f>
        <v>109.85538461538459</v>
      </c>
      <c r="FF19" s="17">
        <f>FE19*VLOOKUP('Données projet'!$B$16,Paramètres!$A$1:$I$89,3,0)*VLOOKUP('Données projet'!$B$16,Paramètres!$A$1:$I$89,5,0)</f>
        <v>65.693519999999992</v>
      </c>
      <c r="FG19" s="13">
        <f t="shared" si="47"/>
        <v>18.600086973007183</v>
      </c>
      <c r="FH19" s="20">
        <f t="shared" si="22"/>
        <v>146.81136547798749</v>
      </c>
      <c r="FI19" s="59">
        <f t="shared" si="23"/>
        <v>371.76625723812964</v>
      </c>
      <c r="FJ19" s="59">
        <f ca="1">AVERAGE(OFFSET($FI$3,0,0,'Données projet'!$E$16+1,1))-AVERAGE(OFFSET($H$3,0,0,'Données projet'!$E$16+1,1))</f>
        <v>334.13861979962491</v>
      </c>
      <c r="FK19" s="59">
        <f t="shared" si="48"/>
        <v>416.48635183664305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9.6420788687442442</v>
      </c>
      <c r="FS19" s="21">
        <f>EXP(-LN(2)/2)*FS18+(1-EXP(-LN(2)/2))/(LN(2)/2)*FM19*FP19*VLOOKUP('Données projet'!$B$16,Paramètres!$A$1:$I$89,3,0)*0.475*44/12</f>
        <v>10.487441665178963</v>
      </c>
      <c r="FT19" s="22">
        <f t="shared" si="24"/>
        <v>20.129520533923206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56.01800078306907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7.2264102564102561</v>
      </c>
      <c r="FZ19" s="12">
        <f>IF('Données projet'!$A$244&gt;35,FZ18+FY19-GH18,IF(A19&lt;'Données projet'!$A$244,$FW$205^A19,IF(A19='Données projet'!$A$244,'Données projet'!$B$244,FZ18+FY19-GH18)))</f>
        <v>17.61530077939495</v>
      </c>
      <c r="GA19" s="17">
        <f>FZ19*VLOOKUP('Données projet'!$B$17,Paramètres!$A$1:$I$89,3,0)*VLOOKUP('Données projet'!$B$17,Paramètres!$A$1:$I$89,5,0)</f>
        <v>8.2439607647568369</v>
      </c>
      <c r="GB19" s="13">
        <f t="shared" si="49"/>
        <v>2.972006537558364</v>
      </c>
      <c r="GC19" s="20">
        <f t="shared" si="25"/>
        <v>19.534476384865641</v>
      </c>
      <c r="GD19" s="59">
        <f t="shared" si="26"/>
        <v>244.4893681450078</v>
      </c>
      <c r="GE19" s="59">
        <f ca="1">AVERAGE(OFFSET($GD$3,0,0,'Données projet'!$E$17+1,1))-AVERAGE(OFFSET($H$3,0,0,'Données projet'!$E$17+1,1))</f>
        <v>317.79829681023142</v>
      </c>
      <c r="GF19" s="59">
        <f t="shared" si="50"/>
        <v>275.07716943523621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56.01800078306907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8.5743589743589741</v>
      </c>
      <c r="GU19" s="12">
        <f>IF('Données projet'!$A$270&gt;35,GU18+GT19-HC18,IF(A19&lt;'Données projet'!$A$270,$GR$205^A19,IF(A19='Données projet'!$A$270,'Données projet'!$B$270,GU18+GT19-HC18)))</f>
        <v>52.289677926136108</v>
      </c>
      <c r="GV19" s="17">
        <f>GU19*VLOOKUP('Données projet'!$B$18,Paramètres!$A$1:$I$89,3,0)*VLOOKUP('Données projet'!$B$18,Paramètres!$A$1:$I$89,5,0)</f>
        <v>29.229929960710084</v>
      </c>
      <c r="GW19" s="13">
        <f t="shared" si="51"/>
        <v>9.0940531188911979</v>
      </c>
      <c r="GX19" s="20">
        <f t="shared" si="28"/>
        <v>66.747603863638901</v>
      </c>
      <c r="GY19" s="59">
        <f t="shared" si="29"/>
        <v>291.70249562378103</v>
      </c>
      <c r="GZ19" s="59">
        <f ca="1">AVERAGE(OFFSET($GY$3,0,0,'Données projet'!$E$18+1,1))-AVERAGE(OFFSET($H$3,0,0,'Données projet'!$E$18+1,1))</f>
        <v>336.21787234885699</v>
      </c>
      <c r="HA19" s="59">
        <f t="shared" si="52"/>
        <v>315.36156736899113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3.7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13.566666666666668</v>
      </c>
      <c r="H20" s="67">
        <f t="shared" si="1"/>
        <v>202.4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56.260557210415527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259.16935153549758</v>
      </c>
      <c r="S20" s="59">
        <f ca="1">AVERAGE(OFFSET($R$3,0,0,'Données projet'!$E$9+1,1))-AVERAGE(OFFSET($H$3,0,0,'Données projet'!$E$9+1,1))</f>
        <v>411.64357329340851</v>
      </c>
      <c r="T20" s="59">
        <f t="shared" si="34"/>
        <v>294.07942258675632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56.260557210415527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4.0628205128205126</v>
      </c>
      <c r="AI20" s="13">
        <f>IF('Données projet'!$A$62&gt;35,AI19+AH20-AQ19,IF(A20&lt;'Données projet'!$A$62,$AF$205^A20,IF(A20='Données projet'!$A$62,'Données projet'!$B$62,AI19+AH20-AQ19)))</f>
        <v>15.206795479203771</v>
      </c>
      <c r="AJ20" s="13">
        <f>AI20*VLOOKUP('Données projet'!$B$10,Paramètres!$A$1:$I$89,3,0)*VLOOKUP('Données projet'!$B$10,Paramètres!$A$1:$I$89,5,0)</f>
        <v>15.419690615912625</v>
      </c>
      <c r="AK20" s="13">
        <f t="shared" si="35"/>
        <v>5.1681572348420586</v>
      </c>
      <c r="AL20" s="20">
        <f t="shared" si="4"/>
        <v>35.857168340064412</v>
      </c>
      <c r="AM20" s="59">
        <f t="shared" si="5"/>
        <v>262.92365588936576</v>
      </c>
      <c r="AN20" s="59">
        <f ca="1">AVERAGE(OFFSET($AM$3,0,0,'Données projet'!$E$10+1,1))-AVERAGE(OFFSET($H$3,0,0,'Données projet'!$E$10+1,1))</f>
        <v>453.05577105995508</v>
      </c>
      <c r="AO20" s="59">
        <f t="shared" si="36"/>
        <v>322.6839824496758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56.260557210415527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1.8914529914529912</v>
      </c>
      <c r="BD20" s="12">
        <f>IF('Données projet'!$A$88&gt;35,BD19+BC20-BL19,IF(A20&lt;'Données projet'!$A$88,$BA$205^A20,IF(A20='Données projet'!$A$88,'Données projet'!$B$88,BD19+BC20-BL19)))</f>
        <v>9.8602105915463536</v>
      </c>
      <c r="BE20" s="13">
        <f>BD20*VLOOKUP('Données projet'!$B$11,Paramètres!$A$1:$I$89,3,0)*VLOOKUP('Données projet'!$B$11,Paramètres!$A$1:$I$89,5,0)</f>
        <v>9.8444342545998804</v>
      </c>
      <c r="BF20" s="13">
        <f t="shared" si="37"/>
        <v>3.4764454808823895</v>
      </c>
      <c r="BG20" s="20">
        <f t="shared" si="7"/>
        <v>23.200532205964958</v>
      </c>
      <c r="BH20" s="59">
        <f t="shared" si="8"/>
        <v>250.26701975526629</v>
      </c>
      <c r="BI20" s="59">
        <f ca="1">AVERAGE(OFFSET($BH$3,0,0,'Données projet'!$E$11+1,1))-AVERAGE(OFFSET($H$3,0,0,'Données projet'!$E$11+1,1))</f>
        <v>411.38162678377478</v>
      </c>
      <c r="BJ20" s="59">
        <f t="shared" si="38"/>
        <v>177.89903563360403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56.260557210415527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8</v>
      </c>
      <c r="BY20" s="12">
        <f>IF('Données projet'!$A$114&gt;35,BY19+BX20-CG19,IF(A20&lt;'Données projet'!$A$114,$BV$205^A20,IF(A20='Données projet'!$A$114,'Données projet'!$B$114,BY19+BX20-CG19)))</f>
        <v>62.999999999999993</v>
      </c>
      <c r="BZ20" s="13">
        <f>BY20*VLOOKUP('Données projet'!$B$12,Paramètres!$A$1:$I$89,3,0)*VLOOKUP('Données projet'!$B$12,Paramètres!$A$1:$I$89,5,0)</f>
        <v>65.8476</v>
      </c>
      <c r="CA20" s="13">
        <f t="shared" si="39"/>
        <v>18.63862905611526</v>
      </c>
      <c r="CB20" s="20">
        <f t="shared" si="10"/>
        <v>147.14684893940074</v>
      </c>
      <c r="CC20" s="59">
        <f t="shared" si="11"/>
        <v>374.21333648870211</v>
      </c>
      <c r="CD20" s="59">
        <f ca="1">AVERAGE(OFFSET($CC$3,0,0,'Données projet'!$E$12+1,1))-AVERAGE(OFFSET($H$3,0,0,'Données projet'!$E$12+1,1))</f>
        <v>374.38550202939507</v>
      </c>
      <c r="CE20" s="59">
        <f t="shared" si="40"/>
        <v>324.37486924296718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56.260557210415527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2.9235042735042733</v>
      </c>
      <c r="CT20" s="12">
        <f>IF('Données projet'!$A$140&gt;35,CT19+CS20-DB19,IF(A20&lt;'Données projet'!$A$140,$CQ$205^A20,IF(A20='Données projet'!$A$140,'Données projet'!$B$140,CT19+CS20-DB19)))</f>
        <v>12.619655315413629</v>
      </c>
      <c r="CU20" s="17">
        <f>CT20*VLOOKUP('Données projet'!$B$13,Paramètres!$A$1:$I$89,3,0)*VLOOKUP('Données projet'!$B$13,Paramètres!$A$1:$I$89,5,0)</f>
        <v>12.008863998147609</v>
      </c>
      <c r="CV20" s="13">
        <f t="shared" si="41"/>
        <v>4.1438112682456767</v>
      </c>
      <c r="CW20" s="20">
        <f t="shared" si="13"/>
        <v>28.132576088968303</v>
      </c>
      <c r="CX20" s="59">
        <f t="shared" si="14"/>
        <v>255.19906363826965</v>
      </c>
      <c r="CY20" s="59">
        <f ca="1">AVERAGE(OFFSET($CX$3,0,0,'Données projet'!$E$13+1,1))-AVERAGE(OFFSET($H$3,0,0,'Données projet'!$E$13+1,1))</f>
        <v>392.81074187112989</v>
      </c>
      <c r="CZ20" s="59">
        <f t="shared" si="42"/>
        <v>236.19146849073687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56.260557210415527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2.9235042735042733</v>
      </c>
      <c r="DO20" s="12">
        <f>IF('Données projet'!$A$166&gt;35,DO19+DN20-DW19,IF(A20&lt;'Données projet'!$A$166,$DL$205^A20,IF(A20='Données projet'!$A$166,'Données projet'!$B$166,DO19+DN20-DW19)))</f>
        <v>12.619655315413629</v>
      </c>
      <c r="DP20" s="17">
        <f>DO20*VLOOKUP('Données projet'!$B$14,Paramètres!$A$1:$I$89,3,0)*VLOOKUP('Données projet'!$B$14,Paramètres!$A$1:$I$89,5,0)</f>
        <v>13.583796981511231</v>
      </c>
      <c r="DQ20" s="13">
        <f t="shared" si="43"/>
        <v>4.6205064561168125</v>
      </c>
      <c r="DR20" s="20">
        <f t="shared" si="16"/>
        <v>31.705828487202169</v>
      </c>
      <c r="DS20" s="59">
        <f t="shared" si="17"/>
        <v>258.77231603650353</v>
      </c>
      <c r="DT20" s="59">
        <f ca="1">AVERAGE(OFFSET($DS$3,0,0,'Données projet'!$E$14+1,1))-AVERAGE(OFFSET($H$3,0,0,'Données projet'!$E$14+1,1))</f>
        <v>434.77799524785502</v>
      </c>
      <c r="DU20" s="59">
        <f t="shared" si="44"/>
        <v>259.85949838170006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56.260557210415527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2.9235042735042733</v>
      </c>
      <c r="EJ20" s="12">
        <f>IF('Données projet'!$A$192&gt;35,EJ19+EI20-ER19,IF(A20&lt;'Données projet'!$A$192,$EG$205^A20,IF(A20='Données projet'!$A$192,'Données projet'!$B$192,EJ19+EI20-ER19)))</f>
        <v>12.619655315413629</v>
      </c>
      <c r="EK20" s="17">
        <f>EJ20*VLOOKUP('Données projet'!$B$15,Paramètres!$A$1:$I$89,3,0)*VLOOKUP('Données projet'!$B$15,Paramètres!$A$1:$I$89,5,0)</f>
        <v>12.205730621068064</v>
      </c>
      <c r="EL20" s="13">
        <f t="shared" si="45"/>
        <v>4.2037784708887092</v>
      </c>
      <c r="EM20" s="20">
        <f t="shared" si="19"/>
        <v>28.57989500182471</v>
      </c>
      <c r="EN20" s="59">
        <f t="shared" si="20"/>
        <v>255.64638255112607</v>
      </c>
      <c r="EO20" s="59">
        <f ca="1">AVERAGE(OFFSET($EN$3,0,0,'Données projet'!$E$15+1,1))-AVERAGE(OFFSET($H$3,0,0,'Données projet'!$E$15+1,1))</f>
        <v>398.06270423055565</v>
      </c>
      <c r="EP20" s="59">
        <f t="shared" si="46"/>
        <v>239.15364562040614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56.260557210415527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18.463076923076926</v>
      </c>
      <c r="FE20" s="12">
        <f>IF('Données projet'!$A$218&gt;35,FE19+FD20-FM19,IF(A20&lt;'Données projet'!$A$218,$FB$205^A20,IF(A20='Données projet'!$A$218,'Données projet'!$B$218,FE19+FD20-FM19)))</f>
        <v>128.31846153846152</v>
      </c>
      <c r="FF20" s="17">
        <f>FE20*VLOOKUP('Données projet'!$B$16,Paramètres!$A$1:$I$89,3,0)*VLOOKUP('Données projet'!$B$16,Paramètres!$A$1:$I$89,5,0)</f>
        <v>76.734439999999992</v>
      </c>
      <c r="FG20" s="13">
        <f t="shared" si="47"/>
        <v>21.336811414414317</v>
      </c>
      <c r="FH20" s="20">
        <f t="shared" si="22"/>
        <v>170.80742954677157</v>
      </c>
      <c r="FI20" s="59">
        <f t="shared" si="23"/>
        <v>397.87391709607289</v>
      </c>
      <c r="FJ20" s="59">
        <f ca="1">AVERAGE(OFFSET($FI$3,0,0,'Données projet'!$E$16+1,1))-AVERAGE(OFFSET($H$3,0,0,'Données projet'!$E$16+1,1))</f>
        <v>334.13861979962491</v>
      </c>
      <c r="FK20" s="59">
        <f t="shared" si="48"/>
        <v>416.48635183664305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9.378415715023543</v>
      </c>
      <c r="FS20" s="21">
        <f>EXP(-LN(2)/2)*FS19+(1-EXP(-LN(2)/2))/(LN(2)/2)*FM20*FP20*VLOOKUP('Données projet'!$B$16,Paramètres!$A$1:$I$89,3,0)*0.475*44/12</f>
        <v>7.4157411187463831</v>
      </c>
      <c r="FT20" s="22">
        <f t="shared" si="24"/>
        <v>16.794156833769925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56.260557210415527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7.2264102564102561</v>
      </c>
      <c r="FZ20" s="12">
        <f>IF('Données projet'!$A$244&gt;35,FZ19+FY20-GH19,IF(A20&lt;'Données projet'!$A$244,$FW$205^A20,IF(A20='Données projet'!$A$244,'Données projet'!$B$244,FZ19+FY20-GH19)))</f>
        <v>21.074544276434004</v>
      </c>
      <c r="GA20" s="17">
        <f>FZ20*VLOOKUP('Données projet'!$B$17,Paramètres!$A$1:$I$89,3,0)*VLOOKUP('Données projet'!$B$17,Paramètres!$A$1:$I$89,5,0)</f>
        <v>9.8628867213711136</v>
      </c>
      <c r="GB20" s="13">
        <f t="shared" si="49"/>
        <v>3.4822026296536168</v>
      </c>
      <c r="GC20" s="20">
        <f t="shared" si="25"/>
        <v>23.24269728636807</v>
      </c>
      <c r="GD20" s="59">
        <f t="shared" si="26"/>
        <v>250.30918483566941</v>
      </c>
      <c r="GE20" s="59">
        <f ca="1">AVERAGE(OFFSET($GD$3,0,0,'Données projet'!$E$17+1,1))-AVERAGE(OFFSET($H$3,0,0,'Données projet'!$E$17+1,1))</f>
        <v>317.79829681023142</v>
      </c>
      <c r="GF20" s="59">
        <f t="shared" si="50"/>
        <v>275.07716943523621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56.260557210415527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8.5743589743589741</v>
      </c>
      <c r="GU20" s="12">
        <f>IF('Données projet'!$A$270&gt;35,GU19+GT20-HC19,IF(A20&lt;'Données projet'!$A$270,$GR$205^A20,IF(A20='Données projet'!$A$270,'Données projet'!$B$270,GU19+GT20-HC19)))</f>
        <v>66.960234321725892</v>
      </c>
      <c r="GV20" s="17">
        <f>GU20*VLOOKUP('Données projet'!$B$18,Paramètres!$A$1:$I$89,3,0)*VLOOKUP('Données projet'!$B$18,Paramètres!$A$1:$I$89,5,0)</f>
        <v>37.430770985844774</v>
      </c>
      <c r="GW20" s="13">
        <f t="shared" si="51"/>
        <v>11.315063834306788</v>
      </c>
      <c r="GX20" s="20">
        <f t="shared" si="28"/>
        <v>84.898995645097301</v>
      </c>
      <c r="GY20" s="59">
        <f t="shared" si="29"/>
        <v>311.96548319439864</v>
      </c>
      <c r="GZ20" s="59">
        <f ca="1">AVERAGE(OFFSET($GY$3,0,0,'Données projet'!$E$18+1,1))-AVERAGE(OFFSET($H$3,0,0,'Données projet'!$E$18+1,1))</f>
        <v>336.21787234885699</v>
      </c>
      <c r="HA20" s="59">
        <f t="shared" si="52"/>
        <v>315.36156736899113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3.7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13.566666666666668</v>
      </c>
      <c r="H21" s="67">
        <f t="shared" si="1"/>
        <v>202.4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56.498905826022451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266.66320886733689</v>
      </c>
      <c r="S21" s="59">
        <f ca="1">AVERAGE(OFFSET($R$3,0,0,'Données projet'!$E$9+1,1))-AVERAGE(OFFSET($H$3,0,0,'Données projet'!$E$9+1,1))</f>
        <v>411.64357329340851</v>
      </c>
      <c r="T21" s="59">
        <f t="shared" si="34"/>
        <v>294.07942258675632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56.498905826022451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4.0628205128205126</v>
      </c>
      <c r="AI21" s="13">
        <f>IF('Données projet'!$A$62&gt;35,AI20+AH21-AQ20,IF(A21&lt;'Données projet'!$A$62,$AF$205^A21,IF(A21='Données projet'!$A$62,'Données projet'!$B$62,AI20+AH21-AQ20)))</f>
        <v>17.847168942782186</v>
      </c>
      <c r="AJ21" s="13">
        <f>AI21*VLOOKUP('Données projet'!$B$10,Paramètres!$A$1:$I$89,3,0)*VLOOKUP('Données projet'!$B$10,Paramètres!$A$1:$I$89,5,0)</f>
        <v>18.097029307981138</v>
      </c>
      <c r="AK21" s="13">
        <f t="shared" si="35"/>
        <v>5.9535206738890976</v>
      </c>
      <c r="AL21" s="20">
        <f t="shared" si="4"/>
        <v>41.888041218423993</v>
      </c>
      <c r="AM21" s="59">
        <f t="shared" si="5"/>
        <v>271.05069591383966</v>
      </c>
      <c r="AN21" s="59">
        <f ca="1">AVERAGE(OFFSET($AM$3,0,0,'Données projet'!$E$10+1,1))-AVERAGE(OFFSET($H$3,0,0,'Données projet'!$E$10+1,1))</f>
        <v>453.05577105995508</v>
      </c>
      <c r="AO21" s="59">
        <f t="shared" si="36"/>
        <v>322.6839824496758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56.498905826022451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1.8914529914529912</v>
      </c>
      <c r="BD21" s="12">
        <f>IF('Données projet'!$A$88&gt;35,BD20+BC21-BL20,IF(A21&lt;'Données projet'!$A$88,$BA$205^A21,IF(A21='Données projet'!$A$88,'Données projet'!$B$88,BD20+BC21-BL20)))</f>
        <v>11.281064547021465</v>
      </c>
      <c r="BE21" s="13">
        <f>BD21*VLOOKUP('Données projet'!$B$11,Paramètres!$A$1:$I$89,3,0)*VLOOKUP('Données projet'!$B$11,Paramètres!$A$1:$I$89,5,0)</f>
        <v>11.263014843746232</v>
      </c>
      <c r="BF21" s="13">
        <f t="shared" si="37"/>
        <v>3.9155621284544333</v>
      </c>
      <c r="BG21" s="20">
        <f t="shared" si="7"/>
        <v>26.436021559916156</v>
      </c>
      <c r="BH21" s="59">
        <f t="shared" si="8"/>
        <v>255.59867625533181</v>
      </c>
      <c r="BI21" s="59">
        <f ca="1">AVERAGE(OFFSET($BH$3,0,0,'Données projet'!$E$11+1,1))-AVERAGE(OFFSET($H$3,0,0,'Données projet'!$E$11+1,1))</f>
        <v>411.38162678377478</v>
      </c>
      <c r="BJ21" s="59">
        <f t="shared" si="38"/>
        <v>177.89903563360403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56.498905826022451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8</v>
      </c>
      <c r="BY21" s="12">
        <f>IF('Données projet'!$A$114&gt;35,BY20+BX21-CG20,IF(A21&lt;'Données projet'!$A$114,$BV$205^A21,IF(A21='Données projet'!$A$114,'Données projet'!$B$114,BY20+BX21-CG20)))</f>
        <v>71</v>
      </c>
      <c r="BZ21" s="13">
        <f>BY21*VLOOKUP('Données projet'!$B$12,Paramètres!$A$1:$I$89,3,0)*VLOOKUP('Données projet'!$B$12,Paramètres!$A$1:$I$89,5,0)</f>
        <v>74.20920000000001</v>
      </c>
      <c r="CA21" s="13">
        <f t="shared" si="39"/>
        <v>20.71517147214108</v>
      </c>
      <c r="CB21" s="20">
        <f t="shared" si="10"/>
        <v>165.3266136473124</v>
      </c>
      <c r="CC21" s="59">
        <f t="shared" si="11"/>
        <v>394.48926834272805</v>
      </c>
      <c r="CD21" s="59">
        <f ca="1">AVERAGE(OFFSET($CC$3,0,0,'Données projet'!$E$12+1,1))-AVERAGE(OFFSET($H$3,0,0,'Données projet'!$E$12+1,1))</f>
        <v>374.38550202939507</v>
      </c>
      <c r="CE21" s="59">
        <f t="shared" si="40"/>
        <v>324.37486924296718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56.498905826022451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2.9235042735042733</v>
      </c>
      <c r="CT21" s="12">
        <f>IF('Données projet'!$A$140&gt;35,CT20+CS21-DB20,IF(A21&lt;'Données projet'!$A$140,$CQ$205^A21,IF(A21='Données projet'!$A$140,'Données projet'!$B$140,CT20+CS21-DB20)))</f>
        <v>14.649236575865659</v>
      </c>
      <c r="CU21" s="17">
        <f>CT21*VLOOKUP('Données projet'!$B$13,Paramètres!$A$1:$I$89,3,0)*VLOOKUP('Données projet'!$B$13,Paramètres!$A$1:$I$89,5,0)</f>
        <v>13.94021352559376</v>
      </c>
      <c r="CV21" s="13">
        <f t="shared" si="41"/>
        <v>4.7274672584788675</v>
      </c>
      <c r="CW21" s="20">
        <f t="shared" si="13"/>
        <v>32.512877365593162</v>
      </c>
      <c r="CX21" s="59">
        <f t="shared" si="14"/>
        <v>261.67553206100882</v>
      </c>
      <c r="CY21" s="59">
        <f ca="1">AVERAGE(OFFSET($CX$3,0,0,'Données projet'!$E$13+1,1))-AVERAGE(OFFSET($H$3,0,0,'Données projet'!$E$13+1,1))</f>
        <v>392.81074187112989</v>
      </c>
      <c r="CZ21" s="59">
        <f t="shared" si="42"/>
        <v>236.19146849073687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56.498905826022451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2.9235042735042733</v>
      </c>
      <c r="DO21" s="12">
        <f>IF('Données projet'!$A$166&gt;35,DO20+DN21-DW20,IF(A21&lt;'Données projet'!$A$166,$DL$205^A21,IF(A21='Données projet'!$A$166,'Données projet'!$B$166,DO20+DN21-DW20)))</f>
        <v>14.649236575865659</v>
      </c>
      <c r="DP21" s="17">
        <f>DO21*VLOOKUP('Données projet'!$B$14,Paramètres!$A$1:$I$89,3,0)*VLOOKUP('Données projet'!$B$14,Paramètres!$A$1:$I$89,5,0)</f>
        <v>15.768438250261795</v>
      </c>
      <c r="DQ21" s="13">
        <f t="shared" si="43"/>
        <v>5.2713049834747956</v>
      </c>
      <c r="DR21" s="20">
        <f t="shared" si="16"/>
        <v>36.644219465424563</v>
      </c>
      <c r="DS21" s="59">
        <f t="shared" si="17"/>
        <v>265.80687416084021</v>
      </c>
      <c r="DT21" s="59">
        <f ca="1">AVERAGE(OFFSET($DS$3,0,0,'Données projet'!$E$14+1,1))-AVERAGE(OFFSET($H$3,0,0,'Données projet'!$E$14+1,1))</f>
        <v>434.77799524785502</v>
      </c>
      <c r="DU21" s="59">
        <f t="shared" si="44"/>
        <v>259.85949838170006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56.498905826022451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2.9235042735042733</v>
      </c>
      <c r="EJ21" s="12">
        <f>IF('Données projet'!$A$192&gt;35,EJ20+EI21-ER20,IF(A21&lt;'Données projet'!$A$192,$EG$205^A21,IF(A21='Données projet'!$A$192,'Données projet'!$B$192,EJ20+EI21-ER20)))</f>
        <v>14.649236575865659</v>
      </c>
      <c r="EK21" s="17">
        <f>EJ21*VLOOKUP('Données projet'!$B$15,Paramètres!$A$1:$I$89,3,0)*VLOOKUP('Données projet'!$B$15,Paramètres!$A$1:$I$89,5,0)</f>
        <v>14.168741616177266</v>
      </c>
      <c r="EL21" s="13">
        <f t="shared" si="45"/>
        <v>4.7958808441191989</v>
      </c>
      <c r="EM21" s="20">
        <f t="shared" si="19"/>
        <v>33.030050785016336</v>
      </c>
      <c r="EN21" s="59">
        <f t="shared" si="20"/>
        <v>262.19270548043198</v>
      </c>
      <c r="EO21" s="59">
        <f ca="1">AVERAGE(OFFSET($EN$3,0,0,'Données projet'!$E$15+1,1))-AVERAGE(OFFSET($H$3,0,0,'Données projet'!$E$15+1,1))</f>
        <v>398.06270423055565</v>
      </c>
      <c r="EP21" s="59">
        <f t="shared" si="46"/>
        <v>239.15364562040614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56.498905826022451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18.463076923076926</v>
      </c>
      <c r="FE21" s="12">
        <f>IF('Données projet'!$A$218&gt;35,FE20+FD21-FM20,IF(A21&lt;'Données projet'!$A$218,$FB$205^A21,IF(A21='Données projet'!$A$218,'Données projet'!$B$218,FE20+FD21-FM20)))</f>
        <v>146.78153846153845</v>
      </c>
      <c r="FF21" s="17">
        <f>FE21*VLOOKUP('Données projet'!$B$16,Paramètres!$A$1:$I$89,3,0)*VLOOKUP('Données projet'!$B$16,Paramètres!$A$1:$I$89,5,0)</f>
        <v>87.775359999999992</v>
      </c>
      <c r="FG21" s="13">
        <f t="shared" si="47"/>
        <v>24.02791634919064</v>
      </c>
      <c r="FH21" s="20">
        <f t="shared" si="22"/>
        <v>194.72403964150703</v>
      </c>
      <c r="FI21" s="59">
        <f t="shared" si="23"/>
        <v>423.88669433692269</v>
      </c>
      <c r="FJ21" s="59">
        <f ca="1">AVERAGE(OFFSET($FI$3,0,0,'Données projet'!$E$16+1,1))-AVERAGE(OFFSET($H$3,0,0,'Données projet'!$E$16+1,1))</f>
        <v>334.13861979962491</v>
      </c>
      <c r="FK21" s="59">
        <f t="shared" si="48"/>
        <v>416.48635183664305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9.1219624441067761</v>
      </c>
      <c r="FS21" s="21">
        <f>EXP(-LN(2)/2)*FS20+(1-EXP(-LN(2)/2))/(LN(2)/2)*FM21*FP21*VLOOKUP('Données projet'!$B$16,Paramètres!$A$1:$I$89,3,0)*0.475*44/12</f>
        <v>5.2437208325894824</v>
      </c>
      <c r="FT21" s="22">
        <f t="shared" si="24"/>
        <v>14.365683276696259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56.498905826022451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7.2264102564102561</v>
      </c>
      <c r="FZ21" s="12">
        <f>IF('Données projet'!$A$244&gt;35,FZ20+FY21-GH20,IF(A21&lt;'Données projet'!$A$244,$FW$205^A21,IF(A21='Données projet'!$A$244,'Données projet'!$B$244,FZ20+FY21-GH20)))</f>
        <v>25.213104335913162</v>
      </c>
      <c r="GA21" s="17">
        <f>FZ21*VLOOKUP('Données projet'!$B$17,Paramètres!$A$1:$I$89,3,0)*VLOOKUP('Données projet'!$B$17,Paramètres!$A$1:$I$89,5,0)</f>
        <v>11.799732829207361</v>
      </c>
      <c r="GB21" s="13">
        <f t="shared" si="49"/>
        <v>4.079982665155371</v>
      </c>
      <c r="GC21" s="20">
        <f t="shared" si="25"/>
        <v>27.657171152681755</v>
      </c>
      <c r="GD21" s="59">
        <f t="shared" si="26"/>
        <v>256.81982584809742</v>
      </c>
      <c r="GE21" s="59">
        <f ca="1">AVERAGE(OFFSET($GD$3,0,0,'Données projet'!$E$17+1,1))-AVERAGE(OFFSET($H$3,0,0,'Données projet'!$E$17+1,1))</f>
        <v>317.79829681023142</v>
      </c>
      <c r="GF21" s="59">
        <f t="shared" si="50"/>
        <v>275.07716943523621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56.498905826022451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8.5743589743589741</v>
      </c>
      <c r="GU21" s="12">
        <f>IF('Données projet'!$A$270&gt;35,GU20+GT21-HC20,IF(A21&lt;'Données projet'!$A$270,$GR$205^A21,IF(A21='Données projet'!$A$270,'Données projet'!$B$270,GU20+GT21-HC20)))</f>
        <v>85.746808132075927</v>
      </c>
      <c r="GV21" s="17">
        <f>GU21*VLOOKUP('Données projet'!$B$18,Paramètres!$A$1:$I$89,3,0)*VLOOKUP('Données projet'!$B$18,Paramètres!$A$1:$I$89,5,0)</f>
        <v>47.932465745830442</v>
      </c>
      <c r="GW21" s="13">
        <f t="shared" si="51"/>
        <v>14.078504699788656</v>
      </c>
      <c r="GX21" s="20">
        <f t="shared" si="28"/>
        <v>108.00244019278658</v>
      </c>
      <c r="GY21" s="59">
        <f t="shared" si="29"/>
        <v>337.16509488820225</v>
      </c>
      <c r="GZ21" s="59">
        <f ca="1">AVERAGE(OFFSET($GY$3,0,0,'Données projet'!$E$18+1,1))-AVERAGE(OFFSET($H$3,0,0,'Données projet'!$E$18+1,1))</f>
        <v>336.21787234885699</v>
      </c>
      <c r="HA21" s="59">
        <f t="shared" si="52"/>
        <v>315.36156736899113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3.7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13.566666666666668</v>
      </c>
      <c r="H22" s="67">
        <f t="shared" si="1"/>
        <v>202.4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56.733119626016261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275.05231128487662</v>
      </c>
      <c r="S22" s="59">
        <f ca="1">AVERAGE(OFFSET($R$3,0,0,'Données projet'!$E$9+1,1))-AVERAGE(OFFSET($H$3,0,0,'Données projet'!$E$9+1,1))</f>
        <v>411.64357329340851</v>
      </c>
      <c r="T22" s="59">
        <f t="shared" si="34"/>
        <v>294.07942258675632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56.733119626016261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4.0628205128205126</v>
      </c>
      <c r="AI22" s="13">
        <f>IF('Données projet'!$A$62&gt;35,AI21+AH22-AQ21,IF(A22&lt;'Données projet'!$A$62,$AF$205^A22,IF(A22='Données projet'!$A$62,'Données projet'!$B$62,AI21+AH22-AQ21)))</f>
        <v>20.945993500590358</v>
      </c>
      <c r="AJ22" s="13">
        <f>AI22*VLOOKUP('Données projet'!$B$10,Paramètres!$A$1:$I$89,3,0)*VLOOKUP('Données projet'!$B$10,Paramètres!$A$1:$I$89,5,0)</f>
        <v>21.239237409598623</v>
      </c>
      <c r="AK22" s="13">
        <f t="shared" si="35"/>
        <v>6.8582295011208343</v>
      </c>
      <c r="AL22" s="20">
        <f t="shared" si="4"/>
        <v>48.936421536169718</v>
      </c>
      <c r="AM22" s="59">
        <f t="shared" si="5"/>
        <v>280.18008238711826</v>
      </c>
      <c r="AN22" s="59">
        <f ca="1">AVERAGE(OFFSET($AM$3,0,0,'Données projet'!$E$10+1,1))-AVERAGE(OFFSET($H$3,0,0,'Données projet'!$E$10+1,1))</f>
        <v>453.05577105995508</v>
      </c>
      <c r="AO22" s="59">
        <f t="shared" si="36"/>
        <v>322.6839824496758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56.733119626016261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1.8914529914529912</v>
      </c>
      <c r="BD22" s="12">
        <f>IF('Données projet'!$A$88&gt;35,BD21+BC22-BL21,IF(A22&lt;'Données projet'!$A$88,$BA$205^A22,IF(A22='Données projet'!$A$88,'Données projet'!$B$88,BD21+BC22-BL21)))</f>
        <v>12.906663212971637</v>
      </c>
      <c r="BE22" s="13">
        <f>BD22*VLOOKUP('Données projet'!$B$11,Paramètres!$A$1:$I$89,3,0)*VLOOKUP('Données projet'!$B$11,Paramètres!$A$1:$I$89,5,0)</f>
        <v>12.886012551830882</v>
      </c>
      <c r="BF22" s="13">
        <f t="shared" si="37"/>
        <v>4.4101444610876337</v>
      </c>
      <c r="BG22" s="20">
        <f t="shared" si="7"/>
        <v>30.12414013083308</v>
      </c>
      <c r="BH22" s="59">
        <f t="shared" si="8"/>
        <v>261.36780098178161</v>
      </c>
      <c r="BI22" s="59">
        <f ca="1">AVERAGE(OFFSET($BH$3,0,0,'Données projet'!$E$11+1,1))-AVERAGE(OFFSET($H$3,0,0,'Données projet'!$E$11+1,1))</f>
        <v>411.38162678377478</v>
      </c>
      <c r="BJ22" s="59">
        <f t="shared" si="38"/>
        <v>177.89903563360403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56.733119626016261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8</v>
      </c>
      <c r="BY22" s="12">
        <f>IF('Données projet'!$A$114&gt;35,BY21+BX22-CG21,IF(A22&lt;'Données projet'!$A$114,$BV$205^A22,IF(A22='Données projet'!$A$114,'Données projet'!$B$114,BY21+BX22-CG21)))</f>
        <v>79</v>
      </c>
      <c r="BZ22" s="13">
        <f>BY22*VLOOKUP('Données projet'!$B$12,Paramètres!$A$1:$I$89,3,0)*VLOOKUP('Données projet'!$B$12,Paramètres!$A$1:$I$89,5,0)</f>
        <v>82.570800000000006</v>
      </c>
      <c r="CA22" s="13">
        <f t="shared" si="39"/>
        <v>22.764596322636297</v>
      </c>
      <c r="CB22" s="20">
        <f t="shared" si="10"/>
        <v>183.4591485952582</v>
      </c>
      <c r="CC22" s="59">
        <f t="shared" si="11"/>
        <v>414.70280944620674</v>
      </c>
      <c r="CD22" s="59">
        <f ca="1">AVERAGE(OFFSET($CC$3,0,0,'Données projet'!$E$12+1,1))-AVERAGE(OFFSET($H$3,0,0,'Données projet'!$E$12+1,1))</f>
        <v>374.38550202939507</v>
      </c>
      <c r="CE22" s="59">
        <f t="shared" si="40"/>
        <v>324.37486924296718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56.733119626016261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2.9235042735042733</v>
      </c>
      <c r="CT22" s="12">
        <f>IF('Données projet'!$A$140&gt;35,CT21+CS22-DB21,IF(A22&lt;'Données projet'!$A$140,$CQ$205^A22,IF(A22='Données projet'!$A$140,'Données projet'!$B$140,CT21+CS22-DB21)))</f>
        <v>17.005229294461625</v>
      </c>
      <c r="CU22" s="17">
        <f>CT22*VLOOKUP('Données projet'!$B$13,Paramètres!$A$1:$I$89,3,0)*VLOOKUP('Données projet'!$B$13,Paramètres!$A$1:$I$89,5,0)</f>
        <v>16.182176196609682</v>
      </c>
      <c r="CV22" s="13">
        <f t="shared" si="41"/>
        <v>5.3933312193176546</v>
      </c>
      <c r="CW22" s="20">
        <f t="shared" si="13"/>
        <v>37.57734208274011</v>
      </c>
      <c r="CX22" s="59">
        <f t="shared" si="14"/>
        <v>268.82100293368865</v>
      </c>
      <c r="CY22" s="59">
        <f ca="1">AVERAGE(OFFSET($CX$3,0,0,'Données projet'!$E$13+1,1))-AVERAGE(OFFSET($H$3,0,0,'Données projet'!$E$13+1,1))</f>
        <v>392.81074187112989</v>
      </c>
      <c r="CZ22" s="59">
        <f t="shared" si="42"/>
        <v>236.19146849073687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56.733119626016261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2.9235042735042733</v>
      </c>
      <c r="DO22" s="12">
        <f>IF('Données projet'!$A$166&gt;35,DO21+DN22-DW21,IF(A22&lt;'Données projet'!$A$166,$DL$205^A22,IF(A22='Données projet'!$A$166,'Données projet'!$B$166,DO21+DN22-DW21)))</f>
        <v>17.005229294461625</v>
      </c>
      <c r="DP22" s="17">
        <f>DO22*VLOOKUP('Données projet'!$B$14,Paramètres!$A$1:$I$89,3,0)*VLOOKUP('Données projet'!$B$14,Paramètres!$A$1:$I$89,5,0)</f>
        <v>18.304428812558491</v>
      </c>
      <c r="DQ22" s="13">
        <f t="shared" si="43"/>
        <v>6.0137685105971697</v>
      </c>
      <c r="DR22" s="20">
        <f t="shared" si="16"/>
        <v>42.354193671162776</v>
      </c>
      <c r="DS22" s="59">
        <f t="shared" si="17"/>
        <v>273.59785452211133</v>
      </c>
      <c r="DT22" s="59">
        <f ca="1">AVERAGE(OFFSET($DS$3,0,0,'Données projet'!$E$14+1,1))-AVERAGE(OFFSET($H$3,0,0,'Données projet'!$E$14+1,1))</f>
        <v>434.77799524785502</v>
      </c>
      <c r="DU22" s="59">
        <f t="shared" si="44"/>
        <v>259.85949838170006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56.733119626016261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2.9235042735042733</v>
      </c>
      <c r="EJ22" s="12">
        <f>IF('Données projet'!$A$192&gt;35,EJ21+EI22-ER21,IF(A22&lt;'Données projet'!$A$192,$EG$205^A22,IF(A22='Données projet'!$A$192,'Données projet'!$B$192,EJ21+EI22-ER21)))</f>
        <v>17.005229294461625</v>
      </c>
      <c r="EK22" s="17">
        <f>EJ22*VLOOKUP('Données projet'!$B$15,Paramètres!$A$1:$I$89,3,0)*VLOOKUP('Données projet'!$B$15,Paramètres!$A$1:$I$89,5,0)</f>
        <v>16.447457773603283</v>
      </c>
      <c r="EL22" s="13">
        <f t="shared" si="45"/>
        <v>5.4713808613532873</v>
      </c>
      <c r="EM22" s="20">
        <f t="shared" si="19"/>
        <v>38.175310622549354</v>
      </c>
      <c r="EN22" s="59">
        <f t="shared" si="20"/>
        <v>269.41897147349789</v>
      </c>
      <c r="EO22" s="59">
        <f ca="1">AVERAGE(OFFSET($EN$3,0,0,'Données projet'!$E$15+1,1))-AVERAGE(OFFSET($H$3,0,0,'Données projet'!$E$15+1,1))</f>
        <v>398.06270423055565</v>
      </c>
      <c r="EP22" s="59">
        <f t="shared" si="46"/>
        <v>239.15364562040614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56.733119626016261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18.463076923076926</v>
      </c>
      <c r="FE22" s="12">
        <f>IF('Données projet'!$A$218&gt;35,FE21+FD22-FM21,IF(A22&lt;'Données projet'!$A$218,$FB$205^A22,IF(A22='Données projet'!$A$218,'Données projet'!$B$218,FE21+FD22-FM21)))</f>
        <v>165.24461538461537</v>
      </c>
      <c r="FF22" s="17">
        <f>FE22*VLOOKUP('Données projet'!$B$16,Paramètres!$A$1:$I$89,3,0)*VLOOKUP('Données projet'!$B$16,Paramètres!$A$1:$I$89,5,0)</f>
        <v>98.816280000000006</v>
      </c>
      <c r="FG22" s="13">
        <f t="shared" si="47"/>
        <v>26.679797439959771</v>
      </c>
      <c r="FH22" s="20">
        <f t="shared" si="22"/>
        <v>218.57233487459663</v>
      </c>
      <c r="FI22" s="59">
        <f t="shared" si="23"/>
        <v>449.81599572554518</v>
      </c>
      <c r="FJ22" s="59">
        <f ca="1">AVERAGE(OFFSET($FI$3,0,0,'Données projet'!$E$16+1,1))-AVERAGE(OFFSET($H$3,0,0,'Données projet'!$E$16+1,1))</f>
        <v>334.13861979962491</v>
      </c>
      <c r="FK22" s="59">
        <f t="shared" si="48"/>
        <v>416.48635183664305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8.8725219013695202</v>
      </c>
      <c r="FS22" s="21">
        <f>EXP(-LN(2)/2)*FS21+(1-EXP(-LN(2)/2))/(LN(2)/2)*FM22*FP22*VLOOKUP('Données projet'!$B$16,Paramètres!$A$1:$I$89,3,0)*0.475*44/12</f>
        <v>3.707870559373192</v>
      </c>
      <c r="FT22" s="22">
        <f t="shared" si="24"/>
        <v>12.580392460742711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56.733119626016261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7.2264102564102561</v>
      </c>
      <c r="FZ22" s="12">
        <f>IF('Données projet'!$A$244&gt;35,FZ21+FY22-GH21,IF(A22&lt;'Données projet'!$A$244,$FW$205^A22,IF(A22='Données projet'!$A$244,'Données projet'!$B$244,FZ21+FY22-GH21)))</f>
        <v>30.164383244315122</v>
      </c>
      <c r="GA22" s="17">
        <f>FZ22*VLOOKUP('Données projet'!$B$17,Paramètres!$A$1:$I$89,3,0)*VLOOKUP('Données projet'!$B$17,Paramètres!$A$1:$I$89,5,0)</f>
        <v>14.116931358339476</v>
      </c>
      <c r="GB22" s="13">
        <f t="shared" si="49"/>
        <v>4.7803819359082427</v>
      </c>
      <c r="GC22" s="20">
        <f t="shared" si="25"/>
        <v>32.912820654148106</v>
      </c>
      <c r="GD22" s="59">
        <f t="shared" si="26"/>
        <v>264.15648150509662</v>
      </c>
      <c r="GE22" s="59">
        <f ca="1">AVERAGE(OFFSET($GD$3,0,0,'Données projet'!$E$17+1,1))-AVERAGE(OFFSET($H$3,0,0,'Données projet'!$E$17+1,1))</f>
        <v>317.79829681023142</v>
      </c>
      <c r="GF22" s="59">
        <f t="shared" si="50"/>
        <v>275.07716943523621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56.733119626016261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8.5743589743589741</v>
      </c>
      <c r="GU22" s="12">
        <f>IF('Données projet'!$A$270&gt;35,GU21+GT22-HC21,IF(A22&lt;'Données projet'!$A$270,$GR$205^A22,IF(A22='Données projet'!$A$270,'Données projet'!$B$270,GU21+GT22-HC21)))</f>
        <v>109.80420214051502</v>
      </c>
      <c r="GV22" s="17">
        <f>GU22*VLOOKUP('Données projet'!$B$18,Paramètres!$A$1:$I$89,3,0)*VLOOKUP('Données projet'!$B$18,Paramètres!$A$1:$I$89,5,0)</f>
        <v>61.380548996547894</v>
      </c>
      <c r="GW22" s="13">
        <f t="shared" si="51"/>
        <v>17.516851648775006</v>
      </c>
      <c r="GX22" s="20">
        <f t="shared" si="28"/>
        <v>137.41297279060404</v>
      </c>
      <c r="GY22" s="59">
        <f t="shared" si="29"/>
        <v>368.65663364155262</v>
      </c>
      <c r="GZ22" s="59">
        <f ca="1">AVERAGE(OFFSET($GY$3,0,0,'Données projet'!$E$18+1,1))-AVERAGE(OFFSET($H$3,0,0,'Données projet'!$E$18+1,1))</f>
        <v>336.21787234885699</v>
      </c>
      <c r="HA22" s="59">
        <f t="shared" si="52"/>
        <v>315.36156736899113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3.7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13.566666666666668</v>
      </c>
      <c r="H23" s="67">
        <f t="shared" si="1"/>
        <v>202.4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56.963270340203806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284.49092390680516</v>
      </c>
      <c r="S23" s="59">
        <f ca="1">AVERAGE(OFFSET($R$3,0,0,'Données projet'!$E$9+1,1))-AVERAGE(OFFSET($H$3,0,0,'Données projet'!$E$9+1,1))</f>
        <v>411.64357329340851</v>
      </c>
      <c r="T23" s="59">
        <f t="shared" si="34"/>
        <v>294.07942258675632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56.963270340203806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4.0628205128205126</v>
      </c>
      <c r="AI23" s="13">
        <f>IF('Données projet'!$A$62&gt;35,AI22+AH23-AQ22,IF(A23&lt;'Données projet'!$A$62,$AF$205^A23,IF(A23='Données projet'!$A$62,'Données projet'!$B$62,AI22+AH23-AQ22)))</f>
        <v>24.582870545650774</v>
      </c>
      <c r="AJ23" s="13">
        <f>AI23*VLOOKUP('Données projet'!$B$10,Paramètres!$A$1:$I$89,3,0)*VLOOKUP('Données projet'!$B$10,Paramètres!$A$1:$I$89,5,0)</f>
        <v>24.927030733289886</v>
      </c>
      <c r="AK23" s="13">
        <f t="shared" si="35"/>
        <v>7.900419678784556</v>
      </c>
      <c r="AL23" s="20">
        <f t="shared" si="4"/>
        <v>57.174476134362976</v>
      </c>
      <c r="AM23" s="59">
        <f t="shared" si="5"/>
        <v>290.48424515955469</v>
      </c>
      <c r="AN23" s="59">
        <f ca="1">AVERAGE(OFFSET($AM$3,0,0,'Données projet'!$E$10+1,1))-AVERAGE(OFFSET($H$3,0,0,'Données projet'!$E$10+1,1))</f>
        <v>453.05577105995508</v>
      </c>
      <c r="AO23" s="59">
        <f t="shared" si="36"/>
        <v>322.6839824496758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56.963270340203806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1.8914529914529912</v>
      </c>
      <c r="BD23" s="12">
        <f>IF('Données projet'!$A$88&gt;35,BD22+BC23-BL22,IF(A23&lt;'Données projet'!$A$88,$BA$205^A23,IF(A23='Données projet'!$A$88,'Données projet'!$B$88,BD22+BC23-BL22)))</f>
        <v>14.766510252532674</v>
      </c>
      <c r="BE23" s="13">
        <f>BD23*VLOOKUP('Données projet'!$B$11,Paramètres!$A$1:$I$89,3,0)*VLOOKUP('Données projet'!$B$11,Paramètres!$A$1:$I$89,5,0)</f>
        <v>14.742883836128623</v>
      </c>
      <c r="BF23" s="13">
        <f t="shared" si="37"/>
        <v>4.9671984582553641</v>
      </c>
      <c r="BG23" s="20">
        <f t="shared" si="7"/>
        <v>34.328393329385442</v>
      </c>
      <c r="BH23" s="59">
        <f t="shared" si="8"/>
        <v>267.63816235457716</v>
      </c>
      <c r="BI23" s="59">
        <f ca="1">AVERAGE(OFFSET($BH$3,0,0,'Données projet'!$E$11+1,1))-AVERAGE(OFFSET($H$3,0,0,'Données projet'!$E$11+1,1))</f>
        <v>411.38162678377478</v>
      </c>
      <c r="BJ23" s="59">
        <f t="shared" si="38"/>
        <v>177.89903563360403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56.963270340203806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87</v>
      </c>
      <c r="BW23" s="12">
        <f>VLOOKUP(A23,'Données projet'!$A$113:$I$133,9,0)</f>
        <v>8</v>
      </c>
      <c r="BX23" s="12">
        <f t="array" ref="BX23">INDEX(BW:BW,MIN(IF(ISNUMBER(BW23:BW219),ROW(BW23:BW219),"")))</f>
        <v>8</v>
      </c>
      <c r="BY23" s="12">
        <f>IF('Données projet'!$A$114&gt;35,BY22+BX23-CG22,IF(A23&lt;'Données projet'!$A$114,$BV$205^A23,IF(A23='Données projet'!$A$114,'Données projet'!$B$114,BY22+BX23-CG22)))</f>
        <v>87</v>
      </c>
      <c r="BZ23" s="13">
        <f>BY23*VLOOKUP('Données projet'!$B$12,Paramètres!$A$1:$I$89,3,0)*VLOOKUP('Données projet'!$B$12,Paramètres!$A$1:$I$89,5,0)</f>
        <v>90.932400000000015</v>
      </c>
      <c r="CA23" s="13">
        <f t="shared" si="39"/>
        <v>24.78996235436804</v>
      </c>
      <c r="CB23" s="20">
        <f t="shared" si="10"/>
        <v>201.54978110052437</v>
      </c>
      <c r="CC23" s="59">
        <f t="shared" si="11"/>
        <v>434.85955012571605</v>
      </c>
      <c r="CD23" s="59">
        <f ca="1">AVERAGE(OFFSET($CC$3,0,0,'Données projet'!$E$12+1,1))-AVERAGE(OFFSET($H$3,0,0,'Données projet'!$E$12+1,1))</f>
        <v>374.38550202939507</v>
      </c>
      <c r="CE23" s="59">
        <f t="shared" si="40"/>
        <v>324.37486924296718</v>
      </c>
      <c r="CF23" s="15">
        <f>IF(ISNA(VLOOKUP(A23,'Données projet'!$A$113:$I$133,3,0)),0,VLOOKUP(A23,'Données projet'!$A$113:$I$133,3,0))</f>
        <v>1</v>
      </c>
      <c r="CG23" s="15" t="str">
        <f>IF(ISNA(VLOOKUP(A23,'Données projet'!$A$113:$I$133,4,0)),0,VLOOKUP(A23,'Données projet'!$A$113:$I$133,4,0))</f>
        <v>29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56.963270340203806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2.9235042735042733</v>
      </c>
      <c r="CT23" s="12">
        <f>IF('Données projet'!$A$140&gt;35,CT22+CS23-DB22,IF(A23&lt;'Données projet'!$A$140,$CQ$205^A23,IF(A23='Données projet'!$A$140,'Données projet'!$B$140,CT22+CS23-DB22)))</f>
        <v>19.740129245617538</v>
      </c>
      <c r="CU23" s="17">
        <f>CT23*VLOOKUP('Données projet'!$B$13,Paramètres!$A$1:$I$89,3,0)*VLOOKUP('Données projet'!$B$13,Paramètres!$A$1:$I$89,5,0)</f>
        <v>18.784706990129649</v>
      </c>
      <c r="CV23" s="13">
        <f t="shared" si="41"/>
        <v>6.1529821468559378</v>
      </c>
      <c r="CW23" s="20">
        <f t="shared" si="13"/>
        <v>43.433141913583228</v>
      </c>
      <c r="CX23" s="59">
        <f t="shared" si="14"/>
        <v>276.74291093877491</v>
      </c>
      <c r="CY23" s="59">
        <f ca="1">AVERAGE(OFFSET($CX$3,0,0,'Données projet'!$E$13+1,1))-AVERAGE(OFFSET($H$3,0,0,'Données projet'!$E$13+1,1))</f>
        <v>392.81074187112989</v>
      </c>
      <c r="CZ23" s="59">
        <f t="shared" si="42"/>
        <v>236.19146849073687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56.963270340203806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2.9235042735042733</v>
      </c>
      <c r="DO23" s="12">
        <f>IF('Données projet'!$A$166&gt;35,DO22+DN23-DW22,IF(A23&lt;'Données projet'!$A$166,$DL$205^A23,IF(A23='Données projet'!$A$166,'Données projet'!$B$166,DO22+DN23-DW22)))</f>
        <v>19.740129245617538</v>
      </c>
      <c r="DP23" s="17">
        <f>DO23*VLOOKUP('Données projet'!$B$14,Paramètres!$A$1:$I$89,3,0)*VLOOKUP('Données projet'!$B$14,Paramètres!$A$1:$I$89,5,0)</f>
        <v>21.248275119982718</v>
      </c>
      <c r="DQ23" s="13">
        <f t="shared" si="43"/>
        <v>6.860808056529903</v>
      </c>
      <c r="DR23" s="20">
        <f t="shared" si="16"/>
        <v>48.956653199092813</v>
      </c>
      <c r="DS23" s="59">
        <f t="shared" si="17"/>
        <v>282.2664222242845</v>
      </c>
      <c r="DT23" s="59">
        <f ca="1">AVERAGE(OFFSET($DS$3,0,0,'Données projet'!$E$14+1,1))-AVERAGE(OFFSET($H$3,0,0,'Données projet'!$E$14+1,1))</f>
        <v>434.77799524785502</v>
      </c>
      <c r="DU23" s="59">
        <f t="shared" si="44"/>
        <v>259.85949838170006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56.963270340203806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2.9235042735042733</v>
      </c>
      <c r="EJ23" s="12">
        <f>IF('Données projet'!$A$192&gt;35,EJ22+EI23-ER22,IF(A23&lt;'Données projet'!$A$192,$EG$205^A23,IF(A23='Données projet'!$A$192,'Données projet'!$B$192,EJ22+EI23-ER22)))</f>
        <v>19.740129245617538</v>
      </c>
      <c r="EK23" s="17">
        <f>EJ23*VLOOKUP('Données projet'!$B$15,Paramètres!$A$1:$I$89,3,0)*VLOOKUP('Données projet'!$B$15,Paramètres!$A$1:$I$89,5,0)</f>
        <v>19.092653006361285</v>
      </c>
      <c r="EL23" s="13">
        <f t="shared" si="45"/>
        <v>6.2420250842326848</v>
      </c>
      <c r="EM23" s="20">
        <f t="shared" si="19"/>
        <v>44.124564341117825</v>
      </c>
      <c r="EN23" s="59">
        <f t="shared" si="20"/>
        <v>277.43433336630954</v>
      </c>
      <c r="EO23" s="59">
        <f ca="1">AVERAGE(OFFSET($EN$3,0,0,'Données projet'!$E$15+1,1))-AVERAGE(OFFSET($H$3,0,0,'Données projet'!$E$15+1,1))</f>
        <v>398.06270423055565</v>
      </c>
      <c r="EP23" s="59">
        <f t="shared" si="46"/>
        <v>239.15364562040614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56.963270340203806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183.7076923076923</v>
      </c>
      <c r="FC23" s="12">
        <f>VLOOKUP(A23,'Données projet'!$A$217:$I$237,9,0)</f>
        <v>18.463076923076926</v>
      </c>
      <c r="FD23" s="12">
        <f t="array" ref="FD23">INDEX(FC:FC,MIN(IF(ISNUMBER(FC23:FC219),ROW(FC23:FC219),"")))</f>
        <v>18.463076923076926</v>
      </c>
      <c r="FE23" s="12">
        <f>IF('Données projet'!$A$218&gt;35,FE22+FD23-FM22,IF(A23&lt;'Données projet'!$A$218,$FB$205^A23,IF(A23='Données projet'!$A$218,'Données projet'!$B$218,FE22+FD23-FM22)))</f>
        <v>183.7076923076923</v>
      </c>
      <c r="FF23" s="17">
        <f>FE23*VLOOKUP('Données projet'!$B$16,Paramètres!$A$1:$I$89,3,0)*VLOOKUP('Données projet'!$B$16,Paramètres!$A$1:$I$89,5,0)</f>
        <v>109.85720000000001</v>
      </c>
      <c r="FG23" s="13">
        <f t="shared" si="47"/>
        <v>29.297337235526424</v>
      </c>
      <c r="FH23" s="20">
        <f t="shared" si="22"/>
        <v>242.36081901854183</v>
      </c>
      <c r="FI23" s="59">
        <f t="shared" si="23"/>
        <v>475.67058804373357</v>
      </c>
      <c r="FJ23" s="59">
        <f ca="1">AVERAGE(OFFSET($FI$3,0,0,'Données projet'!$E$16+1,1))-AVERAGE(OFFSET($H$3,0,0,'Données projet'!$E$16+1,1))</f>
        <v>334.13861979962491</v>
      </c>
      <c r="FK23" s="59">
        <f t="shared" si="48"/>
        <v>416.48635183664305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48.723076923076924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0.25200000000000006</v>
      </c>
      <c r="FP23" s="16">
        <f>IF(ISNA(VLOOKUP(A23,'Données projet'!$A$217:$I$237,7,0)),0%,VLOOKUP(A23,'Données projet'!$A$217:$I$237,7,0))</f>
        <v>0.44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18.331682492314798</v>
      </c>
      <c r="FS23" s="21">
        <f>EXP(-LN(2)/2)*FS22+(1-EXP(-LN(2)/2))/(LN(2)/2)*FM23*FP23*VLOOKUP('Données projet'!$B$16,Paramètres!$A$1:$I$89,3,0)*0.475*44/12</f>
        <v>17.137096586300796</v>
      </c>
      <c r="FT23" s="22">
        <f t="shared" si="24"/>
        <v>35.468779078615597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56.963270340203806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7.2264102564102561</v>
      </c>
      <c r="FZ23" s="12">
        <f>IF('Données projet'!$A$244&gt;35,FZ22+FY23-GH22,IF(A23&lt;'Données projet'!$A$244,$FW$205^A23,IF(A23='Données projet'!$A$244,'Données projet'!$B$244,FZ22+FY23-GH22)))</f>
        <v>36.0879804560157</v>
      </c>
      <c r="GA23" s="17">
        <f>FZ23*VLOOKUP('Données projet'!$B$17,Paramètres!$A$1:$I$89,3,0)*VLOOKUP('Données projet'!$B$17,Paramètres!$A$1:$I$89,5,0)</f>
        <v>16.889174853415348</v>
      </c>
      <c r="GB23" s="13">
        <f t="shared" si="49"/>
        <v>5.6010168004690764</v>
      </c>
      <c r="GC23" s="20">
        <f t="shared" si="25"/>
        <v>39.170417130515368</v>
      </c>
      <c r="GD23" s="59">
        <f t="shared" si="26"/>
        <v>272.48018615570709</v>
      </c>
      <c r="GE23" s="59">
        <f ca="1">AVERAGE(OFFSET($GD$3,0,0,'Données projet'!$E$17+1,1))-AVERAGE(OFFSET($H$3,0,0,'Données projet'!$E$17+1,1))</f>
        <v>317.79829681023142</v>
      </c>
      <c r="GF23" s="59">
        <f t="shared" si="50"/>
        <v>275.07716943523621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56.963270340203806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8.5743589743589741</v>
      </c>
      <c r="GU23" s="12">
        <f>IF('Données projet'!$A$270&gt;35,GU22+GT23-HC22,IF(A23&lt;'Données projet'!$A$270,$GR$205^A23,IF(A23='Données projet'!$A$270,'Données projet'!$B$270,GU22+GT23-HC22)))</f>
        <v>140.61121422903264</v>
      </c>
      <c r="GV23" s="17">
        <f>GU23*VLOOKUP('Données projet'!$B$18,Paramètres!$A$1:$I$89,3,0)*VLOOKUP('Données projet'!$B$18,Paramètres!$A$1:$I$89,5,0)</f>
        <v>78.601668754029248</v>
      </c>
      <c r="GW23" s="13">
        <f t="shared" si="51"/>
        <v>21.794934776688162</v>
      </c>
      <c r="GX23" s="20">
        <f t="shared" si="28"/>
        <v>174.8574178159995</v>
      </c>
      <c r="GY23" s="59">
        <f t="shared" si="29"/>
        <v>408.16718684119121</v>
      </c>
      <c r="GZ23" s="59">
        <f ca="1">AVERAGE(OFFSET($GY$3,0,0,'Données projet'!$E$18+1,1))-AVERAGE(OFFSET($H$3,0,0,'Données projet'!$E$18+1,1))</f>
        <v>336.21787234885699</v>
      </c>
      <c r="HA23" s="59">
        <f t="shared" si="52"/>
        <v>315.36156736899113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3.7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13.566666666666668</v>
      </c>
      <c r="H24" s="67">
        <f t="shared" si="1"/>
        <v>202.4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57.189428454040097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295.15942795026518</v>
      </c>
      <c r="S24" s="59">
        <f ca="1">AVERAGE(OFFSET($R$3,0,0,'Données projet'!$E$9+1,1))-AVERAGE(OFFSET($H$3,0,0,'Données projet'!$E$9+1,1))</f>
        <v>411.64357329340851</v>
      </c>
      <c r="T24" s="59">
        <f t="shared" si="34"/>
        <v>294.07942258675632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57.189428454040097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4.0628205128205126</v>
      </c>
      <c r="AI24" s="13">
        <f>IF('Données projet'!$A$62&gt;35,AI23+AH24-AQ23,IF(A24&lt;'Données projet'!$A$62,$AF$205^A24,IF(A24='Données projet'!$A$62,'Données projet'!$B$62,AI23+AH24-AQ23)))</f>
        <v>28.851222752799568</v>
      </c>
      <c r="AJ24" s="13">
        <f>AI24*VLOOKUP('Données projet'!$B$10,Paramètres!$A$1:$I$89,3,0)*VLOOKUP('Données projet'!$B$10,Paramètres!$A$1:$I$89,5,0)</f>
        <v>29.255139871338766</v>
      </c>
      <c r="AK24" s="13">
        <f t="shared" si="35"/>
        <v>9.1009831459745705</v>
      </c>
      <c r="AL24" s="20">
        <f t="shared" si="4"/>
        <v>66.803580921820739</v>
      </c>
      <c r="AM24" s="59">
        <f t="shared" si="5"/>
        <v>302.1648185866344</v>
      </c>
      <c r="AN24" s="59">
        <f ca="1">AVERAGE(OFFSET($AM$3,0,0,'Données projet'!$E$10+1,1))-AVERAGE(OFFSET($H$3,0,0,'Données projet'!$E$10+1,1))</f>
        <v>453.05577105995508</v>
      </c>
      <c r="AO24" s="59">
        <f t="shared" si="36"/>
        <v>322.6839824496758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57.189428454040097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1.8914529914529912</v>
      </c>
      <c r="BD24" s="12">
        <f>IF('Données projet'!$A$88&gt;35,BD23+BC24-BL23,IF(A24&lt;'Données projet'!$A$88,$BA$205^A24,IF(A24='Données projet'!$A$88,'Données projet'!$B$88,BD23+BC24-BL23)))</f>
        <v>16.894360799544618</v>
      </c>
      <c r="BE24" s="13">
        <f>BD24*VLOOKUP('Données projet'!$B$11,Paramètres!$A$1:$I$89,3,0)*VLOOKUP('Données projet'!$B$11,Paramètres!$A$1:$I$89,5,0)</f>
        <v>16.867329822265347</v>
      </c>
      <c r="BF24" s="13">
        <f t="shared" si="37"/>
        <v>5.5946150384401614</v>
      </c>
      <c r="BG24" s="20">
        <f t="shared" si="7"/>
        <v>39.121220632395428</v>
      </c>
      <c r="BH24" s="59">
        <f t="shared" si="8"/>
        <v>274.48245829720912</v>
      </c>
      <c r="BI24" s="59">
        <f ca="1">AVERAGE(OFFSET($BH$3,0,0,'Données projet'!$E$11+1,1))-AVERAGE(OFFSET($H$3,0,0,'Données projet'!$E$11+1,1))</f>
        <v>411.38162678377478</v>
      </c>
      <c r="BJ24" s="59">
        <f t="shared" si="38"/>
        <v>177.89903563360403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57.189428454040097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</v>
      </c>
      <c r="BY24" s="12">
        <f>IF('Données projet'!$A$114&gt;35,BY23+BX24-CG23,IF(A24&lt;'Données projet'!$A$114,$BV$205^A24,IF(A24='Données projet'!$A$114,'Données projet'!$B$114,BY23+BX24-CG23)))</f>
        <v>66</v>
      </c>
      <c r="BZ24" s="13">
        <f>BY24*VLOOKUP('Données projet'!$B$12,Paramètres!$A$1:$I$89,3,0)*VLOOKUP('Données projet'!$B$12,Paramètres!$A$1:$I$89,5,0)</f>
        <v>68.983200000000011</v>
      </c>
      <c r="CA24" s="13">
        <f t="shared" si="39"/>
        <v>19.420735663201629</v>
      </c>
      <c r="CB24" s="20">
        <f t="shared" si="10"/>
        <v>153.97018794674287</v>
      </c>
      <c r="CC24" s="59">
        <f t="shared" si="11"/>
        <v>389.33142561155654</v>
      </c>
      <c r="CD24" s="59">
        <f ca="1">AVERAGE(OFFSET($CC$3,0,0,'Données projet'!$E$12+1,1))-AVERAGE(OFFSET($H$3,0,0,'Données projet'!$E$12+1,1))</f>
        <v>374.38550202939507</v>
      </c>
      <c r="CE24" s="59">
        <f t="shared" si="40"/>
        <v>324.37486924296718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57.189428454040097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2.9235042735042733</v>
      </c>
      <c r="CT24" s="12">
        <f>IF('Données projet'!$A$140&gt;35,CT23+CS24-DB23,IF(A24&lt;'Données projet'!$A$140,$CQ$205^A24,IF(A24='Données projet'!$A$140,'Données projet'!$B$140,CT23+CS24-DB23)))</f>
        <v>22.91487494147438</v>
      </c>
      <c r="CU24" s="17">
        <f>CT24*VLOOKUP('Données projet'!$B$13,Paramètres!$A$1:$I$89,3,0)*VLOOKUP('Données projet'!$B$13,Paramètres!$A$1:$I$89,5,0)</f>
        <v>21.805794994307021</v>
      </c>
      <c r="CV24" s="13">
        <f t="shared" si="41"/>
        <v>7.0196299392711321</v>
      </c>
      <c r="CW24" s="20">
        <f t="shared" si="13"/>
        <v>50.204281759315286</v>
      </c>
      <c r="CX24" s="59">
        <f t="shared" si="14"/>
        <v>285.56551942412898</v>
      </c>
      <c r="CY24" s="59">
        <f ca="1">AVERAGE(OFFSET($CX$3,0,0,'Données projet'!$E$13+1,1))-AVERAGE(OFFSET($H$3,0,0,'Données projet'!$E$13+1,1))</f>
        <v>392.81074187112989</v>
      </c>
      <c r="CZ24" s="59">
        <f t="shared" si="42"/>
        <v>236.19146849073687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57.189428454040097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2.9235042735042733</v>
      </c>
      <c r="DO24" s="12">
        <f>IF('Données projet'!$A$166&gt;35,DO23+DN24-DW23,IF(A24&lt;'Données projet'!$A$166,$DL$205^A24,IF(A24='Données projet'!$A$166,'Données projet'!$B$166,DO23+DN24-DW23)))</f>
        <v>22.91487494147438</v>
      </c>
      <c r="DP24" s="17">
        <f>DO24*VLOOKUP('Données projet'!$B$14,Paramètres!$A$1:$I$89,3,0)*VLOOKUP('Données projet'!$B$14,Paramètres!$A$1:$I$89,5,0)</f>
        <v>24.665571387003023</v>
      </c>
      <c r="DQ24" s="13">
        <f t="shared" si="43"/>
        <v>7.8271531578909208</v>
      </c>
      <c r="DR24" s="20">
        <f t="shared" si="16"/>
        <v>56.591495249023616</v>
      </c>
      <c r="DS24" s="59">
        <f t="shared" si="17"/>
        <v>291.95273291383728</v>
      </c>
      <c r="DT24" s="59">
        <f ca="1">AVERAGE(OFFSET($DS$3,0,0,'Données projet'!$E$14+1,1))-AVERAGE(OFFSET($H$3,0,0,'Données projet'!$E$14+1,1))</f>
        <v>434.77799524785502</v>
      </c>
      <c r="DU24" s="59">
        <f t="shared" si="44"/>
        <v>259.85949838170006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57.189428454040097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2.9235042735042733</v>
      </c>
      <c r="EJ24" s="12">
        <f>IF('Données projet'!$A$192&gt;35,EJ23+EI24-ER23,IF(A24&lt;'Données projet'!$A$192,$EG$205^A24,IF(A24='Données projet'!$A$192,'Données projet'!$B$192,EJ23+EI24-ER23)))</f>
        <v>22.91487494147438</v>
      </c>
      <c r="EK24" s="17">
        <f>EJ24*VLOOKUP('Données projet'!$B$15,Paramètres!$A$1:$I$89,3,0)*VLOOKUP('Données projet'!$B$15,Paramètres!$A$1:$I$89,5,0)</f>
        <v>22.163267043394022</v>
      </c>
      <c r="EL24" s="13">
        <f t="shared" si="45"/>
        <v>7.121214578097014</v>
      </c>
      <c r="EM24" s="20">
        <f t="shared" si="19"/>
        <v>51.003805490763547</v>
      </c>
      <c r="EN24" s="59">
        <f t="shared" si="20"/>
        <v>286.36504315557721</v>
      </c>
      <c r="EO24" s="59">
        <f ca="1">AVERAGE(OFFSET($EN$3,0,0,'Données projet'!$E$15+1,1))-AVERAGE(OFFSET($H$3,0,0,'Données projet'!$E$15+1,1))</f>
        <v>398.06270423055565</v>
      </c>
      <c r="EP24" s="59">
        <f t="shared" si="46"/>
        <v>239.15364562040614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57.189428454040097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19.071794871794875</v>
      </c>
      <c r="FE24" s="12">
        <f>IF('Données projet'!$A$218&gt;35,FE23+FD24-FM23,IF(A24&lt;'Données projet'!$A$218,$FB$205^A24,IF(A24='Données projet'!$A$218,'Données projet'!$B$218,FE23+FD24-FM23)))</f>
        <v>154.05641025641026</v>
      </c>
      <c r="FF24" s="17">
        <f>FE24*VLOOKUP('Données projet'!$B$16,Paramètres!$A$1:$I$89,3,0)*VLOOKUP('Données projet'!$B$16,Paramètres!$A$1:$I$89,5,0)</f>
        <v>92.125733333333343</v>
      </c>
      <c r="FG24" s="13">
        <f t="shared" si="47"/>
        <v>25.077202059466597</v>
      </c>
      <c r="FH24" s="20">
        <f t="shared" si="22"/>
        <v>204.12844580912656</v>
      </c>
      <c r="FI24" s="59">
        <f t="shared" si="23"/>
        <v>439.4896834739402</v>
      </c>
      <c r="FJ24" s="59">
        <f ca="1">AVERAGE(OFFSET($FI$3,0,0,'Données projet'!$E$16+1,1))-AVERAGE(OFFSET($H$3,0,0,'Données projet'!$E$16+1,1))</f>
        <v>334.13861979962491</v>
      </c>
      <c r="FK24" s="59">
        <f t="shared" si="48"/>
        <v>416.48635183664305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17.830401670541164</v>
      </c>
      <c r="FS24" s="21">
        <f>EXP(-LN(2)/2)*FS23+(1-EXP(-LN(2)/2))/(LN(2)/2)*FM24*FP24*VLOOKUP('Données projet'!$B$16,Paramètres!$A$1:$I$89,3,0)*0.475*44/12</f>
        <v>12.117757206022128</v>
      </c>
      <c r="FT24" s="22">
        <f t="shared" si="24"/>
        <v>29.948158876563291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57.189428454040097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7.2264102564102561</v>
      </c>
      <c r="FZ24" s="12">
        <f>IF('Données projet'!$A$244&gt;35,FZ23+FY24-GH23,IF(A24&lt;'Données projet'!$A$244,$FW$205^A24,IF(A24='Données projet'!$A$244,'Données projet'!$B$244,FZ23+FY24-GH23)))</f>
        <v>43.17483711984115</v>
      </c>
      <c r="GA24" s="17">
        <f>FZ24*VLOOKUP('Données projet'!$B$17,Paramètres!$A$1:$I$89,3,0)*VLOOKUP('Données projet'!$B$17,Paramètres!$A$1:$I$89,5,0)</f>
        <v>20.205823772085658</v>
      </c>
      <c r="GB24" s="13">
        <f t="shared" si="49"/>
        <v>6.5625277686471071</v>
      </c>
      <c r="GC24" s="20">
        <f t="shared" si="25"/>
        <v>46.621545600109563</v>
      </c>
      <c r="GD24" s="59">
        <f t="shared" si="26"/>
        <v>281.98278326492323</v>
      </c>
      <c r="GE24" s="59">
        <f ca="1">AVERAGE(OFFSET($GD$3,0,0,'Données projet'!$E$17+1,1))-AVERAGE(OFFSET($H$3,0,0,'Données projet'!$E$17+1,1))</f>
        <v>317.79829681023142</v>
      </c>
      <c r="GF24" s="59">
        <f t="shared" si="50"/>
        <v>275.07716943523621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57.189428454040097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>
        <f>VLOOKUP(A24,'Données projet'!$A$269:$I$289,2,0)</f>
        <v>180.06153846153845</v>
      </c>
      <c r="GS24" s="12">
        <f>VLOOKUP(A24,'Données projet'!$A$269:$I$289,9,0)</f>
        <v>8.5743589743589741</v>
      </c>
      <c r="GT24" s="12">
        <f t="array" ref="GT24">INDEX(GS:GS,MIN(IF(ISNUMBER(GS24:GS220),ROW(GS24:GS220),"")))</f>
        <v>8.5743589743589741</v>
      </c>
      <c r="GU24" s="12">
        <f>IF('Données projet'!$A$270&gt;35,GU23+GT24-HC23,IF(A24&lt;'Données projet'!$A$270,$GR$205^A24,IF(A24='Données projet'!$A$270,'Données projet'!$B$270,GU23+GT24-HC23)))</f>
        <v>180.06153846153845</v>
      </c>
      <c r="GV24" s="17">
        <f>GU24*VLOOKUP('Données projet'!$B$18,Paramètres!$A$1:$I$89,3,0)*VLOOKUP('Données projet'!$B$18,Paramètres!$A$1:$I$89,5,0)</f>
        <v>100.65439999999998</v>
      </c>
      <c r="GW24" s="13">
        <f t="shared" si="51"/>
        <v>27.117840091618859</v>
      </c>
      <c r="GX24" s="20">
        <f t="shared" si="28"/>
        <v>222.53665149290282</v>
      </c>
      <c r="GY24" s="59">
        <f t="shared" si="29"/>
        <v>457.89788915771646</v>
      </c>
      <c r="GZ24" s="59">
        <f ca="1">AVERAGE(OFFSET($GY$3,0,0,'Données projet'!$E$18+1,1))-AVERAGE(OFFSET($H$3,0,0,'Données projet'!$E$18+1,1))</f>
        <v>336.21787234885699</v>
      </c>
      <c r="HA24" s="59">
        <f t="shared" si="52"/>
        <v>315.36156736899113</v>
      </c>
      <c r="HB24" s="15">
        <f>IF(ISNA(VLOOKUP(A24,'Données projet'!$A$269:$I$289,3,0)),0,VLOOKUP(A24,'Données projet'!$A$269:$I$289,3,0))</f>
        <v>1</v>
      </c>
      <c r="HC24" s="15">
        <f>IF(ISNA(VLOOKUP(A24,'Données projet'!$A$269:$I$289,4,0)),0,VLOOKUP(A24,'Données projet'!$A$269:$I$289,4,0))</f>
        <v>61.169230769230765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0.30800000000000005</v>
      </c>
      <c r="HF24" s="16">
        <f>IF(ISNA(VLOOKUP(A24,'Données projet'!$A$269:$I$289,7,0)),0%,VLOOKUP(A24,'Données projet'!$A$269:$I$289,7,0))</f>
        <v>0.44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13.915875728661929</v>
      </c>
      <c r="HI24" s="21">
        <f>EXP(-LN(2)/2)*HI23+(1-EXP(-LN(2)/2))/(LN(2)/2)*HC24*HF24*VLOOKUP('Données projet'!$B$18,Paramètres!$A$1:$I$89,3,0)*0.475*44/12</f>
        <v>17.034643247028416</v>
      </c>
      <c r="HJ24" s="22">
        <f t="shared" si="30"/>
        <v>30.950518975690343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3.7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13.566666666666668</v>
      </c>
      <c r="H25" s="67">
        <f t="shared" si="1"/>
        <v>202.4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57.411663230215126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307.26876212082055</v>
      </c>
      <c r="S25" s="59">
        <f ca="1">AVERAGE(OFFSET($R$3,0,0,'Données projet'!$E$9+1,1))-AVERAGE(OFFSET($H$3,0,0,'Données projet'!$E$9+1,1))</f>
        <v>411.64357329340851</v>
      </c>
      <c r="T25" s="59">
        <f t="shared" si="34"/>
        <v>294.07942258675632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57.411663230215126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4.0628205128205126</v>
      </c>
      <c r="AI25" s="13">
        <f>IF('Données projet'!$A$62&gt;35,AI24+AH25-AQ24,IF(A25&lt;'Données projet'!$A$62,$AF$205^A25,IF(A25='Données projet'!$A$62,'Données projet'!$B$62,AI24+AH25-AQ24)))</f>
        <v>33.860693883812012</v>
      </c>
      <c r="AJ25" s="13">
        <f>AI25*VLOOKUP('Données projet'!$B$10,Paramètres!$A$1:$I$89,3,0)*VLOOKUP('Données projet'!$B$10,Paramètres!$A$1:$I$89,5,0)</f>
        <v>34.334743598185383</v>
      </c>
      <c r="AK25" s="13">
        <f t="shared" si="35"/>
        <v>10.48398662234813</v>
      </c>
      <c r="AL25" s="20">
        <f t="shared" si="4"/>
        <v>78.059288467429198</v>
      </c>
      <c r="AM25" s="59">
        <f t="shared" si="5"/>
        <v>315.45760920044017</v>
      </c>
      <c r="AN25" s="59">
        <f ca="1">AVERAGE(OFFSET($AM$3,0,0,'Données projet'!$E$10+1,1))-AVERAGE(OFFSET($H$3,0,0,'Données projet'!$E$10+1,1))</f>
        <v>453.05577105995508</v>
      </c>
      <c r="AO25" s="59">
        <f t="shared" si="36"/>
        <v>322.6839824496758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57.411663230215126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1.8914529914529912</v>
      </c>
      <c r="BD25" s="12">
        <f>IF('Données projet'!$A$88&gt;35,BD24+BC25-BL24,IF(A25&lt;'Données projet'!$A$88,$BA$205^A25,IF(A25='Données projet'!$A$88,'Données projet'!$B$88,BD24+BC25-BL24)))</f>
        <v>19.328834094449373</v>
      </c>
      <c r="BE25" s="13">
        <f>BD25*VLOOKUP('Données projet'!$B$11,Paramètres!$A$1:$I$89,3,0)*VLOOKUP('Données projet'!$B$11,Paramètres!$A$1:$I$89,5,0)</f>
        <v>19.297907959898254</v>
      </c>
      <c r="BF25" s="13">
        <f t="shared" si="37"/>
        <v>6.3012818375157567</v>
      </c>
      <c r="BG25" s="20">
        <f t="shared" si="7"/>
        <v>44.585255563829399</v>
      </c>
      <c r="BH25" s="59">
        <f t="shared" si="8"/>
        <v>281.9835762968404</v>
      </c>
      <c r="BI25" s="59">
        <f ca="1">AVERAGE(OFFSET($BH$3,0,0,'Données projet'!$E$11+1,1))-AVERAGE(OFFSET($H$3,0,0,'Données projet'!$E$11+1,1))</f>
        <v>411.38162678377478</v>
      </c>
      <c r="BJ25" s="59">
        <f t="shared" si="38"/>
        <v>177.89903563360403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57.411663230215126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</v>
      </c>
      <c r="BY25" s="12">
        <f>IF('Données projet'!$A$114&gt;35,BY24+BX25-CG24,IF(A25&lt;'Données projet'!$A$114,$BV$205^A25,IF(A25='Données projet'!$A$114,'Données projet'!$B$114,BY24+BX25-CG24)))</f>
        <v>74</v>
      </c>
      <c r="BZ25" s="13">
        <f>BY25*VLOOKUP('Données projet'!$B$12,Paramètres!$A$1:$I$89,3,0)*VLOOKUP('Données projet'!$B$12,Paramètres!$A$1:$I$89,5,0)</f>
        <v>77.344800000000006</v>
      </c>
      <c r="CA25" s="13">
        <f t="shared" si="39"/>
        <v>21.486704106300962</v>
      </c>
      <c r="CB25" s="20">
        <f t="shared" si="10"/>
        <v>172.13153631847419</v>
      </c>
      <c r="CC25" s="59">
        <f t="shared" si="11"/>
        <v>409.52985705148518</v>
      </c>
      <c r="CD25" s="59">
        <f ca="1">AVERAGE(OFFSET($CC$3,0,0,'Données projet'!$E$12+1,1))-AVERAGE(OFFSET($H$3,0,0,'Données projet'!$E$12+1,1))</f>
        <v>374.38550202939507</v>
      </c>
      <c r="CE25" s="59">
        <f t="shared" si="40"/>
        <v>324.37486924296718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57.411663230215126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2.9235042735042733</v>
      </c>
      <c r="CT25" s="12">
        <f>IF('Données projet'!$A$140&gt;35,CT24+CS25-DB24,IF(A25&lt;'Données projet'!$A$140,$CQ$205^A25,IF(A25='Données projet'!$A$140,'Données projet'!$B$140,CT24+CS25-DB24)))</f>
        <v>26.600205452048144</v>
      </c>
      <c r="CU25" s="17">
        <f>CT25*VLOOKUP('Données projet'!$B$13,Paramètres!$A$1:$I$89,3,0)*VLOOKUP('Données projet'!$B$13,Paramètres!$A$1:$I$89,5,0)</f>
        <v>25.312755508169015</v>
      </c>
      <c r="CV25" s="13">
        <f t="shared" si="41"/>
        <v>8.0083451094507705</v>
      </c>
      <c r="CW25" s="20">
        <f t="shared" si="13"/>
        <v>58.03425024235446</v>
      </c>
      <c r="CX25" s="59">
        <f t="shared" si="14"/>
        <v>295.43257097536548</v>
      </c>
      <c r="CY25" s="59">
        <f ca="1">AVERAGE(OFFSET($CX$3,0,0,'Données projet'!$E$13+1,1))-AVERAGE(OFFSET($H$3,0,0,'Données projet'!$E$13+1,1))</f>
        <v>392.81074187112989</v>
      </c>
      <c r="CZ25" s="59">
        <f t="shared" si="42"/>
        <v>236.19146849073687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57.411663230215126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2.9235042735042733</v>
      </c>
      <c r="DO25" s="12">
        <f>IF('Données projet'!$A$166&gt;35,DO24+DN25-DW24,IF(A25&lt;'Données projet'!$A$166,$DL$205^A25,IF(A25='Données projet'!$A$166,'Données projet'!$B$166,DO24+DN25-DW24)))</f>
        <v>26.600205452048144</v>
      </c>
      <c r="DP25" s="17">
        <f>DO25*VLOOKUP('Données projet'!$B$14,Paramètres!$A$1:$I$89,3,0)*VLOOKUP('Données projet'!$B$14,Paramètres!$A$1:$I$89,5,0)</f>
        <v>28.632461148584621</v>
      </c>
      <c r="DQ25" s="13">
        <f t="shared" si="43"/>
        <v>8.9296080071460899</v>
      </c>
      <c r="DR25" s="20">
        <f t="shared" si="16"/>
        <v>65.420603779564317</v>
      </c>
      <c r="DS25" s="59">
        <f t="shared" si="17"/>
        <v>302.81892451257534</v>
      </c>
      <c r="DT25" s="59">
        <f ca="1">AVERAGE(OFFSET($DS$3,0,0,'Données projet'!$E$14+1,1))-AVERAGE(OFFSET($H$3,0,0,'Données projet'!$E$14+1,1))</f>
        <v>434.77799524785502</v>
      </c>
      <c r="DU25" s="59">
        <f t="shared" si="44"/>
        <v>259.85949838170006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57.411663230215126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2.9235042735042733</v>
      </c>
      <c r="EJ25" s="12">
        <f>IF('Données projet'!$A$192&gt;35,EJ24+EI25-ER24,IF(A25&lt;'Données projet'!$A$192,$EG$205^A25,IF(A25='Données projet'!$A$192,'Données projet'!$B$192,EJ24+EI25-ER24)))</f>
        <v>26.600205452048144</v>
      </c>
      <c r="EK25" s="17">
        <f>EJ25*VLOOKUP('Données projet'!$B$15,Paramètres!$A$1:$I$89,3,0)*VLOOKUP('Données projet'!$B$15,Paramètres!$A$1:$I$89,5,0)</f>
        <v>25.727718713220966</v>
      </c>
      <c r="EL25" s="13">
        <f t="shared" si="45"/>
        <v>8.1242379488988057</v>
      </c>
      <c r="EM25" s="20">
        <f t="shared" si="19"/>
        <v>58.958824519858602</v>
      </c>
      <c r="EN25" s="59">
        <f t="shared" si="20"/>
        <v>296.3571452528696</v>
      </c>
      <c r="EO25" s="59">
        <f ca="1">AVERAGE(OFFSET($EN$3,0,0,'Données projet'!$E$15+1,1))-AVERAGE(OFFSET($H$3,0,0,'Données projet'!$E$15+1,1))</f>
        <v>398.06270423055565</v>
      </c>
      <c r="EP25" s="59">
        <f t="shared" si="46"/>
        <v>239.15364562040614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57.411663230215126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19.071794871794875</v>
      </c>
      <c r="FE25" s="12">
        <f>IF('Données projet'!$A$218&gt;35,FE24+FD25-FM24,IF(A25&lt;'Données projet'!$A$218,$FB$205^A25,IF(A25='Données projet'!$A$218,'Données projet'!$B$218,FE24+FD25-FM24)))</f>
        <v>173.12820512820514</v>
      </c>
      <c r="FF25" s="17">
        <f>FE25*VLOOKUP('Données projet'!$B$16,Paramètres!$A$1:$I$89,3,0)*VLOOKUP('Données projet'!$B$16,Paramètres!$A$1:$I$89,5,0)</f>
        <v>103.53066666666668</v>
      </c>
      <c r="FG25" s="13">
        <f t="shared" si="47"/>
        <v>27.80142408921413</v>
      </c>
      <c r="FH25" s="20">
        <f t="shared" si="22"/>
        <v>228.73672473315909</v>
      </c>
      <c r="FI25" s="59">
        <f t="shared" si="23"/>
        <v>466.13504546617008</v>
      </c>
      <c r="FJ25" s="59">
        <f ca="1">AVERAGE(OFFSET($FI$3,0,0,'Données projet'!$E$16+1,1))-AVERAGE(OFFSET($H$3,0,0,'Données projet'!$E$16+1,1))</f>
        <v>334.13861979962491</v>
      </c>
      <c r="FK25" s="59">
        <f t="shared" si="48"/>
        <v>416.48635183664305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17.342828399200144</v>
      </c>
      <c r="FS25" s="21">
        <f>EXP(-LN(2)/2)*FS24+(1-EXP(-LN(2)/2))/(LN(2)/2)*FM25*FP25*VLOOKUP('Données projet'!$B$16,Paramètres!$A$1:$I$89,3,0)*0.475*44/12</f>
        <v>8.5685482931503998</v>
      </c>
      <c r="FT25" s="22">
        <f t="shared" si="24"/>
        <v>25.911376692350544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57.411663230215126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7.2264102564102561</v>
      </c>
      <c r="FZ25" s="12">
        <f>IF('Données projet'!$A$244&gt;35,FZ24+FY25-GH24,IF(A25&lt;'Données projet'!$A$244,$FW$205^A25,IF(A25='Données projet'!$A$244,'Données projet'!$B$244,FZ24+FY25-GH24)))</f>
        <v>51.653390873361616</v>
      </c>
      <c r="GA25" s="17">
        <f>FZ25*VLOOKUP('Données projet'!$B$17,Paramètres!$A$1:$I$89,3,0)*VLOOKUP('Données projet'!$B$17,Paramètres!$A$1:$I$89,5,0)</f>
        <v>24.173786928733236</v>
      </c>
      <c r="GB25" s="13">
        <f t="shared" si="49"/>
        <v>7.6890986491341353</v>
      </c>
      <c r="GC25" s="20">
        <f t="shared" si="25"/>
        <v>55.494525714785674</v>
      </c>
      <c r="GD25" s="59">
        <f t="shared" si="26"/>
        <v>292.89284644779667</v>
      </c>
      <c r="GE25" s="59">
        <f ca="1">AVERAGE(OFFSET($GD$3,0,0,'Données projet'!$E$17+1,1))-AVERAGE(OFFSET($H$3,0,0,'Données projet'!$E$17+1,1))</f>
        <v>317.79829681023142</v>
      </c>
      <c r="GF25" s="59">
        <f t="shared" si="50"/>
        <v>275.07716943523621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57.411663230215126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16.687912087912089</v>
      </c>
      <c r="GU25" s="12">
        <f>IF('Données projet'!$A$270&gt;35,GU24+GT25-HC24,IF(A25&lt;'Données projet'!$A$270,$GR$205^A25,IF(A25='Données projet'!$A$270,'Données projet'!$B$270,GU24+GT25-HC24)))</f>
        <v>135.58021978021975</v>
      </c>
      <c r="GV25" s="17">
        <f>GU25*VLOOKUP('Données projet'!$B$18,Paramètres!$A$1:$I$89,3,0)*VLOOKUP('Données projet'!$B$18,Paramètres!$A$1:$I$89,5,0)</f>
        <v>75.789342857142842</v>
      </c>
      <c r="GW25" s="13">
        <f t="shared" si="51"/>
        <v>21.104439314832938</v>
      </c>
      <c r="GX25" s="20">
        <f t="shared" si="28"/>
        <v>168.75667061619112</v>
      </c>
      <c r="GY25" s="59">
        <f t="shared" si="29"/>
        <v>406.15499134920208</v>
      </c>
      <c r="GZ25" s="59">
        <f ca="1">AVERAGE(OFFSET($GY$3,0,0,'Données projet'!$E$18+1,1))-AVERAGE(OFFSET($H$3,0,0,'Données projet'!$E$18+1,1))</f>
        <v>336.21787234885699</v>
      </c>
      <c r="HA25" s="59">
        <f t="shared" si="52"/>
        <v>315.36156736899113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13.535345375057569</v>
      </c>
      <c r="HI25" s="21">
        <f>EXP(-LN(2)/2)*HI24+(1-EXP(-LN(2)/2))/(LN(2)/2)*HC25*HF25*VLOOKUP('Données projet'!$B$18,Paramètres!$A$1:$I$89,3,0)*0.475*44/12</f>
        <v>12.045311755067422</v>
      </c>
      <c r="HJ25" s="22">
        <f t="shared" si="30"/>
        <v>25.58065713012499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3.7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13.566666666666668</v>
      </c>
      <c r="H26" s="67">
        <f t="shared" si="1"/>
        <v>202.4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57.630042729866048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321.06562085899202</v>
      </c>
      <c r="S26" s="59">
        <f ca="1">AVERAGE(OFFSET($R$3,0,0,'Données projet'!$E$9+1,1))-AVERAGE(OFFSET($H$3,0,0,'Données projet'!$E$9+1,1))</f>
        <v>411.64357329340851</v>
      </c>
      <c r="T26" s="59">
        <f t="shared" si="34"/>
        <v>294.07942258675632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57.630042729866048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4.0628205128205126</v>
      </c>
      <c r="AI26" s="13">
        <f>IF('Données projet'!$A$62&gt;35,AI25+AH26-AQ25,IF(A26&lt;'Données projet'!$A$62,$AF$205^A26,IF(A26='Données projet'!$A$62,'Données projet'!$B$62,AI25+AH26-AQ25)))</f>
        <v>39.739965273463824</v>
      </c>
      <c r="AJ26" s="13">
        <f>AI26*VLOOKUP('Données projet'!$B$10,Paramètres!$A$1:$I$89,3,0)*VLOOKUP('Données projet'!$B$10,Paramètres!$A$1:$I$89,5,0)</f>
        <v>40.29632478729232</v>
      </c>
      <c r="AK26" s="13">
        <f t="shared" si="35"/>
        <v>12.077154054085931</v>
      </c>
      <c r="AL26" s="20">
        <f t="shared" si="4"/>
        <v>91.217142315400451</v>
      </c>
      <c r="AM26" s="59">
        <f t="shared" si="5"/>
        <v>330.63841010268709</v>
      </c>
      <c r="AN26" s="59">
        <f ca="1">AVERAGE(OFFSET($AM$3,0,0,'Données projet'!$E$10+1,1))-AVERAGE(OFFSET($H$3,0,0,'Données projet'!$E$10+1,1))</f>
        <v>453.05577105995508</v>
      </c>
      <c r="AO26" s="59">
        <f t="shared" si="36"/>
        <v>322.6839824496758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57.630042729866048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1.8914529914529912</v>
      </c>
      <c r="BD26" s="12">
        <f>IF('Données projet'!$A$88&gt;35,BD25+BC26-BL25,IF(A26&lt;'Données projet'!$A$88,$BA$205^A26,IF(A26='Données projet'!$A$88,'Données projet'!$B$88,BD25+BC26-BL25)))</f>
        <v>22.114114400872687</v>
      </c>
      <c r="BE26" s="13">
        <f>BD26*VLOOKUP('Données projet'!$B$11,Paramètres!$A$1:$I$89,3,0)*VLOOKUP('Données projet'!$B$11,Paramètres!$A$1:$I$89,5,0)</f>
        <v>22.07873181783129</v>
      </c>
      <c r="BF26" s="13">
        <f t="shared" si="37"/>
        <v>7.0972091060757743</v>
      </c>
      <c r="BG26" s="20">
        <f t="shared" si="7"/>
        <v>50.814763775804799</v>
      </c>
      <c r="BH26" s="59">
        <f t="shared" si="8"/>
        <v>290.23603156309144</v>
      </c>
      <c r="BI26" s="59">
        <f ca="1">AVERAGE(OFFSET($BH$3,0,0,'Données projet'!$E$11+1,1))-AVERAGE(OFFSET($H$3,0,0,'Données projet'!$E$11+1,1))</f>
        <v>411.38162678377478</v>
      </c>
      <c r="BJ26" s="59">
        <f t="shared" si="38"/>
        <v>177.89903563360403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57.630042729866048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</v>
      </c>
      <c r="BY26" s="12">
        <f>IF('Données projet'!$A$114&gt;35,BY25+BX26-CG25,IF(A26&lt;'Données projet'!$A$114,$BV$205^A26,IF(A26='Données projet'!$A$114,'Données projet'!$B$114,BY25+BX26-CG25)))</f>
        <v>82</v>
      </c>
      <c r="BZ26" s="13">
        <f>BY26*VLOOKUP('Données projet'!$B$12,Paramètres!$A$1:$I$89,3,0)*VLOOKUP('Données projet'!$B$12,Paramètres!$A$1:$I$89,5,0)</f>
        <v>85.706400000000016</v>
      </c>
      <c r="CA26" s="13">
        <f t="shared" si="39"/>
        <v>23.526784562031285</v>
      </c>
      <c r="CB26" s="20">
        <f t="shared" si="10"/>
        <v>190.24779644553783</v>
      </c>
      <c r="CC26" s="59">
        <f t="shared" si="11"/>
        <v>429.66906423282444</v>
      </c>
      <c r="CD26" s="59">
        <f ca="1">AVERAGE(OFFSET($CC$3,0,0,'Données projet'!$E$12+1,1))-AVERAGE(OFFSET($H$3,0,0,'Données projet'!$E$12+1,1))</f>
        <v>374.38550202939507</v>
      </c>
      <c r="CE26" s="59">
        <f t="shared" si="40"/>
        <v>324.37486924296718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57.630042729866048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2.9235042735042733</v>
      </c>
      <c r="CT26" s="12">
        <f>IF('Données projet'!$A$140&gt;35,CT25+CS26-DB25,IF(A26&lt;'Données projet'!$A$140,$CQ$205^A26,IF(A26='Données projet'!$A$140,'Données projet'!$B$140,CT25+CS26-DB25)))</f>
        <v>30.878236599516239</v>
      </c>
      <c r="CU26" s="17">
        <f>CT26*VLOOKUP('Données projet'!$B$13,Paramètres!$A$1:$I$89,3,0)*VLOOKUP('Données projet'!$B$13,Paramètres!$A$1:$I$89,5,0)</f>
        <v>29.383729948099653</v>
      </c>
      <c r="CV26" s="13">
        <f t="shared" si="41"/>
        <v>9.1363208526521351</v>
      </c>
      <c r="CW26" s="20">
        <f t="shared" si="13"/>
        <v>67.089088477976034</v>
      </c>
      <c r="CX26" s="59">
        <f t="shared" si="14"/>
        <v>306.51035626526266</v>
      </c>
      <c r="CY26" s="59">
        <f ca="1">AVERAGE(OFFSET($CX$3,0,0,'Données projet'!$E$13+1,1))-AVERAGE(OFFSET($H$3,0,0,'Données projet'!$E$13+1,1))</f>
        <v>392.81074187112989</v>
      </c>
      <c r="CZ26" s="59">
        <f t="shared" si="42"/>
        <v>236.19146849073687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57.630042729866048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2.9235042735042733</v>
      </c>
      <c r="DO26" s="12">
        <f>IF('Données projet'!$A$166&gt;35,DO25+DN26-DW25,IF(A26&lt;'Données projet'!$A$166,$DL$205^A26,IF(A26='Données projet'!$A$166,'Données projet'!$B$166,DO25+DN26-DW25)))</f>
        <v>30.878236599516239</v>
      </c>
      <c r="DP26" s="17">
        <f>DO26*VLOOKUP('Données projet'!$B$14,Paramètres!$A$1:$I$89,3,0)*VLOOKUP('Données projet'!$B$14,Paramètres!$A$1:$I$89,5,0)</f>
        <v>33.23733387571928</v>
      </c>
      <c r="DQ26" s="13">
        <f t="shared" si="43"/>
        <v>10.187343667972057</v>
      </c>
      <c r="DR26" s="20">
        <f t="shared" si="16"/>
        <v>75.631313388595743</v>
      </c>
      <c r="DS26" s="59">
        <f t="shared" si="17"/>
        <v>315.05258117588238</v>
      </c>
      <c r="DT26" s="59">
        <f ca="1">AVERAGE(OFFSET($DS$3,0,0,'Données projet'!$E$14+1,1))-AVERAGE(OFFSET($H$3,0,0,'Données projet'!$E$14+1,1))</f>
        <v>434.77799524785502</v>
      </c>
      <c r="DU26" s="59">
        <f t="shared" si="44"/>
        <v>259.85949838170006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57.630042729866048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2.9235042735042733</v>
      </c>
      <c r="EJ26" s="12">
        <f>IF('Données projet'!$A$192&gt;35,EJ25+EI26-ER25,IF(A26&lt;'Données projet'!$A$192,$EG$205^A26,IF(A26='Données projet'!$A$192,'Données projet'!$B$192,EJ25+EI26-ER25)))</f>
        <v>30.878236599516239</v>
      </c>
      <c r="EK26" s="17">
        <f>EJ26*VLOOKUP('Données projet'!$B$15,Paramètres!$A$1:$I$89,3,0)*VLOOKUP('Données projet'!$B$15,Paramètres!$A$1:$I$89,5,0)</f>
        <v>29.865430439052108</v>
      </c>
      <c r="EL26" s="13">
        <f t="shared" si="45"/>
        <v>9.2685372033776563</v>
      </c>
      <c r="EM26" s="20">
        <f t="shared" si="19"/>
        <v>68.158326977231852</v>
      </c>
      <c r="EN26" s="59">
        <f t="shared" si="20"/>
        <v>307.5795947645185</v>
      </c>
      <c r="EO26" s="59">
        <f ca="1">AVERAGE(OFFSET($EN$3,0,0,'Données projet'!$E$15+1,1))-AVERAGE(OFFSET($H$3,0,0,'Données projet'!$E$15+1,1))</f>
        <v>398.06270423055565</v>
      </c>
      <c r="EP26" s="59">
        <f t="shared" si="46"/>
        <v>239.15364562040614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57.630042729866048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19.071794871794875</v>
      </c>
      <c r="FE26" s="12">
        <f>IF('Données projet'!$A$218&gt;35,FE25+FD26-FM25,IF(A26&lt;'Données projet'!$A$218,$FB$205^A26,IF(A26='Données projet'!$A$218,'Données projet'!$B$218,FE25+FD26-FM25)))</f>
        <v>192.20000000000002</v>
      </c>
      <c r="FF26" s="17">
        <f>FE26*VLOOKUP('Données projet'!$B$16,Paramètres!$A$1:$I$89,3,0)*VLOOKUP('Données projet'!$B$16,Paramètres!$A$1:$I$89,5,0)</f>
        <v>114.93560000000001</v>
      </c>
      <c r="FG26" s="13">
        <f t="shared" si="47"/>
        <v>30.49086327624272</v>
      </c>
      <c r="FH26" s="20">
        <f t="shared" si="22"/>
        <v>253.28442353945601</v>
      </c>
      <c r="FI26" s="59">
        <f t="shared" si="23"/>
        <v>492.70569132674268</v>
      </c>
      <c r="FJ26" s="59">
        <f ca="1">AVERAGE(OFFSET($FI$3,0,0,'Données projet'!$E$16+1,1))-AVERAGE(OFFSET($H$3,0,0,'Données projet'!$E$16+1,1))</f>
        <v>334.13861979962491</v>
      </c>
      <c r="FK26" s="59">
        <f t="shared" si="48"/>
        <v>416.48635183664305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16.86858784460431</v>
      </c>
      <c r="FS26" s="21">
        <f>EXP(-LN(2)/2)*FS25+(1-EXP(-LN(2)/2))/(LN(2)/2)*FM26*FP26*VLOOKUP('Données projet'!$B$16,Paramètres!$A$1:$I$89,3,0)*0.475*44/12</f>
        <v>6.0588786030110651</v>
      </c>
      <c r="FT26" s="22">
        <f t="shared" si="24"/>
        <v>22.927466447615373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57.630042729866048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7.2264102564102561</v>
      </c>
      <c r="FZ26" s="12">
        <f>IF('Données projet'!$A$244&gt;35,FZ25+FY26-GH25,IF(A26&lt;'Données projet'!$A$244,$FW$205^A26,IF(A26='Données projet'!$A$244,'Données projet'!$B$244,FZ25+FY26-GH25)))</f>
        <v>61.796939298472864</v>
      </c>
      <c r="GA26" s="17">
        <f>FZ26*VLOOKUP('Données projet'!$B$17,Paramètres!$A$1:$I$89,3,0)*VLOOKUP('Données projet'!$B$17,Paramètres!$A$1:$I$89,5,0)</f>
        <v>28.920967591685301</v>
      </c>
      <c r="GB26" s="13">
        <f t="shared" si="49"/>
        <v>9.0090648177637647</v>
      </c>
      <c r="GC26" s="20">
        <f t="shared" si="25"/>
        <v>66.061473113123796</v>
      </c>
      <c r="GD26" s="59">
        <f t="shared" si="26"/>
        <v>305.48274090041042</v>
      </c>
      <c r="GE26" s="59">
        <f ca="1">AVERAGE(OFFSET($GD$3,0,0,'Données projet'!$E$17+1,1))-AVERAGE(OFFSET($H$3,0,0,'Données projet'!$E$17+1,1))</f>
        <v>317.79829681023142</v>
      </c>
      <c r="GF26" s="59">
        <f t="shared" si="50"/>
        <v>275.07716943523621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57.630042729866048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16.687912087912089</v>
      </c>
      <c r="GU26" s="12">
        <f>IF('Données projet'!$A$270&gt;35,GU25+GT26-HC25,IF(A26&lt;'Données projet'!$A$270,$GR$205^A26,IF(A26='Données projet'!$A$270,'Données projet'!$B$270,GU25+GT26-HC25)))</f>
        <v>152.26813186813183</v>
      </c>
      <c r="GV26" s="17">
        <f>GU26*VLOOKUP('Données projet'!$B$18,Paramètres!$A$1:$I$89,3,0)*VLOOKUP('Données projet'!$B$18,Paramètres!$A$1:$I$89,5,0)</f>
        <v>85.117885714285705</v>
      </c>
      <c r="GW26" s="13">
        <f t="shared" si="51"/>
        <v>23.383981996566973</v>
      </c>
      <c r="GX26" s="20">
        <f t="shared" si="28"/>
        <v>188.97408626306841</v>
      </c>
      <c r="GY26" s="59">
        <f t="shared" si="29"/>
        <v>428.39535405035508</v>
      </c>
      <c r="GZ26" s="59">
        <f ca="1">AVERAGE(OFFSET($GY$3,0,0,'Données projet'!$E$18+1,1))-AVERAGE(OFFSET($H$3,0,0,'Données projet'!$E$18+1,1))</f>
        <v>336.21787234885699</v>
      </c>
      <c r="HA26" s="59">
        <f t="shared" si="52"/>
        <v>315.36156736899113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13.165220643983741</v>
      </c>
      <c r="HI26" s="21">
        <f>EXP(-LN(2)/2)*HI25+(1-EXP(-LN(2)/2))/(LN(2)/2)*HC26*HF26*VLOOKUP('Données projet'!$B$18,Paramètres!$A$1:$I$89,3,0)*0.475*44/12</f>
        <v>8.5173216235142082</v>
      </c>
      <c r="HJ26" s="22">
        <f t="shared" si="30"/>
        <v>21.682542267497951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3.7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13.566666666666668</v>
      </c>
      <c r="H27" s="67">
        <f t="shared" si="1"/>
        <v>202.4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57.844633833421454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336.83853868566553</v>
      </c>
      <c r="S27" s="59">
        <f ca="1">AVERAGE(OFFSET($R$3,0,0,'Données projet'!$E$9+1,1))-AVERAGE(OFFSET($H$3,0,0,'Données projet'!$E$9+1,1))</f>
        <v>411.64357329340851</v>
      </c>
      <c r="T27" s="59">
        <f t="shared" si="34"/>
        <v>294.07942258675632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57.844633833421454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4.0628205128205126</v>
      </c>
      <c r="AI27" s="13">
        <f>IF('Données projet'!$A$62&gt;35,AI26+AH27-AQ26,IF(A27&lt;'Données projet'!$A$62,$AF$205^A27,IF(A27='Données projet'!$A$62,'Données projet'!$B$62,AI26+AH27-AQ26)))</f>
        <v>46.640061345320483</v>
      </c>
      <c r="AJ27" s="13">
        <f>AI27*VLOOKUP('Données projet'!$B$10,Paramètres!$A$1:$I$89,3,0)*VLOOKUP('Données projet'!$B$10,Paramètres!$A$1:$I$89,5,0)</f>
        <v>47.293022204154973</v>
      </c>
      <c r="AK27" s="13">
        <f t="shared" si="35"/>
        <v>13.912422373299071</v>
      </c>
      <c r="AL27" s="20">
        <f t="shared" si="4"/>
        <v>106.5994826390658</v>
      </c>
      <c r="AM27" s="59">
        <f t="shared" si="5"/>
        <v>348.02980669494445</v>
      </c>
      <c r="AN27" s="59">
        <f ca="1">AVERAGE(OFFSET($AM$3,0,0,'Données projet'!$E$10+1,1))-AVERAGE(OFFSET($H$3,0,0,'Données projet'!$E$10+1,1))</f>
        <v>453.05577105995508</v>
      </c>
      <c r="AO27" s="59">
        <f t="shared" si="36"/>
        <v>322.6839824496758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57.844633833421454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1.8914529914529912</v>
      </c>
      <c r="BD27" s="12">
        <f>IF('Données projet'!$A$88&gt;35,BD26+BC27-BL26,IF(A27&lt;'Données projet'!$A$88,$BA$205^A27,IF(A27='Données projet'!$A$88,'Données projet'!$B$88,BD26+BC27-BL26)))</f>
        <v>25.300752924115567</v>
      </c>
      <c r="BE27" s="13">
        <f>BD27*VLOOKUP('Données projet'!$B$11,Paramètres!$A$1:$I$89,3,0)*VLOOKUP('Données projet'!$B$11,Paramètres!$A$1:$I$89,5,0)</f>
        <v>25.260271719436982</v>
      </c>
      <c r="BF27" s="13">
        <f t="shared" si="37"/>
        <v>7.9936715091009303</v>
      </c>
      <c r="BG27" s="20">
        <f t="shared" si="7"/>
        <v>57.917284456370197</v>
      </c>
      <c r="BH27" s="59">
        <f t="shared" si="8"/>
        <v>299.34760851224888</v>
      </c>
      <c r="BI27" s="59">
        <f ca="1">AVERAGE(OFFSET($BH$3,0,0,'Données projet'!$E$11+1,1))-AVERAGE(OFFSET($H$3,0,0,'Données projet'!$E$11+1,1))</f>
        <v>411.38162678377478</v>
      </c>
      <c r="BJ27" s="59">
        <f t="shared" si="38"/>
        <v>177.89903563360403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57.844633833421454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</v>
      </c>
      <c r="BY27" s="12">
        <f>IF('Données projet'!$A$114&gt;35,BY26+BX27-CG26,IF(A27&lt;'Données projet'!$A$114,$BV$205^A27,IF(A27='Données projet'!$A$114,'Données projet'!$B$114,BY26+BX27-CG26)))</f>
        <v>90</v>
      </c>
      <c r="BZ27" s="13">
        <f>BY27*VLOOKUP('Données projet'!$B$12,Paramètres!$A$1:$I$89,3,0)*VLOOKUP('Données projet'!$B$12,Paramètres!$A$1:$I$89,5,0)</f>
        <v>94.068000000000012</v>
      </c>
      <c r="CA27" s="13">
        <f t="shared" si="39"/>
        <v>25.543790108694029</v>
      </c>
      <c r="CB27" s="20">
        <f t="shared" si="10"/>
        <v>208.3238677726421</v>
      </c>
      <c r="CC27" s="59">
        <f t="shared" si="11"/>
        <v>449.75419182852079</v>
      </c>
      <c r="CD27" s="59">
        <f ca="1">AVERAGE(OFFSET($CC$3,0,0,'Données projet'!$E$12+1,1))-AVERAGE(OFFSET($H$3,0,0,'Données projet'!$E$12+1,1))</f>
        <v>374.38550202939507</v>
      </c>
      <c r="CE27" s="59">
        <f t="shared" si="40"/>
        <v>324.37486924296718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57.844633833421454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2.9235042735042733</v>
      </c>
      <c r="CT27" s="12">
        <f>IF('Données projet'!$A$140&gt;35,CT26+CS27-DB26,IF(A27&lt;'Données projet'!$A$140,$CQ$205^A27,IF(A27='Données projet'!$A$140,'Données projet'!$B$140,CT26+CS27-DB26)))</f>
        <v>35.844290647096855</v>
      </c>
      <c r="CU27" s="17">
        <f>CT27*VLOOKUP('Données projet'!$B$13,Paramètres!$A$1:$I$89,3,0)*VLOOKUP('Données projet'!$B$13,Paramètres!$A$1:$I$89,5,0)</f>
        <v>34.109426979777368</v>
      </c>
      <c r="CV27" s="13">
        <f t="shared" si="41"/>
        <v>10.423172026402712</v>
      </c>
      <c r="CW27" s="20">
        <f t="shared" si="13"/>
        <v>77.560943269096967</v>
      </c>
      <c r="CX27" s="59">
        <f t="shared" si="14"/>
        <v>318.99126732497564</v>
      </c>
      <c r="CY27" s="59">
        <f ca="1">AVERAGE(OFFSET($CX$3,0,0,'Données projet'!$E$13+1,1))-AVERAGE(OFFSET($H$3,0,0,'Données projet'!$E$13+1,1))</f>
        <v>392.81074187112989</v>
      </c>
      <c r="CZ27" s="59">
        <f t="shared" si="42"/>
        <v>236.19146849073687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57.844633833421454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2.9235042735042733</v>
      </c>
      <c r="DO27" s="12">
        <f>IF('Données projet'!$A$166&gt;35,DO26+DN27-DW26,IF(A27&lt;'Données projet'!$A$166,$DL$205^A27,IF(A27='Données projet'!$A$166,'Données projet'!$B$166,DO26+DN27-DW26)))</f>
        <v>35.844290647096855</v>
      </c>
      <c r="DP27" s="17">
        <f>DO27*VLOOKUP('Données projet'!$B$14,Paramètres!$A$1:$I$89,3,0)*VLOOKUP('Données projet'!$B$14,Paramètres!$A$1:$I$89,5,0)</f>
        <v>38.582794452535055</v>
      </c>
      <c r="DQ27" s="13">
        <f t="shared" si="43"/>
        <v>11.622231449165159</v>
      </c>
      <c r="DR27" s="20">
        <f t="shared" si="16"/>
        <v>87.440420112127867</v>
      </c>
      <c r="DS27" s="59">
        <f t="shared" si="17"/>
        <v>328.87074416800658</v>
      </c>
      <c r="DT27" s="59">
        <f ca="1">AVERAGE(OFFSET($DS$3,0,0,'Données projet'!$E$14+1,1))-AVERAGE(OFFSET($H$3,0,0,'Données projet'!$E$14+1,1))</f>
        <v>434.77799524785502</v>
      </c>
      <c r="DU27" s="59">
        <f t="shared" si="44"/>
        <v>259.85949838170006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57.844633833421454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2.9235042735042733</v>
      </c>
      <c r="EJ27" s="12">
        <f>IF('Données projet'!$A$192&gt;35,EJ26+EI27-ER26,IF(A27&lt;'Données projet'!$A$192,$EG$205^A27,IF(A27='Données projet'!$A$192,'Données projet'!$B$192,EJ26+EI27-ER26)))</f>
        <v>35.844290647096855</v>
      </c>
      <c r="EK27" s="17">
        <f>EJ27*VLOOKUP('Données projet'!$B$15,Paramètres!$A$1:$I$89,3,0)*VLOOKUP('Données projet'!$B$15,Paramètres!$A$1:$I$89,5,0)</f>
        <v>34.668597913872084</v>
      </c>
      <c r="EL27" s="13">
        <f t="shared" si="45"/>
        <v>10.57401105565104</v>
      </c>
      <c r="EM27" s="20">
        <f t="shared" si="19"/>
        <v>78.797543955252777</v>
      </c>
      <c r="EN27" s="59">
        <f t="shared" si="20"/>
        <v>320.22786801113148</v>
      </c>
      <c r="EO27" s="59">
        <f ca="1">AVERAGE(OFFSET($EN$3,0,0,'Données projet'!$E$15+1,1))-AVERAGE(OFFSET($H$3,0,0,'Données projet'!$E$15+1,1))</f>
        <v>398.06270423055565</v>
      </c>
      <c r="EP27" s="59">
        <f t="shared" si="46"/>
        <v>239.15364562040614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57.844633833421454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19.071794871794875</v>
      </c>
      <c r="FE27" s="12">
        <f>IF('Données projet'!$A$218&gt;35,FE26+FD27-FM26,IF(A27&lt;'Données projet'!$A$218,$FB$205^A27,IF(A27='Données projet'!$A$218,'Données projet'!$B$218,FE26+FD27-FM26)))</f>
        <v>211.2717948717949</v>
      </c>
      <c r="FF27" s="17">
        <f>FE27*VLOOKUP('Données projet'!$B$16,Paramètres!$A$1:$I$89,3,0)*VLOOKUP('Données projet'!$B$16,Paramètres!$A$1:$I$89,5,0)</f>
        <v>126.34053333333337</v>
      </c>
      <c r="FG27" s="13">
        <f t="shared" si="47"/>
        <v>33.149363946532553</v>
      </c>
      <c r="FH27" s="20">
        <f t="shared" si="22"/>
        <v>277.77823776243309</v>
      </c>
      <c r="FI27" s="59">
        <f t="shared" si="23"/>
        <v>519.20856181831175</v>
      </c>
      <c r="FJ27" s="59">
        <f ca="1">AVERAGE(OFFSET($FI$3,0,0,'Données projet'!$E$16+1,1))-AVERAGE(OFFSET($H$3,0,0,'Données projet'!$E$16+1,1))</f>
        <v>334.13861979962491</v>
      </c>
      <c r="FK27" s="59">
        <f t="shared" si="48"/>
        <v>416.48635183664305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16.407315422913126</v>
      </c>
      <c r="FS27" s="21">
        <f>EXP(-LN(2)/2)*FS26+(1-EXP(-LN(2)/2))/(LN(2)/2)*FM27*FP27*VLOOKUP('Données projet'!$B$16,Paramètres!$A$1:$I$89,3,0)*0.475*44/12</f>
        <v>4.2842741465751999</v>
      </c>
      <c r="FT27" s="22">
        <f t="shared" si="24"/>
        <v>20.691589569488325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57.844633833421454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7.2264102564102561</v>
      </c>
      <c r="FZ27" s="12">
        <f>IF('Données projet'!$A$244&gt;35,FZ26+FY27-GH26,IF(A27&lt;'Données projet'!$A$244,$FW$205^A27,IF(A27='Données projet'!$A$244,'Données projet'!$B$244,FZ26+FY27-GH26)))</f>
        <v>73.932449391789717</v>
      </c>
      <c r="GA27" s="17">
        <f>FZ27*VLOOKUP('Données projet'!$B$17,Paramètres!$A$1:$I$89,3,0)*VLOOKUP('Données projet'!$B$17,Paramètres!$A$1:$I$89,5,0)</f>
        <v>34.600386315357589</v>
      </c>
      <c r="GB27" s="13">
        <f t="shared" si="49"/>
        <v>10.555625905490055</v>
      </c>
      <c r="GC27" s="20">
        <f t="shared" si="25"/>
        <v>78.646721284642979</v>
      </c>
      <c r="GD27" s="59">
        <f t="shared" si="26"/>
        <v>320.07704534052164</v>
      </c>
      <c r="GE27" s="59">
        <f ca="1">AVERAGE(OFFSET($GD$3,0,0,'Données projet'!$E$17+1,1))-AVERAGE(OFFSET($H$3,0,0,'Données projet'!$E$17+1,1))</f>
        <v>317.79829681023142</v>
      </c>
      <c r="GF27" s="59">
        <f t="shared" si="50"/>
        <v>275.07716943523621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57.844633833421454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16.687912087912089</v>
      </c>
      <c r="GU27" s="12">
        <f>IF('Données projet'!$A$270&gt;35,GU26+GT27-HC26,IF(A27&lt;'Données projet'!$A$270,$GR$205^A27,IF(A27='Données projet'!$A$270,'Données projet'!$B$270,GU26+GT27-HC26)))</f>
        <v>168.95604395604391</v>
      </c>
      <c r="GV27" s="17">
        <f>GU27*VLOOKUP('Données projet'!$B$18,Paramètres!$A$1:$I$89,3,0)*VLOOKUP('Données projet'!$B$18,Paramètres!$A$1:$I$89,5,0)</f>
        <v>94.446428571428541</v>
      </c>
      <c r="GW27" s="13">
        <f t="shared" si="51"/>
        <v>25.63456829651156</v>
      </c>
      <c r="GX27" s="20">
        <f t="shared" si="28"/>
        <v>209.14106954499564</v>
      </c>
      <c r="GY27" s="59">
        <f t="shared" si="29"/>
        <v>450.57139360087433</v>
      </c>
      <c r="GZ27" s="59">
        <f ca="1">AVERAGE(OFFSET($GY$3,0,0,'Données projet'!$E$18+1,1))-AVERAGE(OFFSET($H$3,0,0,'Données projet'!$E$18+1,1))</f>
        <v>336.21787234885699</v>
      </c>
      <c r="HA27" s="59">
        <f t="shared" si="52"/>
        <v>315.36156736899113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12.805216993145141</v>
      </c>
      <c r="HI27" s="21">
        <f>EXP(-LN(2)/2)*HI26+(1-EXP(-LN(2)/2))/(LN(2)/2)*HC27*HF27*VLOOKUP('Données projet'!$B$18,Paramètres!$A$1:$I$89,3,0)*0.475*44/12</f>
        <v>6.0226558775337109</v>
      </c>
      <c r="HJ27" s="22">
        <f t="shared" si="30"/>
        <v>18.827872870678853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3.7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13.566666666666668</v>
      </c>
      <c r="H28" s="67">
        <f t="shared" si="1"/>
        <v>202.4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58.055502261083987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354.92501199912709</v>
      </c>
      <c r="S28" s="59">
        <f ca="1">AVERAGE(OFFSET($R$3,0,0,'Données projet'!$E$9+1,1))-AVERAGE(OFFSET($H$3,0,0,'Données projet'!$E$9+1,1))</f>
        <v>411.64357329340851</v>
      </c>
      <c r="T28" s="59">
        <f t="shared" si="34"/>
        <v>294.07942258675632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58.055502261083987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4.0628205128205126</v>
      </c>
      <c r="AI28" s="13">
        <f>IF('Données projet'!$A$62&gt;35,AI27+AH28-AQ27,IF(A28&lt;'Données projet'!$A$62,$AF$205^A28,IF(A28='Données projet'!$A$62,'Données projet'!$B$62,AI27+AH28-AQ27)))</f>
        <v>54.738229068051083</v>
      </c>
      <c r="AJ28" s="13">
        <f>AI28*VLOOKUP('Données projet'!$B$10,Paramètres!$A$1:$I$89,3,0)*VLOOKUP('Données projet'!$B$10,Paramètres!$A$1:$I$89,5,0)</f>
        <v>55.504564275003808</v>
      </c>
      <c r="AK28" s="13">
        <f t="shared" si="35"/>
        <v>16.026581711739372</v>
      </c>
      <c r="AL28" s="20">
        <f t="shared" si="4"/>
        <v>124.58341259357769</v>
      </c>
      <c r="AM28" s="59">
        <f t="shared" si="5"/>
        <v>368.00914310644123</v>
      </c>
      <c r="AN28" s="59">
        <f ca="1">AVERAGE(OFFSET($AM$3,0,0,'Données projet'!$E$10+1,1))-AVERAGE(OFFSET($H$3,0,0,'Données projet'!$E$10+1,1))</f>
        <v>453.05577105995508</v>
      </c>
      <c r="AO28" s="59">
        <f t="shared" si="36"/>
        <v>322.6839824496758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58.055502261083987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1.8914529914529912</v>
      </c>
      <c r="BD28" s="12">
        <f>IF('Données projet'!$A$88&gt;35,BD27+BC28-BL27,IF(A28&lt;'Données projet'!$A$88,$BA$205^A28,IF(A28='Données projet'!$A$88,'Données projet'!$B$88,BD27+BC28-BL27)))</f>
        <v>28.946585285905964</v>
      </c>
      <c r="BE28" s="13">
        <f>BD28*VLOOKUP('Données projet'!$B$11,Paramètres!$A$1:$I$89,3,0)*VLOOKUP('Données projet'!$B$11,Paramètres!$A$1:$I$89,5,0)</f>
        <v>28.900270749448513</v>
      </c>
      <c r="BF28" s="13">
        <f t="shared" si="37"/>
        <v>9.0033678366203826</v>
      </c>
      <c r="BG28" s="20">
        <f t="shared" si="7"/>
        <v>66.015503870736651</v>
      </c>
      <c r="BH28" s="59">
        <f t="shared" si="8"/>
        <v>309.44123438360015</v>
      </c>
      <c r="BI28" s="59">
        <f ca="1">AVERAGE(OFFSET($BH$3,0,0,'Données projet'!$E$11+1,1))-AVERAGE(OFFSET($H$3,0,0,'Données projet'!$E$11+1,1))</f>
        <v>411.38162678377478</v>
      </c>
      <c r="BJ28" s="59">
        <f t="shared" si="38"/>
        <v>177.89903563360403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58.055502261083987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98</v>
      </c>
      <c r="BW28" s="12">
        <f>VLOOKUP(A28,'Données projet'!$A$113:$I$133,9,0)</f>
        <v>8</v>
      </c>
      <c r="BX28" s="12">
        <f t="array" ref="BX28">INDEX(BW:BW,MIN(IF(ISNUMBER(BW28:BW224),ROW(BW28:BW224),"")))</f>
        <v>8</v>
      </c>
      <c r="BY28" s="12">
        <f>IF('Données projet'!$A$114&gt;35,BY27+BX28-CG27,IF(A28&lt;'Données projet'!$A$114,$BV$205^A28,IF(A28='Données projet'!$A$114,'Données projet'!$B$114,BY27+BX28-CG27)))</f>
        <v>98</v>
      </c>
      <c r="BZ28" s="13">
        <f>BY28*VLOOKUP('Données projet'!$B$12,Paramètres!$A$1:$I$89,3,0)*VLOOKUP('Données projet'!$B$12,Paramètres!$A$1:$I$89,5,0)</f>
        <v>102.42960000000002</v>
      </c>
      <c r="CA28" s="13">
        <f t="shared" si="39"/>
        <v>27.540005085928001</v>
      </c>
      <c r="CB28" s="20">
        <f t="shared" si="10"/>
        <v>226.3637288579913</v>
      </c>
      <c r="CC28" s="59">
        <f t="shared" si="11"/>
        <v>469.78945937085484</v>
      </c>
      <c r="CD28" s="59">
        <f ca="1">AVERAGE(OFFSET($CC$3,0,0,'Données projet'!$E$12+1,1))-AVERAGE(OFFSET($H$3,0,0,'Données projet'!$E$12+1,1))</f>
        <v>374.38550202939507</v>
      </c>
      <c r="CE28" s="59">
        <f t="shared" si="40"/>
        <v>324.37486924296718</v>
      </c>
      <c r="CF28" s="15">
        <f>IF(ISNA(VLOOKUP(A28,'Données projet'!$A$113:$I$133,3,0)),0,VLOOKUP(A28,'Données projet'!$A$113:$I$133,3,0))</f>
        <v>2</v>
      </c>
      <c r="CG28" s="15" t="str">
        <f>IF(ISNA(VLOOKUP(A28,'Données projet'!$A$113:$I$133,4,0)),0,VLOOKUP(A28,'Données projet'!$A$113:$I$133,4,0))</f>
        <v>19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58.055502261083987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2.9235042735042733</v>
      </c>
      <c r="CT28" s="12">
        <f>IF('Données projet'!$A$140&gt;35,CT27+CS28-DB27,IF(A28&lt;'Données projet'!$A$140,$CQ$205^A28,IF(A28='Données projet'!$A$140,'Données projet'!$B$140,CT27+CS28-DB27)))</f>
        <v>41.609020251295185</v>
      </c>
      <c r="CU28" s="17">
        <f>CT28*VLOOKUP('Données projet'!$B$13,Paramètres!$A$1:$I$89,3,0)*VLOOKUP('Données projet'!$B$13,Paramètres!$A$1:$I$89,5,0)</f>
        <v>39.595143671132497</v>
      </c>
      <c r="CV28" s="13">
        <f t="shared" si="41"/>
        <v>11.891276241732113</v>
      </c>
      <c r="CW28" s="20">
        <f t="shared" si="13"/>
        <v>89.672181348239192</v>
      </c>
      <c r="CX28" s="59">
        <f t="shared" si="14"/>
        <v>333.09791186110272</v>
      </c>
      <c r="CY28" s="59">
        <f ca="1">AVERAGE(OFFSET($CX$3,0,0,'Données projet'!$E$13+1,1))-AVERAGE(OFFSET($H$3,0,0,'Données projet'!$E$13+1,1))</f>
        <v>392.81074187112989</v>
      </c>
      <c r="CZ28" s="59">
        <f t="shared" si="42"/>
        <v>236.19146849073687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58.055502261083987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2.9235042735042733</v>
      </c>
      <c r="DO28" s="12">
        <f>IF('Données projet'!$A$166&gt;35,DO27+DN28-DW27,IF(A28&lt;'Données projet'!$A$166,$DL$205^A28,IF(A28='Données projet'!$A$166,'Données projet'!$B$166,DO27+DN28-DW27)))</f>
        <v>41.609020251295185</v>
      </c>
      <c r="DP28" s="17">
        <f>DO28*VLOOKUP('Données projet'!$B$14,Paramètres!$A$1:$I$89,3,0)*VLOOKUP('Données projet'!$B$14,Paramètres!$A$1:$I$89,5,0)</f>
        <v>44.787949398494135</v>
      </c>
      <c r="DQ28" s="13">
        <f t="shared" si="43"/>
        <v>13.259223234279354</v>
      </c>
      <c r="DR28" s="20">
        <f t="shared" si="16"/>
        <v>101.09882566874715</v>
      </c>
      <c r="DS28" s="59">
        <f t="shared" si="17"/>
        <v>344.52455618161065</v>
      </c>
      <c r="DT28" s="59">
        <f ca="1">AVERAGE(OFFSET($DS$3,0,0,'Données projet'!$E$14+1,1))-AVERAGE(OFFSET($H$3,0,0,'Données projet'!$E$14+1,1))</f>
        <v>434.77799524785502</v>
      </c>
      <c r="DU28" s="59">
        <f t="shared" si="44"/>
        <v>259.85949838170006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58.055502261083987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2.9235042735042733</v>
      </c>
      <c r="EJ28" s="12">
        <f>IF('Données projet'!$A$192&gt;35,EJ27+EI28-ER27,IF(A28&lt;'Données projet'!$A$192,$EG$205^A28,IF(A28='Données projet'!$A$192,'Données projet'!$B$192,EJ27+EI28-ER27)))</f>
        <v>41.609020251295185</v>
      </c>
      <c r="EK28" s="17">
        <f>EJ28*VLOOKUP('Données projet'!$B$15,Paramètres!$A$1:$I$89,3,0)*VLOOKUP('Données projet'!$B$15,Paramètres!$A$1:$I$89,5,0)</f>
        <v>40.244244387052703</v>
      </c>
      <c r="EL28" s="13">
        <f t="shared" si="45"/>
        <v>12.063360954551117</v>
      </c>
      <c r="EM28" s="20">
        <f t="shared" si="19"/>
        <v>91.102412636626653</v>
      </c>
      <c r="EN28" s="59">
        <f t="shared" si="20"/>
        <v>334.52814314949018</v>
      </c>
      <c r="EO28" s="59">
        <f ca="1">AVERAGE(OFFSET($EN$3,0,0,'Données projet'!$E$15+1,1))-AVERAGE(OFFSET($H$3,0,0,'Données projet'!$E$15+1,1))</f>
        <v>398.06270423055565</v>
      </c>
      <c r="EP28" s="59">
        <f t="shared" si="46"/>
        <v>239.15364562040614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58.055502261083987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19.071794871794875</v>
      </c>
      <c r="FE28" s="12">
        <f>IF('Données projet'!$A$218&gt;35,FE27+FD28-FM27,IF(A28&lt;'Données projet'!$A$218,$FB$205^A28,IF(A28='Données projet'!$A$218,'Données projet'!$B$218,FE27+FD28-FM27)))</f>
        <v>230.34358974358977</v>
      </c>
      <c r="FF28" s="17">
        <f>FE28*VLOOKUP('Données projet'!$B$16,Paramètres!$A$1:$I$89,3,0)*VLOOKUP('Données projet'!$B$16,Paramètres!$A$1:$I$89,5,0)</f>
        <v>137.74546666666669</v>
      </c>
      <c r="FG28" s="13">
        <f t="shared" si="47"/>
        <v>35.780036573255778</v>
      </c>
      <c r="FH28" s="20">
        <f t="shared" si="22"/>
        <v>302.22358480953159</v>
      </c>
      <c r="FI28" s="59">
        <f t="shared" si="23"/>
        <v>545.64931532239507</v>
      </c>
      <c r="FJ28" s="59">
        <f ca="1">AVERAGE(OFFSET($FI$3,0,0,'Données projet'!$E$16+1,1))-AVERAGE(OFFSET($H$3,0,0,'Données projet'!$E$16+1,1))</f>
        <v>334.13861979962491</v>
      </c>
      <c r="FK28" s="59">
        <f t="shared" si="48"/>
        <v>416.48635183664305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15.958656519850347</v>
      </c>
      <c r="FS28" s="21">
        <f>EXP(-LN(2)/2)*FS27+(1-EXP(-LN(2)/2))/(LN(2)/2)*FM28*FP28*VLOOKUP('Données projet'!$B$16,Paramètres!$A$1:$I$89,3,0)*0.475*44/12</f>
        <v>3.0294393015055325</v>
      </c>
      <c r="FT28" s="22">
        <f t="shared" si="24"/>
        <v>18.988095821355881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58.055502261083987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7.2264102564102561</v>
      </c>
      <c r="FZ28" s="12">
        <f>IF('Données projet'!$A$244&gt;35,FZ27+FY28-GH27,IF(A28&lt;'Données projet'!$A$244,$FW$205^A28,IF(A28='Données projet'!$A$244,'Données projet'!$B$244,FZ27+FY28-GH27)))</f>
        <v>88.451097014195071</v>
      </c>
      <c r="GA28" s="17">
        <f>FZ28*VLOOKUP('Données projet'!$B$17,Paramètres!$A$1:$I$89,3,0)*VLOOKUP('Données projet'!$B$17,Paramètres!$A$1:$I$89,5,0)</f>
        <v>41.39511340264329</v>
      </c>
      <c r="GB28" s="13">
        <f t="shared" si="49"/>
        <v>12.367680831528276</v>
      </c>
      <c r="GC28" s="20">
        <f t="shared" si="25"/>
        <v>93.636866624515463</v>
      </c>
      <c r="GD28" s="59">
        <f t="shared" si="26"/>
        <v>337.06259713737899</v>
      </c>
      <c r="GE28" s="59">
        <f ca="1">AVERAGE(OFFSET($GD$3,0,0,'Données projet'!$E$17+1,1))-AVERAGE(OFFSET($H$3,0,0,'Données projet'!$E$17+1,1))</f>
        <v>317.79829681023142</v>
      </c>
      <c r="GF28" s="59">
        <f t="shared" si="50"/>
        <v>275.07716943523621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58.055502261083987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16.687912087912089</v>
      </c>
      <c r="GU28" s="12">
        <f>IF('Données projet'!$A$270&gt;35,GU27+GT28-HC27,IF(A28&lt;'Données projet'!$A$270,$GR$205^A28,IF(A28='Données projet'!$A$270,'Données projet'!$B$270,GU27+GT28-HC27)))</f>
        <v>185.643956043956</v>
      </c>
      <c r="GV28" s="17">
        <f>GU28*VLOOKUP('Données projet'!$B$18,Paramètres!$A$1:$I$89,3,0)*VLOOKUP('Données projet'!$B$18,Paramètres!$A$1:$I$89,5,0)</f>
        <v>103.7749714285714</v>
      </c>
      <c r="GW28" s="13">
        <f t="shared" si="51"/>
        <v>27.859383782043167</v>
      </c>
      <c r="GX28" s="20">
        <f t="shared" si="28"/>
        <v>229.26316865848699</v>
      </c>
      <c r="GY28" s="59">
        <f t="shared" si="29"/>
        <v>472.6888991713505</v>
      </c>
      <c r="GZ28" s="59">
        <f ca="1">AVERAGE(OFFSET($GY$3,0,0,'Données projet'!$E$18+1,1))-AVERAGE(OFFSET($H$3,0,0,'Données projet'!$E$18+1,1))</f>
        <v>336.21787234885699</v>
      </c>
      <c r="HA28" s="59">
        <f t="shared" si="52"/>
        <v>315.36156736899113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12.455057661070493</v>
      </c>
      <c r="HI28" s="21">
        <f>EXP(-LN(2)/2)*HI27+(1-EXP(-LN(2)/2))/(LN(2)/2)*HC28*HF28*VLOOKUP('Données projet'!$B$18,Paramètres!$A$1:$I$89,3,0)*0.475*44/12</f>
        <v>4.2586608117571041</v>
      </c>
      <c r="HJ28" s="22">
        <f t="shared" si="30"/>
        <v>16.713718472827598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3.7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13.566666666666668</v>
      </c>
      <c r="H29" s="67">
        <f t="shared" si="1"/>
        <v>202.4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58.262712592957783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375.71983557583508</v>
      </c>
      <c r="S29" s="59">
        <f ca="1">AVERAGE(OFFSET($R$3,0,0,'Données projet'!$E$9+1,1))-AVERAGE(OFFSET($H$3,0,0,'Données projet'!$E$9+1,1))</f>
        <v>411.64357329340851</v>
      </c>
      <c r="T29" s="59">
        <f t="shared" si="34"/>
        <v>294.07942258675632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58.262712592957783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4.0628205128205126</v>
      </c>
      <c r="AI29" s="13">
        <f>IF('Données projet'!$A$62&gt;35,AI28+AH29-AQ28,IF(A29&lt;'Données projet'!$A$62,$AF$205^A29,IF(A29='Données projet'!$A$62,'Données projet'!$B$62,AI28+AH29-AQ28)))</f>
        <v>64.242491006222849</v>
      </c>
      <c r="AJ29" s="13">
        <f>AI29*VLOOKUP('Données projet'!$B$10,Paramètres!$A$1:$I$89,3,0)*VLOOKUP('Données projet'!$B$10,Paramètres!$A$1:$I$89,5,0)</f>
        <v>65.141885880309971</v>
      </c>
      <c r="AK29" s="13">
        <f t="shared" si="35"/>
        <v>18.462012902656809</v>
      </c>
      <c r="AL29" s="20">
        <f t="shared" si="4"/>
        <v>145.61012371366715</v>
      </c>
      <c r="AM29" s="59">
        <f t="shared" si="5"/>
        <v>391.01784766562344</v>
      </c>
      <c r="AN29" s="59">
        <f ca="1">AVERAGE(OFFSET($AM$3,0,0,'Données projet'!$E$10+1,1))-AVERAGE(OFFSET($H$3,0,0,'Données projet'!$E$10+1,1))</f>
        <v>453.05577105995508</v>
      </c>
      <c r="AO29" s="59">
        <f t="shared" si="36"/>
        <v>322.6839824496758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58.262712592957783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1.8914529914529912</v>
      </c>
      <c r="BD29" s="12">
        <f>IF('Données projet'!$A$88&gt;35,BD28+BC29-BL28,IF(A29&lt;'Données projet'!$A$88,$BA$205^A29,IF(A29='Données projet'!$A$88,'Données projet'!$B$88,BD28+BC29-BL28)))</f>
        <v>33.117781207039634</v>
      </c>
      <c r="BE29" s="13">
        <f>BD29*VLOOKUP('Données projet'!$B$11,Paramètres!$A$1:$I$89,3,0)*VLOOKUP('Données projet'!$B$11,Paramètres!$A$1:$I$89,5,0)</f>
        <v>33.064792757108371</v>
      </c>
      <c r="BF29" s="13">
        <f t="shared" si="37"/>
        <v>10.140600887739954</v>
      </c>
      <c r="BG29" s="20">
        <f t="shared" si="7"/>
        <v>75.249393931444175</v>
      </c>
      <c r="BH29" s="59">
        <f t="shared" si="8"/>
        <v>320.65711788340047</v>
      </c>
      <c r="BI29" s="59">
        <f ca="1">AVERAGE(OFFSET($BH$3,0,0,'Données projet'!$E$11+1,1))-AVERAGE(OFFSET($H$3,0,0,'Données projet'!$E$11+1,1))</f>
        <v>411.38162678377478</v>
      </c>
      <c r="BJ29" s="59">
        <f t="shared" si="38"/>
        <v>177.89903563360403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58.262712592957783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</v>
      </c>
      <c r="BY29" s="12">
        <f>IF('Données projet'!$A$114&gt;35,BY28+BX29-CG28,IF(A29&lt;'Données projet'!$A$114,$BV$205^A29,IF(A29='Données projet'!$A$114,'Données projet'!$B$114,BY28+BX29-CG28)))</f>
        <v>87</v>
      </c>
      <c r="BZ29" s="13">
        <f>BY29*VLOOKUP('Données projet'!$B$12,Paramètres!$A$1:$I$89,3,0)*VLOOKUP('Données projet'!$B$12,Paramètres!$A$1:$I$89,5,0)</f>
        <v>90.932400000000015</v>
      </c>
      <c r="CA29" s="13">
        <f t="shared" si="39"/>
        <v>24.78996235436804</v>
      </c>
      <c r="CB29" s="20">
        <f t="shared" si="10"/>
        <v>201.54978110052437</v>
      </c>
      <c r="CC29" s="59">
        <f t="shared" si="11"/>
        <v>446.95750505248066</v>
      </c>
      <c r="CD29" s="59">
        <f ca="1">AVERAGE(OFFSET($CC$3,0,0,'Données projet'!$E$12+1,1))-AVERAGE(OFFSET($H$3,0,0,'Données projet'!$E$12+1,1))</f>
        <v>374.38550202939507</v>
      </c>
      <c r="CE29" s="59">
        <f t="shared" si="40"/>
        <v>324.37486924296718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58.262712592957783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2.9235042735042733</v>
      </c>
      <c r="CT29" s="12">
        <f>IF('Données projet'!$A$140&gt;35,CT28+CS29-DB28,IF(A29&lt;'Données projet'!$A$140,$CQ$205^A29,IF(A29='Données projet'!$A$140,'Données projet'!$B$140,CT28+CS29-DB28)))</f>
        <v>48.30087400300993</v>
      </c>
      <c r="CU29" s="17">
        <f>CT29*VLOOKUP('Données projet'!$B$13,Paramètres!$A$1:$I$89,3,0)*VLOOKUP('Données projet'!$B$13,Paramètres!$A$1:$I$89,5,0)</f>
        <v>45.963111701264246</v>
      </c>
      <c r="CV29" s="13">
        <f t="shared" si="41"/>
        <v>13.566162997118258</v>
      </c>
      <c r="CW29" s="20">
        <f t="shared" si="13"/>
        <v>103.68015343301619</v>
      </c>
      <c r="CX29" s="59">
        <f t="shared" si="14"/>
        <v>349.0878773849725</v>
      </c>
      <c r="CY29" s="59">
        <f ca="1">AVERAGE(OFFSET($CX$3,0,0,'Données projet'!$E$13+1,1))-AVERAGE(OFFSET($H$3,0,0,'Données projet'!$E$13+1,1))</f>
        <v>392.81074187112989</v>
      </c>
      <c r="CZ29" s="59">
        <f t="shared" si="42"/>
        <v>236.19146849073687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58.262712592957783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2.9235042735042733</v>
      </c>
      <c r="DO29" s="12">
        <f>IF('Données projet'!$A$166&gt;35,DO28+DN29-DW28,IF(A29&lt;'Données projet'!$A$166,$DL$205^A29,IF(A29='Données projet'!$A$166,'Données projet'!$B$166,DO28+DN29-DW28)))</f>
        <v>48.30087400300993</v>
      </c>
      <c r="DP29" s="17">
        <f>DO29*VLOOKUP('Données projet'!$B$14,Paramètres!$A$1:$I$89,3,0)*VLOOKUP('Données projet'!$B$14,Paramètres!$A$1:$I$89,5,0)</f>
        <v>51.99106077683988</v>
      </c>
      <c r="DQ29" s="13">
        <f t="shared" si="43"/>
        <v>15.126785380709476</v>
      </c>
      <c r="DR29" s="20">
        <f t="shared" si="16"/>
        <v>116.89691539106512</v>
      </c>
      <c r="DS29" s="59">
        <f t="shared" si="17"/>
        <v>362.30463934302145</v>
      </c>
      <c r="DT29" s="59">
        <f ca="1">AVERAGE(OFFSET($DS$3,0,0,'Données projet'!$E$14+1,1))-AVERAGE(OFFSET($H$3,0,0,'Données projet'!$E$14+1,1))</f>
        <v>434.77799524785502</v>
      </c>
      <c r="DU29" s="59">
        <f t="shared" si="44"/>
        <v>259.85949838170006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58.262712592957783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2.9235042735042733</v>
      </c>
      <c r="EJ29" s="12">
        <f>IF('Données projet'!$A$192&gt;35,EJ28+EI29-ER28,IF(A29&lt;'Données projet'!$A$192,$EG$205^A29,IF(A29='Données projet'!$A$192,'Données projet'!$B$192,EJ28+EI29-ER28)))</f>
        <v>48.30087400300993</v>
      </c>
      <c r="EK29" s="17">
        <f>EJ29*VLOOKUP('Données projet'!$B$15,Paramètres!$A$1:$I$89,3,0)*VLOOKUP('Données projet'!$B$15,Paramètres!$A$1:$I$89,5,0)</f>
        <v>46.716605335711208</v>
      </c>
      <c r="EL29" s="13">
        <f t="shared" si="45"/>
        <v>13.762485848926369</v>
      </c>
      <c r="EM29" s="20">
        <f t="shared" si="19"/>
        <v>105.3344171465771</v>
      </c>
      <c r="EN29" s="59">
        <f t="shared" si="20"/>
        <v>350.74214109853341</v>
      </c>
      <c r="EO29" s="59">
        <f ca="1">AVERAGE(OFFSET($EN$3,0,0,'Données projet'!$E$15+1,1))-AVERAGE(OFFSET($H$3,0,0,'Données projet'!$E$15+1,1))</f>
        <v>398.06270423055565</v>
      </c>
      <c r="EP29" s="59">
        <f t="shared" si="46"/>
        <v>239.15364562040614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58.262712592957783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>
        <f>VLOOKUP(A29,'Données projet'!$A$217:$I$237,2,0)</f>
        <v>249.41538461538462</v>
      </c>
      <c r="FC29" s="12">
        <f>VLOOKUP(A29,'Données projet'!$A$217:$I$237,9,0)</f>
        <v>19.071794871794875</v>
      </c>
      <c r="FD29" s="12">
        <f t="array" ref="FD29">INDEX(FC:FC,MIN(IF(ISNUMBER(FC29:FC225),ROW(FC29:FC225),"")))</f>
        <v>19.071794871794875</v>
      </c>
      <c r="FE29" s="12">
        <f>IF('Données projet'!$A$218&gt;35,FE28+FD29-FM28,IF(A29&lt;'Données projet'!$A$218,$FB$205^A29,IF(A29='Données projet'!$A$218,'Données projet'!$B$218,FE28+FD29-FM28)))</f>
        <v>249.41538461538465</v>
      </c>
      <c r="FF29" s="17">
        <f>FE29*VLOOKUP('Données projet'!$B$16,Paramètres!$A$1:$I$89,3,0)*VLOOKUP('Données projet'!$B$16,Paramètres!$A$1:$I$89,5,0)</f>
        <v>149.15040000000002</v>
      </c>
      <c r="FG29" s="13">
        <f t="shared" si="47"/>
        <v>38.385447191571515</v>
      </c>
      <c r="FH29" s="20">
        <f t="shared" si="22"/>
        <v>326.62493385865372</v>
      </c>
      <c r="FI29" s="59">
        <f t="shared" si="23"/>
        <v>572.03265781061009</v>
      </c>
      <c r="FJ29" s="59">
        <f ca="1">AVERAGE(OFFSET($FI$3,0,0,'Données projet'!$E$16+1,1))-AVERAGE(OFFSET($H$3,0,0,'Données projet'!$E$16+1,1))</f>
        <v>334.13861979962491</v>
      </c>
      <c r="FK29" s="59">
        <f t="shared" si="48"/>
        <v>416.48635183664305</v>
      </c>
      <c r="FL29" s="15">
        <f>IF(ISNA(VLOOKUP(A29,'Données projet'!$A$217:$I$237,3,0)),0,VLOOKUP(A29,'Données projet'!$A$217:$I$237,3,0))</f>
        <v>3</v>
      </c>
      <c r="FM29" s="15">
        <f>IF(ISNA(VLOOKUP(A29,'Données projet'!$A$217:$I$237,4,0)),0,VLOOKUP(A29,'Données projet'!$A$217:$I$237,4,0))</f>
        <v>46.984615384615381</v>
      </c>
      <c r="FN29" s="16">
        <f>IF(ISNA(VLOOKUP(A29,'Données projet'!$A$217:$I$237,5,0)),0%,VLOOKUP(A29,'Données projet'!$A$217:$I$237,5,0)*VLOOKUP('Données projet'!$B$16,Paramètres!$A$1:$I$89,7,0))</f>
        <v>0.315</v>
      </c>
      <c r="FO29" s="16">
        <f>IF(ISNA(VLOOKUP(A29,'Données projet'!$A$217:$I$237,6,0)),0%,VLOOKUP(A29,'Données projet'!$A$217:$I$237,6,0)*VLOOKUP('Données projet'!$B$16,Paramètres!$A$1:$I$89,7,0))</f>
        <v>7.5600000000000001E-2</v>
      </c>
      <c r="FP29" s="16">
        <f>IF(ISNA(VLOOKUP(A29,'Données projet'!$A$217:$I$237,7,0)),0%,VLOOKUP(A29,'Données projet'!$A$217:$I$237,7,0))</f>
        <v>0.13200000000000001</v>
      </c>
      <c r="FQ29" s="21">
        <f>EXP(-LN(2)/35)*FQ28+(1-EXP(-LN(2)/35))/(LN(2)/35)*FM29*FN29*VLOOKUP('Données projet'!$B$16,Paramètres!$A$1:$I$89,3,0)*0.475*44/12</f>
        <v>11.740748100352008</v>
      </c>
      <c r="FR29" s="21">
        <f>EXP(-LN(2)/25)*FR28+(1-EXP(-LN(2)/25))/(LN(2)/25)*Calculateur!FM29*Calculateur!FO29*VLOOKUP('Données projet'!$B$16,Paramètres!$A$1:$I$89,3,0)*0.475*44/12</f>
        <v>18.328951090447006</v>
      </c>
      <c r="FS29" s="21">
        <f>EXP(-LN(2)/2)*FS28+(1-EXP(-LN(2)/2))/(LN(2)/2)*FM29*FP29*VLOOKUP('Données projet'!$B$16,Paramètres!$A$1:$I$89,3,0)*0.475*44/12</f>
        <v>6.3413348563502918</v>
      </c>
      <c r="FT29" s="22">
        <f t="shared" si="24"/>
        <v>36.411034047149307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58.262712592957783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7.2264102564102561</v>
      </c>
      <c r="FZ29" s="12">
        <f>IF('Données projet'!$A$244&gt;35,FZ28+FY29-GH28,IF(A29&lt;'Données projet'!$A$244,$FW$205^A29,IF(A29='Données projet'!$A$244,'Données projet'!$B$244,FZ28+FY29-GH28)))</f>
        <v>105.82087604801265</v>
      </c>
      <c r="GA29" s="17">
        <f>FZ29*VLOOKUP('Données projet'!$B$17,Paramètres!$A$1:$I$89,3,0)*VLOOKUP('Données projet'!$B$17,Paramètres!$A$1:$I$89,5,0)</f>
        <v>49.524169990469915</v>
      </c>
      <c r="GB29" s="13">
        <f t="shared" si="49"/>
        <v>14.490806184311312</v>
      </c>
      <c r="GC29" s="20">
        <f t="shared" si="25"/>
        <v>111.4927501710773</v>
      </c>
      <c r="GD29" s="59">
        <f t="shared" si="26"/>
        <v>356.90047412303363</v>
      </c>
      <c r="GE29" s="59">
        <f ca="1">AVERAGE(OFFSET($GD$3,0,0,'Données projet'!$E$17+1,1))-AVERAGE(OFFSET($H$3,0,0,'Données projet'!$E$17+1,1))</f>
        <v>317.79829681023142</v>
      </c>
      <c r="GF29" s="59">
        <f t="shared" si="50"/>
        <v>275.07716943523621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58.262712592957783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16.687912087912089</v>
      </c>
      <c r="GU29" s="12">
        <f>IF('Données projet'!$A$270&gt;35,GU28+GT29-HC28,IF(A29&lt;'Données projet'!$A$270,$GR$205^A29,IF(A29='Données projet'!$A$270,'Données projet'!$B$270,GU28+GT29-HC28)))</f>
        <v>202.33186813186808</v>
      </c>
      <c r="GV29" s="17">
        <f>GU29*VLOOKUP('Données projet'!$B$18,Paramètres!$A$1:$I$89,3,0)*VLOOKUP('Données projet'!$B$18,Paramètres!$A$1:$I$89,5,0)</f>
        <v>113.10351428571425</v>
      </c>
      <c r="GW29" s="13">
        <f t="shared" si="51"/>
        <v>30.061008485627202</v>
      </c>
      <c r="GX29" s="20">
        <f t="shared" si="28"/>
        <v>249.34487716008638</v>
      </c>
      <c r="GY29" s="59">
        <f t="shared" si="29"/>
        <v>494.75260111204273</v>
      </c>
      <c r="GZ29" s="59">
        <f ca="1">AVERAGE(OFFSET($GY$3,0,0,'Données projet'!$E$18+1,1))-AVERAGE(OFFSET($H$3,0,0,'Données projet'!$E$18+1,1))</f>
        <v>336.21787234885699</v>
      </c>
      <c r="HA29" s="59">
        <f t="shared" si="52"/>
        <v>315.36156736899113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12.114473454345504</v>
      </c>
      <c r="HI29" s="21">
        <f>EXP(-LN(2)/2)*HI28+(1-EXP(-LN(2)/2))/(LN(2)/2)*HC29*HF29*VLOOKUP('Données projet'!$B$18,Paramètres!$A$1:$I$89,3,0)*0.475*44/12</f>
        <v>3.0113279387668554</v>
      </c>
      <c r="HJ29" s="22">
        <f t="shared" si="30"/>
        <v>15.12580139311236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3.7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13.566666666666668</v>
      </c>
      <c r="H30" s="67">
        <f t="shared" si="1"/>
        <v>202.4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58.466328288826446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399.68486136556282</v>
      </c>
      <c r="S30" s="59">
        <f ca="1">AVERAGE(OFFSET($R$3,0,0,'Données projet'!$E$9+1,1))-AVERAGE(OFFSET($H$3,0,0,'Données projet'!$E$9+1,1))</f>
        <v>411.64357329340851</v>
      </c>
      <c r="T30" s="59">
        <f t="shared" si="34"/>
        <v>294.07942258675632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58.466328288826446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4.0628205128205126</v>
      </c>
      <c r="AI30" s="13">
        <f>IF('Données projet'!$A$62&gt;35,AI29+AH30-AQ29,IF(A30&lt;'Données projet'!$A$62,$AF$205^A30,IF(A30='Données projet'!$A$62,'Données projet'!$B$62,AI29+AH30-AQ29)))</f>
        <v>75.396988922564091</v>
      </c>
      <c r="AJ30" s="13">
        <f>AI30*VLOOKUP('Données projet'!$B$10,Paramètres!$A$1:$I$89,3,0)*VLOOKUP('Données projet'!$B$10,Paramètres!$A$1:$I$89,5,0)</f>
        <v>76.452546767480001</v>
      </c>
      <c r="AK30" s="13">
        <f t="shared" si="35"/>
        <v>21.267537054904178</v>
      </c>
      <c r="AL30" s="20">
        <f t="shared" si="4"/>
        <v>170.19581265731912</v>
      </c>
      <c r="AM30" s="59">
        <f t="shared" si="5"/>
        <v>417.57234971634944</v>
      </c>
      <c r="AN30" s="59">
        <f ca="1">AVERAGE(OFFSET($AM$3,0,0,'Données projet'!$E$10+1,1))-AVERAGE(OFFSET($H$3,0,0,'Données projet'!$E$10+1,1))</f>
        <v>453.05577105995508</v>
      </c>
      <c r="AO30" s="59">
        <f t="shared" si="36"/>
        <v>322.6839824496758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58.466328288826446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1.8914529914529912</v>
      </c>
      <c r="BD30" s="12">
        <f>IF('Données projet'!$A$88&gt;35,BD29+BC30-BL29,IF(A30&lt;'Données projet'!$A$88,$BA$205^A30,IF(A30='Données projet'!$A$88,'Données projet'!$B$88,BD29+BC30-BL29)))</f>
        <v>37.890045449035092</v>
      </c>
      <c r="BE30" s="13">
        <f>BD30*VLOOKUP('Données projet'!$B$11,Paramètres!$A$1:$I$89,3,0)*VLOOKUP('Données projet'!$B$11,Paramètres!$A$1:$I$89,5,0)</f>
        <v>37.829421376316638</v>
      </c>
      <c r="BF30" s="13">
        <f t="shared" si="37"/>
        <v>11.421480076174749</v>
      </c>
      <c r="BG30" s="20">
        <f t="shared" si="7"/>
        <v>85.778653363089177</v>
      </c>
      <c r="BH30" s="59">
        <f t="shared" si="8"/>
        <v>333.15519042211952</v>
      </c>
      <c r="BI30" s="59">
        <f ca="1">AVERAGE(OFFSET($BH$3,0,0,'Données projet'!$E$11+1,1))-AVERAGE(OFFSET($H$3,0,0,'Données projet'!$E$11+1,1))</f>
        <v>411.38162678377478</v>
      </c>
      <c r="BJ30" s="59">
        <f t="shared" si="38"/>
        <v>177.89903563360403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58.466328288826446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</v>
      </c>
      <c r="BY30" s="12">
        <f>IF('Données projet'!$A$114&gt;35,BY29+BX30-CG29,IF(A30&lt;'Données projet'!$A$114,$BV$205^A30,IF(A30='Données projet'!$A$114,'Données projet'!$B$114,BY29+BX30-CG29)))</f>
        <v>95</v>
      </c>
      <c r="BZ30" s="13">
        <f>BY30*VLOOKUP('Données projet'!$B$12,Paramètres!$A$1:$I$89,3,0)*VLOOKUP('Données projet'!$B$12,Paramètres!$A$1:$I$89,5,0)</f>
        <v>99.294000000000011</v>
      </c>
      <c r="CA30" s="13">
        <f t="shared" si="39"/>
        <v>26.793733491718786</v>
      </c>
      <c r="CB30" s="20">
        <f t="shared" si="10"/>
        <v>219.6028024980769</v>
      </c>
      <c r="CC30" s="59">
        <f t="shared" si="11"/>
        <v>466.97933955710721</v>
      </c>
      <c r="CD30" s="59">
        <f ca="1">AVERAGE(OFFSET($CC$3,0,0,'Données projet'!$E$12+1,1))-AVERAGE(OFFSET($H$3,0,0,'Données projet'!$E$12+1,1))</f>
        <v>374.38550202939507</v>
      </c>
      <c r="CE30" s="59">
        <f t="shared" si="40"/>
        <v>324.37486924296718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58.466328288826446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2.9235042735042733</v>
      </c>
      <c r="CT30" s="12">
        <f>IF('Données projet'!$A$140&gt;35,CT29+CS30-DB29,IF(A30&lt;'Données projet'!$A$140,$CQ$205^A30,IF(A30='Données projet'!$A$140,'Données projet'!$B$140,CT29+CS30-DB29)))</f>
        <v>56.068958494210662</v>
      </c>
      <c r="CU30" s="17">
        <f>CT30*VLOOKUP('Données projet'!$B$13,Paramètres!$A$1:$I$89,3,0)*VLOOKUP('Données projet'!$B$13,Paramètres!$A$1:$I$89,5,0)</f>
        <v>53.355220903090874</v>
      </c>
      <c r="CV30" s="13">
        <f t="shared" si="41"/>
        <v>15.476957621966136</v>
      </c>
      <c r="CW30" s="20">
        <f t="shared" si="13"/>
        <v>119.88271093114093</v>
      </c>
      <c r="CX30" s="59">
        <f t="shared" si="14"/>
        <v>367.25924799017127</v>
      </c>
      <c r="CY30" s="59">
        <f ca="1">AVERAGE(OFFSET($CX$3,0,0,'Données projet'!$E$13+1,1))-AVERAGE(OFFSET($H$3,0,0,'Données projet'!$E$13+1,1))</f>
        <v>392.81074187112989</v>
      </c>
      <c r="CZ30" s="59">
        <f t="shared" si="42"/>
        <v>236.19146849073687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58.466328288826446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2.9235042735042733</v>
      </c>
      <c r="DO30" s="12">
        <f>IF('Données projet'!$A$166&gt;35,DO29+DN30-DW29,IF(A30&lt;'Données projet'!$A$166,$DL$205^A30,IF(A30='Données projet'!$A$166,'Données projet'!$B$166,DO29+DN30-DW29)))</f>
        <v>56.068958494210662</v>
      </c>
      <c r="DP30" s="17">
        <f>DO30*VLOOKUP('Données projet'!$B$14,Paramètres!$A$1:$I$89,3,0)*VLOOKUP('Données projet'!$B$14,Paramètres!$A$1:$I$89,5,0)</f>
        <v>60.352626923168359</v>
      </c>
      <c r="DQ30" s="13">
        <f t="shared" si="43"/>
        <v>17.257393733478565</v>
      </c>
      <c r="DR30" s="20">
        <f t="shared" si="16"/>
        <v>135.17078597699336</v>
      </c>
      <c r="DS30" s="59">
        <f t="shared" si="17"/>
        <v>382.54732303602367</v>
      </c>
      <c r="DT30" s="59">
        <f ca="1">AVERAGE(OFFSET($DS$3,0,0,'Données projet'!$E$14+1,1))-AVERAGE(OFFSET($H$3,0,0,'Données projet'!$E$14+1,1))</f>
        <v>434.77799524785502</v>
      </c>
      <c r="DU30" s="59">
        <f t="shared" si="44"/>
        <v>259.85949838170006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58.466328288826446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2.9235042735042733</v>
      </c>
      <c r="EJ30" s="12">
        <f>IF('Données projet'!$A$192&gt;35,EJ29+EI30-ER29,IF(A30&lt;'Données projet'!$A$192,$EG$205^A30,IF(A30='Données projet'!$A$192,'Données projet'!$B$192,EJ29+EI30-ER29)))</f>
        <v>56.068958494210662</v>
      </c>
      <c r="EK30" s="17">
        <f>EJ30*VLOOKUP('Données projet'!$B$15,Paramètres!$A$1:$I$89,3,0)*VLOOKUP('Données projet'!$B$15,Paramètres!$A$1:$I$89,5,0)</f>
        <v>54.229896655600555</v>
      </c>
      <c r="EL30" s="13">
        <f t="shared" si="45"/>
        <v>15.700932555652479</v>
      </c>
      <c r="EM30" s="20">
        <f t="shared" si="19"/>
        <v>121.79619420959904</v>
      </c>
      <c r="EN30" s="59">
        <f t="shared" si="20"/>
        <v>369.17273126862938</v>
      </c>
      <c r="EO30" s="59">
        <f ca="1">AVERAGE(OFFSET($EN$3,0,0,'Données projet'!$E$15+1,1))-AVERAGE(OFFSET($H$3,0,0,'Données projet'!$E$15+1,1))</f>
        <v>398.06270423055565</v>
      </c>
      <c r="EP30" s="59">
        <f t="shared" si="46"/>
        <v>239.15364562040614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58.466328288826446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19.393589743589743</v>
      </c>
      <c r="FE30" s="12">
        <f>IF('Données projet'!$A$218&gt;35,FE29+FD30-FM29,IF(A30&lt;'Données projet'!$A$218,$FB$205^A30,IF(A30='Données projet'!$A$218,'Données projet'!$B$218,FE29+FD30-FM29)))</f>
        <v>221.82435897435903</v>
      </c>
      <c r="FF30" s="17">
        <f>FE30*VLOOKUP('Données projet'!$B$16,Paramètres!$A$1:$I$89,3,0)*VLOOKUP('Données projet'!$B$16,Paramètres!$A$1:$I$89,5,0)</f>
        <v>132.6509666666667</v>
      </c>
      <c r="FG30" s="13">
        <f t="shared" si="47"/>
        <v>34.608198355283058</v>
      </c>
      <c r="FH30" s="20">
        <f t="shared" si="22"/>
        <v>291.30971241322919</v>
      </c>
      <c r="FI30" s="59">
        <f t="shared" si="23"/>
        <v>538.68624947225953</v>
      </c>
      <c r="FJ30" s="59">
        <f ca="1">AVERAGE(OFFSET($FI$3,0,0,'Données projet'!$E$16+1,1))-AVERAGE(OFFSET($H$3,0,0,'Données projet'!$E$16+1,1))</f>
        <v>334.13861979962491</v>
      </c>
      <c r="FK30" s="59">
        <f t="shared" si="48"/>
        <v>416.48635183664305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11.510519191253341</v>
      </c>
      <c r="FR30" s="21">
        <f>EXP(-LN(2)/25)*FR29+(1-EXP(-LN(2)/25))/(LN(2)/25)*Calculateur!FM30*Calculateur!FO30*VLOOKUP('Données projet'!$B$16,Paramètres!$A$1:$I$89,3,0)*0.475*44/12</f>
        <v>17.827744959001087</v>
      </c>
      <c r="FS30" s="21">
        <f>EXP(-LN(2)/2)*FS29+(1-EXP(-LN(2)/2))/(LN(2)/2)*FM30*FP30*VLOOKUP('Données projet'!$B$16,Paramètres!$A$1:$I$89,3,0)*0.475*44/12</f>
        <v>4.4840008786999128</v>
      </c>
      <c r="FT30" s="22">
        <f t="shared" si="24"/>
        <v>33.822265028954341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58.466328288826446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7.2264102564102561</v>
      </c>
      <c r="FZ30" s="12">
        <f>IF('Données projet'!$A$244&gt;35,FZ29+FY30-GH29,IF(A30&lt;'Données projet'!$A$244,$FW$205^A30,IF(A30='Données projet'!$A$244,'Données projet'!$B$244,FZ29+FY30-GH29)))</f>
        <v>126.60168370519743</v>
      </c>
      <c r="GA30" s="17">
        <f>FZ30*VLOOKUP('Données projet'!$B$17,Paramètres!$A$1:$I$89,3,0)*VLOOKUP('Données projet'!$B$17,Paramètres!$A$1:$I$89,5,0)</f>
        <v>59.249587974032401</v>
      </c>
      <c r="GB30" s="13">
        <f t="shared" si="49"/>
        <v>16.97840255838226</v>
      </c>
      <c r="GC30" s="20">
        <f t="shared" si="25"/>
        <v>132.76375017728887</v>
      </c>
      <c r="GD30" s="59">
        <f t="shared" si="26"/>
        <v>380.14028723631918</v>
      </c>
      <c r="GE30" s="59">
        <f ca="1">AVERAGE(OFFSET($GD$3,0,0,'Données projet'!$E$17+1,1))-AVERAGE(OFFSET($H$3,0,0,'Données projet'!$E$17+1,1))</f>
        <v>317.79829681023142</v>
      </c>
      <c r="GF30" s="59">
        <f t="shared" si="50"/>
        <v>275.07716943523621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58.466328288826446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16.687912087912089</v>
      </c>
      <c r="GU30" s="12">
        <f>IF('Données projet'!$A$270&gt;35,GU29+GT30-HC29,IF(A30&lt;'Données projet'!$A$270,$GR$205^A30,IF(A30='Données projet'!$A$270,'Données projet'!$B$270,GU29+GT30-HC29)))</f>
        <v>219.01978021978016</v>
      </c>
      <c r="GV30" s="17">
        <f>GU30*VLOOKUP('Données projet'!$B$18,Paramètres!$A$1:$I$89,3,0)*VLOOKUP('Données projet'!$B$18,Paramètres!$A$1:$I$89,5,0)</f>
        <v>122.43205714285712</v>
      </c>
      <c r="GW30" s="13">
        <f t="shared" si="51"/>
        <v>32.241572593058322</v>
      </c>
      <c r="GX30" s="20">
        <f t="shared" si="28"/>
        <v>269.38990512338603</v>
      </c>
      <c r="GY30" s="59">
        <f t="shared" si="29"/>
        <v>516.76644218241631</v>
      </c>
      <c r="GZ30" s="59">
        <f ca="1">AVERAGE(OFFSET($GY$3,0,0,'Données projet'!$E$18+1,1))-AVERAGE(OFFSET($H$3,0,0,'Données projet'!$E$18+1,1))</f>
        <v>336.21787234885699</v>
      </c>
      <c r="HA30" s="59">
        <f t="shared" si="52"/>
        <v>315.36156736899113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11.783202540663956</v>
      </c>
      <c r="HI30" s="21">
        <f>EXP(-LN(2)/2)*HI29+(1-EXP(-LN(2)/2))/(LN(2)/2)*HC30*HF30*VLOOKUP('Données projet'!$B$18,Paramètres!$A$1:$I$89,3,0)*0.475*44/12</f>
        <v>2.129330405878552</v>
      </c>
      <c r="HJ30" s="22">
        <f t="shared" si="30"/>
        <v>13.912532946542507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3.7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13.566666666666668</v>
      </c>
      <c r="H31" s="67">
        <f t="shared" si="1"/>
        <v>202.4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58.666411707588296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427.36042271122301</v>
      </c>
      <c r="S31" s="59">
        <f ca="1">AVERAGE(OFFSET($R$3,0,0,'Données projet'!$E$9+1,1))-AVERAGE(OFFSET($H$3,0,0,'Données projet'!$E$9+1,1))</f>
        <v>411.64357329340851</v>
      </c>
      <c r="T31" s="59">
        <f t="shared" si="34"/>
        <v>294.07942258675632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58.666411707588296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4.0628205128205126</v>
      </c>
      <c r="AI31" s="13">
        <f>IF('Données projet'!$A$62&gt;35,AI30+AH31-AQ30,IF(A31&lt;'Données projet'!$A$62,$AF$205^A31,IF(A31='Données projet'!$A$62,'Données projet'!$B$62,AI30+AH31-AQ30)))</f>
        <v>88.488255196060223</v>
      </c>
      <c r="AJ31" s="13">
        <f>AI31*VLOOKUP('Données projet'!$B$10,Paramètres!$A$1:$I$89,3,0)*VLOOKUP('Données projet'!$B$10,Paramètres!$A$1:$I$89,5,0)</f>
        <v>89.72709076880507</v>
      </c>
      <c r="AK31" s="13">
        <f t="shared" si="35"/>
        <v>24.499394230010086</v>
      </c>
      <c r="AL31" s="20">
        <f t="shared" si="4"/>
        <v>198.94446137293639</v>
      </c>
      <c r="AM31" s="59">
        <f t="shared" si="5"/>
        <v>448.2768598563157</v>
      </c>
      <c r="AN31" s="59">
        <f ca="1">AVERAGE(OFFSET($AM$3,0,0,'Données projet'!$E$10+1,1))-AVERAGE(OFFSET($H$3,0,0,'Données projet'!$E$10+1,1))</f>
        <v>453.05577105995508</v>
      </c>
      <c r="AO31" s="59">
        <f t="shared" si="36"/>
        <v>322.6839824496758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58.666411707588296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1.8914529914529912</v>
      </c>
      <c r="BD31" s="12">
        <f>IF('Données projet'!$A$88&gt;35,BD30+BC31-BL30,IF(A31&lt;'Données projet'!$A$88,$BA$205^A31,IF(A31='Données projet'!$A$88,'Données projet'!$B$88,BD30+BC31-BL30)))</f>
        <v>43.349991811189845</v>
      </c>
      <c r="BE31" s="13">
        <f>BD31*VLOOKUP('Données projet'!$B$11,Paramètres!$A$1:$I$89,3,0)*VLOOKUP('Données projet'!$B$11,Paramètres!$A$1:$I$89,5,0)</f>
        <v>43.280631824291945</v>
      </c>
      <c r="BF31" s="13">
        <f t="shared" si="37"/>
        <v>12.864149627284105</v>
      </c>
      <c r="BG31" s="20">
        <f t="shared" si="7"/>
        <v>97.785494361494955</v>
      </c>
      <c r="BH31" s="59">
        <f t="shared" si="8"/>
        <v>347.11789284487423</v>
      </c>
      <c r="BI31" s="59">
        <f ca="1">AVERAGE(OFFSET($BH$3,0,0,'Données projet'!$E$11+1,1))-AVERAGE(OFFSET($H$3,0,0,'Données projet'!$E$11+1,1))</f>
        <v>411.38162678377478</v>
      </c>
      <c r="BJ31" s="59">
        <f t="shared" si="38"/>
        <v>177.89903563360403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58.666411707588296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</v>
      </c>
      <c r="BY31" s="12">
        <f>IF('Données projet'!$A$114&gt;35,BY30+BX31-CG30,IF(A31&lt;'Données projet'!$A$114,$BV$205^A31,IF(A31='Données projet'!$A$114,'Données projet'!$B$114,BY30+BX31-CG30)))</f>
        <v>103</v>
      </c>
      <c r="BZ31" s="13">
        <f>BY31*VLOOKUP('Données projet'!$B$12,Paramètres!$A$1:$I$89,3,0)*VLOOKUP('Données projet'!$B$12,Paramètres!$A$1:$I$89,5,0)</f>
        <v>107.65560000000001</v>
      </c>
      <c r="CA31" s="13">
        <f t="shared" si="39"/>
        <v>28.777935004381202</v>
      </c>
      <c r="CB31" s="20">
        <f t="shared" si="10"/>
        <v>237.62174013263061</v>
      </c>
      <c r="CC31" s="59">
        <f t="shared" si="11"/>
        <v>486.95413861600991</v>
      </c>
      <c r="CD31" s="59">
        <f ca="1">AVERAGE(OFFSET($CC$3,0,0,'Données projet'!$E$12+1,1))-AVERAGE(OFFSET($H$3,0,0,'Données projet'!$E$12+1,1))</f>
        <v>374.38550202939507</v>
      </c>
      <c r="CE31" s="59">
        <f t="shared" si="40"/>
        <v>324.37486924296718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58.666411707588296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2.9235042735042733</v>
      </c>
      <c r="CT31" s="12">
        <f>IF('Données projet'!$A$140&gt;35,CT30+CS31-DB30,IF(A31&lt;'Données projet'!$A$140,$CQ$205^A31,IF(A31='Données projet'!$A$140,'Données projet'!$B$140,CT30+CS31-DB30)))</f>
        <v>65.086360682202411</v>
      </c>
      <c r="CU31" s="17">
        <f>CT31*VLOOKUP('Données projet'!$B$13,Paramètres!$A$1:$I$89,3,0)*VLOOKUP('Données projet'!$B$13,Paramètres!$A$1:$I$89,5,0)</f>
        <v>61.936180825183811</v>
      </c>
      <c r="CV31" s="13">
        <f t="shared" si="41"/>
        <v>17.656887749544079</v>
      </c>
      <c r="CW31" s="20">
        <f t="shared" si="13"/>
        <v>138.62459443431774</v>
      </c>
      <c r="CX31" s="59">
        <f t="shared" si="14"/>
        <v>387.95699291769699</v>
      </c>
      <c r="CY31" s="59">
        <f ca="1">AVERAGE(OFFSET($CX$3,0,0,'Données projet'!$E$13+1,1))-AVERAGE(OFFSET($H$3,0,0,'Données projet'!$E$13+1,1))</f>
        <v>392.81074187112989</v>
      </c>
      <c r="CZ31" s="59">
        <f t="shared" si="42"/>
        <v>236.19146849073687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58.666411707588296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2.9235042735042733</v>
      </c>
      <c r="DO31" s="12">
        <f>IF('Données projet'!$A$166&gt;35,DO30+DN31-DW30,IF(A31&lt;'Données projet'!$A$166,$DL$205^A31,IF(A31='Données projet'!$A$166,'Données projet'!$B$166,DO30+DN31-DW30)))</f>
        <v>65.086360682202411</v>
      </c>
      <c r="DP31" s="17">
        <f>DO31*VLOOKUP('Données projet'!$B$14,Paramètres!$A$1:$I$89,3,0)*VLOOKUP('Données projet'!$B$14,Paramètres!$A$1:$I$89,5,0)</f>
        <v>70.058958638322665</v>
      </c>
      <c r="DQ31" s="13">
        <f t="shared" si="43"/>
        <v>19.688098361737783</v>
      </c>
      <c r="DR31" s="20">
        <f t="shared" si="16"/>
        <v>156.30945760843863</v>
      </c>
      <c r="DS31" s="59">
        <f t="shared" si="17"/>
        <v>405.64185609181789</v>
      </c>
      <c r="DT31" s="59">
        <f ca="1">AVERAGE(OFFSET($DS$3,0,0,'Données projet'!$E$14+1,1))-AVERAGE(OFFSET($H$3,0,0,'Données projet'!$E$14+1,1))</f>
        <v>434.77799524785502</v>
      </c>
      <c r="DU31" s="59">
        <f t="shared" si="44"/>
        <v>259.85949838170006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58.666411707588296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2.9235042735042733</v>
      </c>
      <c r="EJ31" s="12">
        <f>IF('Données projet'!$A$192&gt;35,EJ30+EI31-ER30,IF(A31&lt;'Données projet'!$A$192,$EG$205^A31,IF(A31='Données projet'!$A$192,'Données projet'!$B$192,EJ30+EI31-ER30)))</f>
        <v>65.086360682202411</v>
      </c>
      <c r="EK31" s="17">
        <f>EJ31*VLOOKUP('Données projet'!$B$15,Paramètres!$A$1:$I$89,3,0)*VLOOKUP('Données projet'!$B$15,Paramètres!$A$1:$I$89,5,0)</f>
        <v>62.951528051826173</v>
      </c>
      <c r="EL31" s="13">
        <f t="shared" si="45"/>
        <v>17.91240956199632</v>
      </c>
      <c r="EM31" s="20">
        <f t="shared" si="19"/>
        <v>140.8380246774075</v>
      </c>
      <c r="EN31" s="59">
        <f t="shared" si="20"/>
        <v>390.17042316078675</v>
      </c>
      <c r="EO31" s="59">
        <f ca="1">AVERAGE(OFFSET($EN$3,0,0,'Données projet'!$E$15+1,1))-AVERAGE(OFFSET($H$3,0,0,'Données projet'!$E$15+1,1))</f>
        <v>398.06270423055565</v>
      </c>
      <c r="EP31" s="59">
        <f t="shared" si="46"/>
        <v>239.15364562040614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58.666411707588296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19.393589743589743</v>
      </c>
      <c r="FE31" s="12">
        <f>IF('Données projet'!$A$218&gt;35,FE30+FD31-FM30,IF(A31&lt;'Données projet'!$A$218,$FB$205^A31,IF(A31='Données projet'!$A$218,'Données projet'!$B$218,FE30+FD31-FM30)))</f>
        <v>241.21794871794879</v>
      </c>
      <c r="FF31" s="17">
        <f>FE31*VLOOKUP('Données projet'!$B$16,Paramètres!$A$1:$I$89,3,0)*VLOOKUP('Données projet'!$B$16,Paramètres!$A$1:$I$89,5,0)</f>
        <v>144.24833333333339</v>
      </c>
      <c r="FG31" s="13">
        <f t="shared" si="47"/>
        <v>37.268539287745227</v>
      </c>
      <c r="FH31" s="20">
        <f t="shared" si="22"/>
        <v>316.14188648171188</v>
      </c>
      <c r="FI31" s="59">
        <f t="shared" si="23"/>
        <v>565.4742849650911</v>
      </c>
      <c r="FJ31" s="59">
        <f ca="1">AVERAGE(OFFSET($FI$3,0,0,'Données projet'!$E$16+1,1))-AVERAGE(OFFSET($H$3,0,0,'Données projet'!$E$16+1,1))</f>
        <v>334.13861979962491</v>
      </c>
      <c r="FK31" s="59">
        <f t="shared" si="48"/>
        <v>416.48635183664305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11.28480493063633</v>
      </c>
      <c r="FR31" s="21">
        <f>EXP(-LN(2)/25)*FR30+(1-EXP(-LN(2)/25))/(LN(2)/25)*Calculateur!FM31*Calculateur!FO31*VLOOKUP('Données projet'!$B$16,Paramètres!$A$1:$I$89,3,0)*0.475*44/12</f>
        <v>17.340244335576841</v>
      </c>
      <c r="FS31" s="21">
        <f>EXP(-LN(2)/2)*FS30+(1-EXP(-LN(2)/2))/(LN(2)/2)*FM31*FP31*VLOOKUP('Données projet'!$B$16,Paramètres!$A$1:$I$89,3,0)*0.475*44/12</f>
        <v>3.1706674281751464</v>
      </c>
      <c r="FT31" s="22">
        <f t="shared" si="24"/>
        <v>31.795716694388318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58.666411707588296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7.2264102564102561</v>
      </c>
      <c r="FZ31" s="12">
        <f>IF('Données projet'!$A$244&gt;35,FZ30+FY31-GH30,IF(A31&lt;'Données projet'!$A$244,$FW$205^A31,IF(A31='Données projet'!$A$244,'Données projet'!$B$244,FZ30+FY31-GH30)))</f>
        <v>151.46336824615491</v>
      </c>
      <c r="GA31" s="17">
        <f>FZ31*VLOOKUP('Données projet'!$B$17,Paramètres!$A$1:$I$89,3,0)*VLOOKUP('Données projet'!$B$17,Paramètres!$A$1:$I$89,5,0)</f>
        <v>70.884856339200496</v>
      </c>
      <c r="GB31" s="13">
        <f t="shared" si="49"/>
        <v>19.893037679751526</v>
      </c>
      <c r="GC31" s="20">
        <f t="shared" si="25"/>
        <v>158.10483208300809</v>
      </c>
      <c r="GD31" s="59">
        <f t="shared" si="26"/>
        <v>407.43723056638737</v>
      </c>
      <c r="GE31" s="59">
        <f ca="1">AVERAGE(OFFSET($GD$3,0,0,'Données projet'!$E$17+1,1))-AVERAGE(OFFSET($H$3,0,0,'Données projet'!$E$17+1,1))</f>
        <v>317.79829681023142</v>
      </c>
      <c r="GF31" s="59">
        <f t="shared" si="50"/>
        <v>275.07716943523621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58.666411707588296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>
        <f>VLOOKUP(A31,'Données projet'!$A$269:$I$289,2,0)</f>
        <v>235.7076923076923</v>
      </c>
      <c r="GS31" s="12">
        <f>VLOOKUP(A31,'Données projet'!$A$269:$I$289,9,0)</f>
        <v>16.687912087912089</v>
      </c>
      <c r="GT31" s="12">
        <f t="array" ref="GT31">INDEX(GS:GS,MIN(IF(ISNUMBER(GS31:GS227),ROW(GS31:GS227),"")))</f>
        <v>16.687912087912089</v>
      </c>
      <c r="GU31" s="12">
        <f>IF('Données projet'!$A$270&gt;35,GU30+GT31-HC30,IF(A31&lt;'Données projet'!$A$270,$GR$205^A31,IF(A31='Données projet'!$A$270,'Données projet'!$B$270,GU30+GT31-HC30)))</f>
        <v>235.70769230769224</v>
      </c>
      <c r="GV31" s="17">
        <f>GU31*VLOOKUP('Données projet'!$B$18,Paramètres!$A$1:$I$89,3,0)*VLOOKUP('Données projet'!$B$18,Paramètres!$A$1:$I$89,5,0)</f>
        <v>131.76059999999995</v>
      </c>
      <c r="GW31" s="13">
        <f t="shared" si="51"/>
        <v>34.402863243711892</v>
      </c>
      <c r="GX31" s="20">
        <f t="shared" si="28"/>
        <v>289.40136514946477</v>
      </c>
      <c r="GY31" s="59">
        <f t="shared" si="29"/>
        <v>538.7337636328441</v>
      </c>
      <c r="GZ31" s="59">
        <f ca="1">AVERAGE(OFFSET($GY$3,0,0,'Données projet'!$E$18+1,1))-AVERAGE(OFFSET($H$3,0,0,'Données projet'!$E$18+1,1))</f>
        <v>336.21787234885699</v>
      </c>
      <c r="HA31" s="59">
        <f t="shared" si="52"/>
        <v>315.36156736899113</v>
      </c>
      <c r="HB31" s="15">
        <f>IF(ISNA(VLOOKUP(A31,'Données projet'!$A$269:$I$289,3,0)),0,VLOOKUP(A31,'Données projet'!$A$269:$I$289,3,0))</f>
        <v>2</v>
      </c>
      <c r="HC31" s="15">
        <f>IF(ISNA(VLOOKUP(A31,'Données projet'!$A$269:$I$289,4,0)),0,VLOOKUP(A31,'Données projet'!$A$269:$I$289,4,0))</f>
        <v>56.91538461538461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0.30800000000000005</v>
      </c>
      <c r="HF31" s="16">
        <f>IF(ISNA(VLOOKUP(A31,'Données projet'!$A$269:$I$289,7,0)),0%,VLOOKUP(A31,'Données projet'!$A$269:$I$289,7,0))</f>
        <v>0.44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24.409124618308635</v>
      </c>
      <c r="HI31" s="21">
        <f>EXP(-LN(2)/2)*HI30+(1-EXP(-LN(2)/2))/(LN(2)/2)*HC31*HF31*VLOOKUP('Données projet'!$B$18,Paramètres!$A$1:$I$89,3,0)*0.475*44/12</f>
        <v>17.355679737085048</v>
      </c>
      <c r="HJ31" s="22">
        <f t="shared" si="30"/>
        <v>41.764804355393679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3.7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13.566666666666668</v>
      </c>
      <c r="H32" s="67">
        <f t="shared" si="1"/>
        <v>202.4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58.863024126354148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459.3787087574907</v>
      </c>
      <c r="S32" s="59">
        <f ca="1">AVERAGE(OFFSET($R$3,0,0,'Données projet'!$E$9+1,1))-AVERAGE(OFFSET($H$3,0,0,'Données projet'!$E$9+1,1))</f>
        <v>411.64357329340851</v>
      </c>
      <c r="T32" s="59">
        <f t="shared" si="34"/>
        <v>294.07942258675632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58.863024126354148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4.0628205128205126</v>
      </c>
      <c r="AI32" s="13">
        <f>IF('Données projet'!$A$62&gt;35,AI31+AH32-AQ31,IF(A32&lt;'Données projet'!$A$62,$AF$205^A32,IF(A32='Données projet'!$A$62,'Données projet'!$B$62,AI31+AH32-AQ31)))</f>
        <v>103.85257315361756</v>
      </c>
      <c r="AJ32" s="13">
        <f>AI32*VLOOKUP('Données projet'!$B$10,Paramètres!$A$1:$I$89,3,0)*VLOOKUP('Données projet'!$B$10,Paramètres!$A$1:$I$89,5,0)</f>
        <v>105.30650917776822</v>
      </c>
      <c r="AK32" s="13">
        <f t="shared" si="35"/>
        <v>28.222370840964146</v>
      </c>
      <c r="AL32" s="20">
        <f t="shared" si="4"/>
        <v>232.56279936595885</v>
      </c>
      <c r="AM32" s="59">
        <f t="shared" si="5"/>
        <v>483.83833227370189</v>
      </c>
      <c r="AN32" s="59">
        <f ca="1">AVERAGE(OFFSET($AM$3,0,0,'Données projet'!$E$10+1,1))-AVERAGE(OFFSET($H$3,0,0,'Données projet'!$E$10+1,1))</f>
        <v>453.05577105995508</v>
      </c>
      <c r="AO32" s="59">
        <f t="shared" si="36"/>
        <v>322.6839824496758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58.863024126354148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1.8914529914529912</v>
      </c>
      <c r="BD32" s="12">
        <f>IF('Données projet'!$A$88&gt;35,BD31+BC32-BL31,IF(A32&lt;'Données projet'!$A$88,$BA$205^A32,IF(A32='Données projet'!$A$88,'Données projet'!$B$88,BD31+BC32-BL31)))</f>
        <v>49.596715120279256</v>
      </c>
      <c r="BE32" s="13">
        <f>BD32*VLOOKUP('Données projet'!$B$11,Paramètres!$A$1:$I$89,3,0)*VLOOKUP('Données projet'!$B$11,Paramètres!$A$1:$I$89,5,0)</f>
        <v>49.517360376086813</v>
      </c>
      <c r="BF32" s="13">
        <f t="shared" si="37"/>
        <v>14.489045599121512</v>
      </c>
      <c r="BG32" s="20">
        <f t="shared" si="7"/>
        <v>111.47782374015451</v>
      </c>
      <c r="BH32" s="59">
        <f t="shared" si="8"/>
        <v>362.75335664789753</v>
      </c>
      <c r="BI32" s="59">
        <f ca="1">AVERAGE(OFFSET($BH$3,0,0,'Données projet'!$E$11+1,1))-AVERAGE(OFFSET($H$3,0,0,'Données projet'!$E$11+1,1))</f>
        <v>411.38162678377478</v>
      </c>
      <c r="BJ32" s="59">
        <f t="shared" si="38"/>
        <v>177.89903563360403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58.863024126354148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</v>
      </c>
      <c r="BY32" s="12">
        <f>IF('Données projet'!$A$114&gt;35,BY31+BX32-CG31,IF(A32&lt;'Données projet'!$A$114,$BV$205^A32,IF(A32='Données projet'!$A$114,'Données projet'!$B$114,BY31+BX32-CG31)))</f>
        <v>111</v>
      </c>
      <c r="BZ32" s="13">
        <f>BY32*VLOOKUP('Données projet'!$B$12,Paramètres!$A$1:$I$89,3,0)*VLOOKUP('Données projet'!$B$12,Paramètres!$A$1:$I$89,5,0)</f>
        <v>116.01720000000002</v>
      </c>
      <c r="CA32" s="13">
        <f t="shared" si="39"/>
        <v>30.744259678399743</v>
      </c>
      <c r="CB32" s="20">
        <f t="shared" si="10"/>
        <v>255.60954227321292</v>
      </c>
      <c r="CC32" s="59">
        <f t="shared" si="11"/>
        <v>506.88507518095594</v>
      </c>
      <c r="CD32" s="59">
        <f ca="1">AVERAGE(OFFSET($CC$3,0,0,'Données projet'!$E$12+1,1))-AVERAGE(OFFSET($H$3,0,0,'Données projet'!$E$12+1,1))</f>
        <v>374.38550202939507</v>
      </c>
      <c r="CE32" s="59">
        <f t="shared" si="40"/>
        <v>324.37486924296718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58.863024126354148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2.9235042735042733</v>
      </c>
      <c r="CT32" s="12">
        <f>IF('Données projet'!$A$140&gt;35,CT31+CS32-DB31,IF(A32&lt;'Données projet'!$A$140,$CQ$205^A32,IF(A32='Données projet'!$A$140,'Données projet'!$B$140,CT31+CS32-DB31)))</f>
        <v>75.55400457975604</v>
      </c>
      <c r="CU32" s="17">
        <f>CT32*VLOOKUP('Données projet'!$B$13,Paramètres!$A$1:$I$89,3,0)*VLOOKUP('Données projet'!$B$13,Paramètres!$A$1:$I$89,5,0)</f>
        <v>71.897190758095846</v>
      </c>
      <c r="CV32" s="13">
        <f t="shared" si="41"/>
        <v>20.143861126654318</v>
      </c>
      <c r="CW32" s="20">
        <f t="shared" si="13"/>
        <v>160.30483203260653</v>
      </c>
      <c r="CX32" s="59">
        <f t="shared" si="14"/>
        <v>411.58036494034957</v>
      </c>
      <c r="CY32" s="59">
        <f ca="1">AVERAGE(OFFSET($CX$3,0,0,'Données projet'!$E$13+1,1))-AVERAGE(OFFSET($H$3,0,0,'Données projet'!$E$13+1,1))</f>
        <v>392.81074187112989</v>
      </c>
      <c r="CZ32" s="59">
        <f t="shared" si="42"/>
        <v>236.19146849073687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58.863024126354148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2.9235042735042733</v>
      </c>
      <c r="DO32" s="12">
        <f>IF('Données projet'!$A$166&gt;35,DO31+DN32-DW31,IF(A32&lt;'Données projet'!$A$166,$DL$205^A32,IF(A32='Données projet'!$A$166,'Données projet'!$B$166,DO31+DN32-DW31)))</f>
        <v>75.55400457975604</v>
      </c>
      <c r="DP32" s="17">
        <f>DO32*VLOOKUP('Données projet'!$B$14,Paramètres!$A$1:$I$89,3,0)*VLOOKUP('Données projet'!$B$14,Paramètres!$A$1:$I$89,5,0)</f>
        <v>81.326330529649397</v>
      </c>
      <c r="DQ32" s="13">
        <f t="shared" si="43"/>
        <v>22.461167838425933</v>
      </c>
      <c r="DR32" s="20">
        <f t="shared" si="16"/>
        <v>180.76322632439783</v>
      </c>
      <c r="DS32" s="59">
        <f t="shared" si="17"/>
        <v>432.03875923214082</v>
      </c>
      <c r="DT32" s="59">
        <f ca="1">AVERAGE(OFFSET($DS$3,0,0,'Données projet'!$E$14+1,1))-AVERAGE(OFFSET($H$3,0,0,'Données projet'!$E$14+1,1))</f>
        <v>434.77799524785502</v>
      </c>
      <c r="DU32" s="59">
        <f t="shared" si="44"/>
        <v>259.85949838170006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58.863024126354148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2.9235042735042733</v>
      </c>
      <c r="EJ32" s="12">
        <f>IF('Données projet'!$A$192&gt;35,EJ31+EI32-ER31,IF(A32&lt;'Données projet'!$A$192,$EG$205^A32,IF(A32='Données projet'!$A$192,'Données projet'!$B$192,EJ31+EI32-ER31)))</f>
        <v>75.55400457975604</v>
      </c>
      <c r="EK32" s="17">
        <f>EJ32*VLOOKUP('Données projet'!$B$15,Paramètres!$A$1:$I$89,3,0)*VLOOKUP('Données projet'!$B$15,Paramètres!$A$1:$I$89,5,0)</f>
        <v>73.075833229540052</v>
      </c>
      <c r="EL32" s="13">
        <f t="shared" si="45"/>
        <v>20.435373197064454</v>
      </c>
      <c r="EM32" s="20">
        <f t="shared" si="19"/>
        <v>162.86535119300285</v>
      </c>
      <c r="EN32" s="59">
        <f t="shared" si="20"/>
        <v>414.14088410074589</v>
      </c>
      <c r="EO32" s="59">
        <f ca="1">AVERAGE(OFFSET($EN$3,0,0,'Données projet'!$E$15+1,1))-AVERAGE(OFFSET($H$3,0,0,'Données projet'!$E$15+1,1))</f>
        <v>398.06270423055565</v>
      </c>
      <c r="EP32" s="59">
        <f t="shared" si="46"/>
        <v>239.15364562040614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58.863024126354148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19.393589743589743</v>
      </c>
      <c r="FE32" s="12">
        <f>IF('Données projet'!$A$218&gt;35,FE31+FD32-FM31,IF(A32&lt;'Données projet'!$A$218,$FB$205^A32,IF(A32='Données projet'!$A$218,'Données projet'!$B$218,FE31+FD32-FM31)))</f>
        <v>260.61153846153854</v>
      </c>
      <c r="FF32" s="17">
        <f>FE32*VLOOKUP('Données projet'!$B$16,Paramètres!$A$1:$I$89,3,0)*VLOOKUP('Données projet'!$B$16,Paramètres!$A$1:$I$89,5,0)</f>
        <v>155.84570000000005</v>
      </c>
      <c r="FG32" s="13">
        <f t="shared" si="47"/>
        <v>39.904071626695313</v>
      </c>
      <c r="FH32" s="20">
        <f t="shared" si="22"/>
        <v>340.93085224982775</v>
      </c>
      <c r="FI32" s="59">
        <f t="shared" si="23"/>
        <v>592.20638515757082</v>
      </c>
      <c r="FJ32" s="59">
        <f ca="1">AVERAGE(OFFSET($FI$3,0,0,'Données projet'!$E$16+1,1))-AVERAGE(OFFSET($H$3,0,0,'Données projet'!$E$16+1,1))</f>
        <v>334.13861979962491</v>
      </c>
      <c r="FK32" s="59">
        <f t="shared" si="48"/>
        <v>416.48635183664305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11.063516788997914</v>
      </c>
      <c r="FR32" s="21">
        <f>EXP(-LN(2)/25)*FR31+(1-EXP(-LN(2)/25))/(LN(2)/25)*Calculateur!FM32*Calculateur!FO32*VLOOKUP('Données projet'!$B$16,Paramètres!$A$1:$I$89,3,0)*0.475*44/12</f>
        <v>16.866074442336675</v>
      </c>
      <c r="FS32" s="21">
        <f>EXP(-LN(2)/2)*FS31+(1-EXP(-LN(2)/2))/(LN(2)/2)*FM32*FP32*VLOOKUP('Données projet'!$B$16,Paramètres!$A$1:$I$89,3,0)*0.475*44/12</f>
        <v>2.2420004393499569</v>
      </c>
      <c r="FT32" s="22">
        <f t="shared" si="24"/>
        <v>30.171591670684549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58.863024126354148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7.2264102564102561</v>
      </c>
      <c r="FZ32" s="12">
        <f>IF('Données projet'!$A$244&gt;35,FZ31+FY32-GH31,IF(A32&lt;'Données projet'!$A$244,$FW$205^A32,IF(A32='Données projet'!$A$244,'Données projet'!$B$244,FZ31+FY32-GH31)))</f>
        <v>181.20732085910257</v>
      </c>
      <c r="GA32" s="17">
        <f>FZ32*VLOOKUP('Données projet'!$B$17,Paramètres!$A$1:$I$89,3,0)*VLOOKUP('Données projet'!$B$17,Paramètres!$A$1:$I$89,5,0)</f>
        <v>84.805026162060003</v>
      </c>
      <c r="GB32" s="13">
        <f t="shared" si="49"/>
        <v>23.308020101846395</v>
      </c>
      <c r="GC32" s="20">
        <f t="shared" si="25"/>
        <v>188.29688890963698</v>
      </c>
      <c r="GD32" s="59">
        <f t="shared" si="26"/>
        <v>439.57242181738002</v>
      </c>
      <c r="GE32" s="59">
        <f ca="1">AVERAGE(OFFSET($GD$3,0,0,'Données projet'!$E$17+1,1))-AVERAGE(OFFSET($H$3,0,0,'Données projet'!$E$17+1,1))</f>
        <v>317.79829681023142</v>
      </c>
      <c r="GF32" s="59">
        <f t="shared" si="50"/>
        <v>275.07716943523621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58.863024126354148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18.099999999999998</v>
      </c>
      <c r="GU32" s="12">
        <f>IF('Données projet'!$A$270&gt;35,GU31+GT32-HC31,IF(A32&lt;'Données projet'!$A$270,$GR$205^A32,IF(A32='Données projet'!$A$270,'Données projet'!$B$270,GU31+GT32-HC31)))</f>
        <v>196.89230769230761</v>
      </c>
      <c r="GV32" s="17">
        <f>GU32*VLOOKUP('Données projet'!$B$18,Paramètres!$A$1:$I$89,3,0)*VLOOKUP('Données projet'!$B$18,Paramètres!$A$1:$I$89,5,0)</f>
        <v>110.06279999999995</v>
      </c>
      <c r="GW32" s="13">
        <f t="shared" si="51"/>
        <v>29.345780250854357</v>
      </c>
      <c r="GX32" s="20">
        <f t="shared" si="28"/>
        <v>242.80327727023788</v>
      </c>
      <c r="GY32" s="59">
        <f t="shared" si="29"/>
        <v>494.07881017798093</v>
      </c>
      <c r="GZ32" s="59">
        <f ca="1">AVERAGE(OFFSET($GY$3,0,0,'Données projet'!$E$18+1,1))-AVERAGE(OFFSET($H$3,0,0,'Données projet'!$E$18+1,1))</f>
        <v>336.21787234885699</v>
      </c>
      <c r="HA32" s="59">
        <f t="shared" si="52"/>
        <v>315.36156736899113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23.741655822000908</v>
      </c>
      <c r="HI32" s="21">
        <f>EXP(-LN(2)/2)*HI31+(1-EXP(-LN(2)/2))/(LN(2)/2)*HC32*HF32*VLOOKUP('Données projet'!$B$18,Paramètres!$A$1:$I$89,3,0)*0.475*44/12</f>
        <v>12.272318834194794</v>
      </c>
      <c r="HJ32" s="22">
        <f t="shared" si="30"/>
        <v>36.0139746561957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3.7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13.566666666666668</v>
      </c>
      <c r="H33" s="67">
        <f t="shared" si="1"/>
        <v>202.4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59.056225759213916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496.4794225867563</v>
      </c>
      <c r="S33" s="59">
        <f ca="1">AVERAGE(OFFSET($R$3,0,0,'Données projet'!$E$9+1,1))-AVERAGE(OFFSET($H$3,0,0,'Données projet'!$E$9+1,1))</f>
        <v>411.64357329340851</v>
      </c>
      <c r="T33" s="59">
        <f t="shared" si="34"/>
        <v>294.07942258675632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59.056225759213916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121.88461538461537</v>
      </c>
      <c r="AG33" s="12">
        <f>VLOOKUP(A33,'Données projet'!$A$61:$I$81,9,0)</f>
        <v>4.0628205128205126</v>
      </c>
      <c r="AH33" s="12">
        <f t="array" ref="AH33">INDEX(AG:AG,MIN(IF(ISNUMBER(AG33:AG229),ROW(AG33:AG229),"")))</f>
        <v>4.0628205128205126</v>
      </c>
      <c r="AI33" s="13">
        <f>IF('Données projet'!$A$62&gt;35,AI32+AH33-AQ32,IF(A33&lt;'Données projet'!$A$62,$AF$205^A33,IF(A33='Données projet'!$A$62,'Données projet'!$B$62,AI32+AH33-AQ32)))</f>
        <v>121.88461538461537</v>
      </c>
      <c r="AJ33" s="13">
        <f>AI33*VLOOKUP('Données projet'!$B$10,Paramètres!$A$1:$I$89,3,0)*VLOOKUP('Données projet'!$B$10,Paramètres!$A$1:$I$89,5,0)</f>
        <v>123.59099999999999</v>
      </c>
      <c r="AK33" s="13">
        <f t="shared" si="35"/>
        <v>32.511098372760657</v>
      </c>
      <c r="AL33" s="20">
        <f t="shared" si="4"/>
        <v>271.87782133255809</v>
      </c>
      <c r="AM33" s="59">
        <f t="shared" si="5"/>
        <v>525.08398244967577</v>
      </c>
      <c r="AN33" s="59">
        <f ca="1">AVERAGE(OFFSET($AM$3,0,0,'Données projet'!$E$10+1,1))-AVERAGE(OFFSET($H$3,0,0,'Données projet'!$E$10+1,1))</f>
        <v>453.05577105995508</v>
      </c>
      <c r="AO33" s="59">
        <f t="shared" si="36"/>
        <v>322.6839824496758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59.056225759213916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56.743589743589737</v>
      </c>
      <c r="BB33" s="12">
        <f>VLOOKUP(A33,'Données projet'!$A$87:$I$107,9,0)</f>
        <v>1.8914529914529912</v>
      </c>
      <c r="BC33" s="12">
        <f t="array" ref="BC33">INDEX(BB:BB,MIN(IF(ISNUMBER(BB33:BB229),ROW(BB33:BB229),"")))</f>
        <v>1.8914529914529912</v>
      </c>
      <c r="BD33" s="12">
        <f>IF('Données projet'!$A$88&gt;35,BD32+BC33-BL32,IF(A33&lt;'Données projet'!$A$88,$BA$205^A33,IF(A33='Données projet'!$A$88,'Données projet'!$B$88,BD32+BC33-BL32)))</f>
        <v>56.743589743589737</v>
      </c>
      <c r="BE33" s="13">
        <f>BD33*VLOOKUP('Données projet'!$B$11,Paramètres!$A$1:$I$89,3,0)*VLOOKUP('Données projet'!$B$11,Paramètres!$A$1:$I$89,5,0)</f>
        <v>56.652799999999999</v>
      </c>
      <c r="BF33" s="13">
        <f t="shared" si="37"/>
        <v>16.319185368317523</v>
      </c>
      <c r="BG33" s="20">
        <f t="shared" si="7"/>
        <v>127.09287451648635</v>
      </c>
      <c r="BH33" s="59">
        <f t="shared" si="8"/>
        <v>380.29903563360403</v>
      </c>
      <c r="BI33" s="59">
        <f ca="1">AVERAGE(OFFSET($BH$3,0,0,'Données projet'!$E$11+1,1))-AVERAGE(OFFSET($H$3,0,0,'Données projet'!$E$11+1,1))</f>
        <v>411.38162678377478</v>
      </c>
      <c r="BJ33" s="59">
        <f t="shared" si="38"/>
        <v>177.89903563360403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59.056225759213916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119</v>
      </c>
      <c r="BW33" s="12">
        <f>VLOOKUP(A33,'Données projet'!$A$113:$I$133,9,0)</f>
        <v>8</v>
      </c>
      <c r="BX33" s="12">
        <f t="array" ref="BX33">INDEX(BW:BW,MIN(IF(ISNUMBER(BW33:BW229),ROW(BW33:BW229),"")))</f>
        <v>8</v>
      </c>
      <c r="BY33" s="12">
        <f>IF('Données projet'!$A$114&gt;35,BY32+BX33-CG32,IF(A33&lt;'Données projet'!$A$114,$BV$205^A33,IF(A33='Données projet'!$A$114,'Données projet'!$B$114,BY32+BX33-CG32)))</f>
        <v>119</v>
      </c>
      <c r="BZ33" s="13">
        <f>BY33*VLOOKUP('Données projet'!$B$12,Paramètres!$A$1:$I$89,3,0)*VLOOKUP('Données projet'!$B$12,Paramètres!$A$1:$I$89,5,0)</f>
        <v>124.37880000000001</v>
      </c>
      <c r="CA33" s="13">
        <f t="shared" si="39"/>
        <v>32.69414246460255</v>
      </c>
      <c r="CB33" s="20">
        <f t="shared" si="10"/>
        <v>273.56870812584947</v>
      </c>
      <c r="CC33" s="59">
        <f t="shared" si="11"/>
        <v>526.77486924296716</v>
      </c>
      <c r="CD33" s="59">
        <f ca="1">AVERAGE(OFFSET($CC$3,0,0,'Données projet'!$E$12+1,1))-AVERAGE(OFFSET($H$3,0,0,'Données projet'!$E$12+1,1))</f>
        <v>374.38550202939507</v>
      </c>
      <c r="CE33" s="59">
        <f t="shared" si="40"/>
        <v>324.37486924296718</v>
      </c>
      <c r="CF33" s="15">
        <f>IF(ISNA(VLOOKUP(A33,'Données projet'!$A$113:$I$133,3,0)),0,VLOOKUP(A33,'Données projet'!$A$113:$I$133,3,0))</f>
        <v>3</v>
      </c>
      <c r="CG33" s="15" t="str">
        <f>IF(ISNA(VLOOKUP(A33,'Données projet'!$A$113:$I$133,4,0)),0,VLOOKUP(A33,'Données projet'!$A$113:$I$133,4,0))</f>
        <v>20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59.056225759213916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87.705128205128204</v>
      </c>
      <c r="CR33" s="12">
        <f>VLOOKUP(A33,'Données projet'!$A$139:$I$159,9,0)</f>
        <v>2.9235042735042733</v>
      </c>
      <c r="CS33" s="12">
        <f t="array" ref="CS33">INDEX(CR:CR,MIN(IF(ISNUMBER(CR33:CR229),ROW(CR33:CR229),"")))</f>
        <v>2.9235042735042733</v>
      </c>
      <c r="CT33" s="12">
        <f>IF('Données projet'!$A$140&gt;35,CT32+CS33-DB32,IF(A33&lt;'Données projet'!$A$140,$CQ$205^A33,IF(A33='Données projet'!$A$140,'Données projet'!$B$140,CT32+CS33-DB32)))</f>
        <v>87.705128205128204</v>
      </c>
      <c r="CU33" s="17">
        <f>CT33*VLOOKUP('Données projet'!$B$13,Paramètres!$A$1:$I$89,3,0)*VLOOKUP('Données projet'!$B$13,Paramètres!$A$1:$I$89,5,0)</f>
        <v>83.4602</v>
      </c>
      <c r="CV33" s="13">
        <f t="shared" si="41"/>
        <v>22.981124807819615</v>
      </c>
      <c r="CW33" s="20">
        <f t="shared" si="13"/>
        <v>185.38530737361916</v>
      </c>
      <c r="CX33" s="59">
        <f t="shared" si="14"/>
        <v>438.59146849073687</v>
      </c>
      <c r="CY33" s="59">
        <f ca="1">AVERAGE(OFFSET($CX$3,0,0,'Données projet'!$E$13+1,1))-AVERAGE(OFFSET($H$3,0,0,'Données projet'!$E$13+1,1))</f>
        <v>392.81074187112989</v>
      </c>
      <c r="CZ33" s="59">
        <f t="shared" si="42"/>
        <v>236.19146849073687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59.056225759213916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87.705128205128204</v>
      </c>
      <c r="DM33" s="12">
        <f>VLOOKUP(A33,'Données projet'!$A$165:$I$185,9,0)</f>
        <v>2.9235042735042733</v>
      </c>
      <c r="DN33" s="12">
        <f t="array" ref="DN33">INDEX(DM:DM,MIN(IF(ISNUMBER(DM33:DM229),ROW(DM33:DM229),"")))</f>
        <v>2.9235042735042733</v>
      </c>
      <c r="DO33" s="12">
        <f>IF('Données projet'!$A$166&gt;35,DO32+DN33-DW32,IF(A33&lt;'Données projet'!$A$166,$DL$205^A33,IF(A33='Données projet'!$A$166,'Données projet'!$B$166,DO32+DN33-DW32)))</f>
        <v>87.705128205128204</v>
      </c>
      <c r="DP33" s="17">
        <f>DO33*VLOOKUP('Données projet'!$B$14,Paramètres!$A$1:$I$89,3,0)*VLOOKUP('Données projet'!$B$14,Paramètres!$A$1:$I$89,5,0)</f>
        <v>94.405799999999999</v>
      </c>
      <c r="DQ33" s="13">
        <f t="shared" si="43"/>
        <v>25.624824266745868</v>
      </c>
      <c r="DR33" s="20">
        <f t="shared" si="16"/>
        <v>209.05333726458238</v>
      </c>
      <c r="DS33" s="59">
        <f t="shared" si="17"/>
        <v>462.2594983817001</v>
      </c>
      <c r="DT33" s="59">
        <f ca="1">AVERAGE(OFFSET($DS$3,0,0,'Données projet'!$E$14+1,1))-AVERAGE(OFFSET($H$3,0,0,'Données projet'!$E$14+1,1))</f>
        <v>434.77799524785502</v>
      </c>
      <c r="DU33" s="59">
        <f t="shared" si="44"/>
        <v>259.85949838170006</v>
      </c>
      <c r="DV33" s="15" t="str">
        <f>IF(ISNA(VLOOKUP(A33,'Données projet'!$A$165:$I$185,3,0)),0,VLOOKUP(A33,'Données projet'!$A$165:$I$185,3,0))</f>
        <v>na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59.056225759213916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87.705128205128204</v>
      </c>
      <c r="EH33" s="12">
        <f>VLOOKUP(A33,'Données projet'!$A$191:$I$211,9,0)</f>
        <v>2.9235042735042733</v>
      </c>
      <c r="EI33" s="12">
        <f t="array" ref="EI33">INDEX(EH:EH,MIN(IF(ISNUMBER(EH33:EH229),ROW(EH33:EH229),"")))</f>
        <v>2.9235042735042733</v>
      </c>
      <c r="EJ33" s="12">
        <f>IF('Données projet'!$A$192&gt;35,EJ32+EI33-ER32,IF(A33&lt;'Données projet'!$A$192,$EG$205^A33,IF(A33='Données projet'!$A$192,'Données projet'!$B$192,EJ32+EI33-ER32)))</f>
        <v>87.705128205128204</v>
      </c>
      <c r="EK33" s="17">
        <f>EJ33*VLOOKUP('Données projet'!$B$15,Paramètres!$A$1:$I$89,3,0)*VLOOKUP('Données projet'!$B$15,Paramètres!$A$1:$I$89,5,0)</f>
        <v>84.828400000000002</v>
      </c>
      <c r="EL33" s="13">
        <f t="shared" si="45"/>
        <v>23.313696365524446</v>
      </c>
      <c r="EM33" s="20">
        <f t="shared" si="19"/>
        <v>188.34748450328843</v>
      </c>
      <c r="EN33" s="59">
        <f t="shared" si="20"/>
        <v>441.55364562040614</v>
      </c>
      <c r="EO33" s="59">
        <f ca="1">AVERAGE(OFFSET($EN$3,0,0,'Données projet'!$E$15+1,1))-AVERAGE(OFFSET($H$3,0,0,'Données projet'!$E$15+1,1))</f>
        <v>398.06270423055565</v>
      </c>
      <c r="EP33" s="59">
        <f t="shared" si="46"/>
        <v>239.15364562040614</v>
      </c>
      <c r="EQ33" s="15" t="str">
        <f>IF(ISNA(VLOOKUP(A33,'Données projet'!$A$191:$I$211,3,0)),0,VLOOKUP(A33,'Données projet'!$A$191:$I$211,3,0))</f>
        <v>na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59.056225759213916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19.393589743589743</v>
      </c>
      <c r="FE33" s="12">
        <f>IF('Données projet'!$A$218&gt;35,FE32+FD33-FM32,IF(A33&lt;'Données projet'!$A$218,$FB$205^A33,IF(A33='Données projet'!$A$218,'Données projet'!$B$218,FE32+FD33-FM32)))</f>
        <v>280.0051282051283</v>
      </c>
      <c r="FF33" s="17">
        <f>FE33*VLOOKUP('Données projet'!$B$16,Paramètres!$A$1:$I$89,3,0)*VLOOKUP('Données projet'!$B$16,Paramètres!$A$1:$I$89,5,0)</f>
        <v>167.44306666666677</v>
      </c>
      <c r="FG33" s="13">
        <f t="shared" si="47"/>
        <v>42.516851449807113</v>
      </c>
      <c r="FH33" s="20">
        <f t="shared" si="22"/>
        <v>365.68019071952534</v>
      </c>
      <c r="FI33" s="59">
        <f t="shared" si="23"/>
        <v>618.88635183664303</v>
      </c>
      <c r="FJ33" s="59">
        <f ca="1">AVERAGE(OFFSET($FI$3,0,0,'Données projet'!$E$16+1,1))-AVERAGE(OFFSET($H$3,0,0,'Données projet'!$E$16+1,1))</f>
        <v>334.13861979962491</v>
      </c>
      <c r="FK33" s="59">
        <f t="shared" si="48"/>
        <v>416.48635183664305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10.846567972844589</v>
      </c>
      <c r="FR33" s="21">
        <f>EXP(-LN(2)/25)*FR32+(1-EXP(-LN(2)/25))/(LN(2)/25)*Calculateur!FM33*Calculateur!FO33*VLOOKUP('Données projet'!$B$16,Paramètres!$A$1:$I$89,3,0)*0.475*44/12</f>
        <v>16.404870749762672</v>
      </c>
      <c r="FS33" s="21">
        <f>EXP(-LN(2)/2)*FS32+(1-EXP(-LN(2)/2))/(LN(2)/2)*FM33*FP33*VLOOKUP('Données projet'!$B$16,Paramètres!$A$1:$I$89,3,0)*0.475*44/12</f>
        <v>1.5853337140875734</v>
      </c>
      <c r="FT33" s="22">
        <f t="shared" si="24"/>
        <v>28.836772436694837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59.056225759213916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216.79230769230767</v>
      </c>
      <c r="FX33" s="12">
        <f>VLOOKUP(A33,'Données projet'!$A$243:$I$263,9,0)</f>
        <v>7.2264102564102561</v>
      </c>
      <c r="FY33" s="12">
        <f t="array" ref="FY33">INDEX(FX:FX,MIN(IF(ISNUMBER(FX33:FX229),ROW(FX33:FX229),"")))</f>
        <v>7.2264102564102561</v>
      </c>
      <c r="FZ33" s="12">
        <f>IF('Données projet'!$A$244&gt;35,FZ32+FY33-GH32,IF(A33&lt;'Données projet'!$A$244,$FW$205^A33,IF(A33='Données projet'!$A$244,'Données projet'!$B$244,FZ32+FY33-GH32)))</f>
        <v>216.79230769230767</v>
      </c>
      <c r="GA33" s="17">
        <f>FZ33*VLOOKUP('Données projet'!$B$17,Paramètres!$A$1:$I$89,3,0)*VLOOKUP('Données projet'!$B$17,Paramètres!$A$1:$I$89,5,0)</f>
        <v>101.45879999999998</v>
      </c>
      <c r="GB33" s="13">
        <f t="shared" si="49"/>
        <v>27.309243053465156</v>
      </c>
      <c r="GC33" s="20">
        <f t="shared" si="25"/>
        <v>224.27100831811845</v>
      </c>
      <c r="GD33" s="59">
        <f t="shared" si="26"/>
        <v>477.47716943523619</v>
      </c>
      <c r="GE33" s="59">
        <f ca="1">AVERAGE(OFFSET($GD$3,0,0,'Données projet'!$E$17+1,1))-AVERAGE(OFFSET($H$3,0,0,'Données projet'!$E$17+1,1))</f>
        <v>317.79829681023142</v>
      </c>
      <c r="GF33" s="59">
        <f t="shared" si="50"/>
        <v>275.07716943523621</v>
      </c>
      <c r="GG33" s="15" t="str">
        <f>IF(ISNA(VLOOKUP(A33,'Données projet'!$A$243:$I$263,3,0)),0,VLOOKUP(A33,'Données projet'!$A$243:$I$263,3,0))</f>
        <v>na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0.38500000000000001</v>
      </c>
      <c r="GJ33" s="16">
        <f>IF(ISNA(VLOOKUP(A33,'Données projet'!$A$243:$I$263,6,0)),0%,VLOOKUP(A33,'Données projet'!$A$243:$I$263,6,0)*VLOOKUP('Données projet'!$B$17,Paramètres!$A$1:$I$89,7,0))</f>
        <v>9.240000000000001E-2</v>
      </c>
      <c r="GK33" s="16">
        <f>IF(ISNA(VLOOKUP(A33,'Données projet'!$A$243:$I$263,7,0)),0%,VLOOKUP(A33,'Données projet'!$A$243:$I$263,7,0))</f>
        <v>0.13200000000000001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59.056225759213916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18.099999999999998</v>
      </c>
      <c r="GU33" s="12">
        <f>IF('Données projet'!$A$270&gt;35,GU32+GT33-HC32,IF(A33&lt;'Données projet'!$A$270,$GR$205^A33,IF(A33='Données projet'!$A$270,'Données projet'!$B$270,GU32+GT33-HC32)))</f>
        <v>214.99230769230761</v>
      </c>
      <c r="GV33" s="17">
        <f>GU33*VLOOKUP('Données projet'!$B$18,Paramètres!$A$1:$I$89,3,0)*VLOOKUP('Données projet'!$B$18,Paramètres!$A$1:$I$89,5,0)</f>
        <v>120.18069999999996</v>
      </c>
      <c r="GW33" s="13">
        <f t="shared" si="51"/>
        <v>31.717140910166616</v>
      </c>
      <c r="GX33" s="20">
        <f t="shared" si="28"/>
        <v>264.55540625187342</v>
      </c>
      <c r="GY33" s="59">
        <f t="shared" si="29"/>
        <v>517.76156736899111</v>
      </c>
      <c r="GZ33" s="59">
        <f ca="1">AVERAGE(OFFSET($GY$3,0,0,'Données projet'!$E$18+1,1))-AVERAGE(OFFSET($H$3,0,0,'Données projet'!$E$18+1,1))</f>
        <v>336.21787234885699</v>
      </c>
      <c r="HA33" s="59">
        <f t="shared" si="52"/>
        <v>315.36156736899113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23.092438995028875</v>
      </c>
      <c r="HI33" s="21">
        <f>EXP(-LN(2)/2)*HI32+(1-EXP(-LN(2)/2))/(LN(2)/2)*HC33*HF33*VLOOKUP('Données projet'!$B$18,Paramètres!$A$1:$I$89,3,0)*0.475*44/12</f>
        <v>8.6778398685425238</v>
      </c>
      <c r="HJ33" s="22">
        <f t="shared" si="30"/>
        <v>31.770278863571399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3.7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13.566666666666668</v>
      </c>
      <c r="H34" s="67">
        <f t="shared" si="1"/>
        <v>202.4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59.246075775677724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8.0564102564102633</v>
      </c>
      <c r="N34" s="13">
        <f>IF('Données projet'!$A$36&gt;35,N33+M34-V33,IF(A34&lt;'Données projet'!$A$36,$K$205^A34,IF(A34='Données projet'!$A$36,'Données projet'!$B$36,N33+M34-V33)))</f>
        <v>129.94102564102565</v>
      </c>
      <c r="O34" s="13">
        <f>N34*VLOOKUP('Données projet'!$B$9,Paramètres!$A$1:$I$89,3,0)*VLOOKUP('Données projet'!$B$9,Paramètres!$A$1:$I$89,5,0)</f>
        <v>117.57064000000001</v>
      </c>
      <c r="P34" s="13">
        <f t="shared" si="33"/>
        <v>31.107718284302781</v>
      </c>
      <c r="Q34" s="20">
        <f t="shared" si="2"/>
        <v>258.94814067849398</v>
      </c>
      <c r="R34" s="59">
        <f t="shared" si="0"/>
        <v>512.85041852264567</v>
      </c>
      <c r="S34" s="59">
        <f ca="1">AVERAGE(OFFSET($R$3,0,0,'Données projet'!$E$9+1,1))-AVERAGE(OFFSET($H$3,0,0,'Données projet'!$E$9+1,1))</f>
        <v>411.64357329340851</v>
      </c>
      <c r="T34" s="59">
        <f t="shared" si="34"/>
        <v>294.07942258675632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59.246075775677724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8.0564102564102633</v>
      </c>
      <c r="AI34" s="13">
        <f>IF('Données projet'!$A$62&gt;35,AI33+AH34-AQ33,IF(A34&lt;'Données projet'!$A$62,$AF$205^A34,IF(A34='Données projet'!$A$62,'Données projet'!$B$62,AI33+AH34-AQ33)))</f>
        <v>129.94102564102565</v>
      </c>
      <c r="AJ34" s="13">
        <f>AI34*VLOOKUP('Données projet'!$B$10,Paramètres!$A$1:$I$89,3,0)*VLOOKUP('Données projet'!$B$10,Paramètres!$A$1:$I$89,5,0)</f>
        <v>131.76020000000003</v>
      </c>
      <c r="AK34" s="13">
        <f t="shared" si="35"/>
        <v>34.402770960054035</v>
      </c>
      <c r="AL34" s="20">
        <f t="shared" si="4"/>
        <v>289.40050775542744</v>
      </c>
      <c r="AM34" s="59">
        <f t="shared" si="5"/>
        <v>543.30278559957912</v>
      </c>
      <c r="AN34" s="59">
        <f ca="1">AVERAGE(OFFSET($AM$3,0,0,'Données projet'!$E$10+1,1))-AVERAGE(OFFSET($H$3,0,0,'Données projet'!$E$10+1,1))</f>
        <v>453.05577105995508</v>
      </c>
      <c r="AO34" s="59">
        <f t="shared" si="36"/>
        <v>322.6839824496758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59.246075775677724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3.5192307692307692</v>
      </c>
      <c r="BD34" s="12">
        <f>IF('Données projet'!$A$88&gt;35,BD33+BC34-BL33,IF(A34&lt;'Données projet'!$A$88,$BA$205^A34,IF(A34='Données projet'!$A$88,'Données projet'!$B$88,BD33+BC34-BL33)))</f>
        <v>60.262820512820504</v>
      </c>
      <c r="BE34" s="13">
        <f>BD34*VLOOKUP('Données projet'!$B$11,Paramètres!$A$1:$I$89,3,0)*VLOOKUP('Données projet'!$B$11,Paramètres!$A$1:$I$89,5,0)</f>
        <v>60.166399999999989</v>
      </c>
      <c r="BF34" s="13">
        <f t="shared" si="37"/>
        <v>17.210333369675059</v>
      </c>
      <c r="BG34" s="20">
        <f t="shared" si="7"/>
        <v>134.76447728551739</v>
      </c>
      <c r="BH34" s="59">
        <f t="shared" si="8"/>
        <v>388.66675512966901</v>
      </c>
      <c r="BI34" s="59">
        <f ca="1">AVERAGE(OFFSET($BH$3,0,0,'Données projet'!$E$11+1,1))-AVERAGE(OFFSET($H$3,0,0,'Données projet'!$E$11+1,1))</f>
        <v>411.38162678377478</v>
      </c>
      <c r="BJ34" s="59">
        <f t="shared" si="38"/>
        <v>177.89903563360403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59.246075775677724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7.2</v>
      </c>
      <c r="BY34" s="12">
        <f>IF('Données projet'!$A$114&gt;35,BY33+BX34-CG33,IF(A34&lt;'Données projet'!$A$114,$BV$205^A34,IF(A34='Données projet'!$A$114,'Données projet'!$B$114,BY33+BX34-CG33)))</f>
        <v>106.2</v>
      </c>
      <c r="BZ34" s="13">
        <f>BY34*VLOOKUP('Données projet'!$B$12,Paramètres!$A$1:$I$89,3,0)*VLOOKUP('Données projet'!$B$12,Paramètres!$A$1:$I$89,5,0)</f>
        <v>111.00024000000002</v>
      </c>
      <c r="CA34" s="13">
        <f t="shared" si="39"/>
        <v>29.566524620361303</v>
      </c>
      <c r="CB34" s="20">
        <f t="shared" si="10"/>
        <v>244.82044838046261</v>
      </c>
      <c r="CC34" s="59">
        <f t="shared" si="11"/>
        <v>498.72272622461423</v>
      </c>
      <c r="CD34" s="59">
        <f ca="1">AVERAGE(OFFSET($CC$3,0,0,'Données projet'!$E$12+1,1))-AVERAGE(OFFSET($H$3,0,0,'Données projet'!$E$12+1,1))</f>
        <v>374.38550202939507</v>
      </c>
      <c r="CE34" s="59">
        <f t="shared" si="40"/>
        <v>324.37486924296718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59.246075775677724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5.3369963369963358</v>
      </c>
      <c r="CT34" s="12">
        <f>IF('Données projet'!$A$140&gt;35,CT33+CS34-DB33,IF(A34&lt;'Données projet'!$A$140,$CQ$205^A34,IF(A34='Données projet'!$A$140,'Données projet'!$B$140,CT33+CS34-DB33)))</f>
        <v>93.04212454212454</v>
      </c>
      <c r="CU34" s="17">
        <f>CT34*VLOOKUP('Données projet'!$B$13,Paramètres!$A$1:$I$89,3,0)*VLOOKUP('Données projet'!$B$13,Paramètres!$A$1:$I$89,5,0)</f>
        <v>88.538885714285712</v>
      </c>
      <c r="CV34" s="13">
        <f t="shared" si="41"/>
        <v>24.212504429889805</v>
      </c>
      <c r="CW34" s="20">
        <f t="shared" si="13"/>
        <v>196.37533783443902</v>
      </c>
      <c r="CX34" s="59">
        <f t="shared" si="14"/>
        <v>450.27761567859068</v>
      </c>
      <c r="CY34" s="59">
        <f ca="1">AVERAGE(OFFSET($CX$3,0,0,'Données projet'!$E$13+1,1))-AVERAGE(OFFSET($H$3,0,0,'Données projet'!$E$13+1,1))</f>
        <v>392.81074187112989</v>
      </c>
      <c r="CZ34" s="59">
        <f t="shared" si="42"/>
        <v>236.19146849073687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59.246075775677724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5.3369963369963358</v>
      </c>
      <c r="DO34" s="12">
        <f>IF('Données projet'!$A$166&gt;35,DO33+DN34-DW33,IF(A34&lt;'Données projet'!$A$166,$DL$205^A34,IF(A34='Données projet'!$A$166,'Données projet'!$B$166,DO33+DN34-DW33)))</f>
        <v>93.04212454212454</v>
      </c>
      <c r="DP34" s="17">
        <f>DO34*VLOOKUP('Données projet'!$B$14,Paramètres!$A$1:$I$89,3,0)*VLOOKUP('Données projet'!$B$14,Paramètres!$A$1:$I$89,5,0)</f>
        <v>100.15054285714285</v>
      </c>
      <c r="DQ34" s="13">
        <f t="shared" si="43"/>
        <v>26.997859167564272</v>
      </c>
      <c r="DR34" s="20">
        <f t="shared" si="16"/>
        <v>221.45013352636488</v>
      </c>
      <c r="DS34" s="59">
        <f t="shared" si="17"/>
        <v>475.35241137051651</v>
      </c>
      <c r="DT34" s="59">
        <f ca="1">AVERAGE(OFFSET($DS$3,0,0,'Données projet'!$E$14+1,1))-AVERAGE(OFFSET($H$3,0,0,'Données projet'!$E$14+1,1))</f>
        <v>434.77799524785502</v>
      </c>
      <c r="DU34" s="59">
        <f t="shared" si="44"/>
        <v>259.85949838170006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59.246075775677724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5.3369963369963358</v>
      </c>
      <c r="EJ34" s="12">
        <f>IF('Données projet'!$A$192&gt;35,EJ33+EI34-ER33,IF(A34&lt;'Données projet'!$A$192,$EG$205^A34,IF(A34='Données projet'!$A$192,'Données projet'!$B$192,EJ33+EI34-ER33)))</f>
        <v>93.04212454212454</v>
      </c>
      <c r="EK34" s="17">
        <f>EJ34*VLOOKUP('Données projet'!$B$15,Paramètres!$A$1:$I$89,3,0)*VLOOKUP('Données projet'!$B$15,Paramètres!$A$1:$I$89,5,0)</f>
        <v>89.990342857142863</v>
      </c>
      <c r="EL34" s="13">
        <f t="shared" si="45"/>
        <v>24.562895909050297</v>
      </c>
      <c r="EM34" s="20">
        <f t="shared" si="19"/>
        <v>199.51355751778638</v>
      </c>
      <c r="EN34" s="59">
        <f t="shared" si="20"/>
        <v>453.41583536193804</v>
      </c>
      <c r="EO34" s="59">
        <f ca="1">AVERAGE(OFFSET($EN$3,0,0,'Données projet'!$E$15+1,1))-AVERAGE(OFFSET($H$3,0,0,'Données projet'!$E$15+1,1))</f>
        <v>398.06270423055565</v>
      </c>
      <c r="EP34" s="59">
        <f t="shared" si="46"/>
        <v>239.15364562040614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59.246075775677724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19.393589743589743</v>
      </c>
      <c r="FE34" s="12">
        <f>IF('Données projet'!$A$218&gt;35,FE33+FD34-FM33,IF(A34&lt;'Données projet'!$A$218,$FB$205^A34,IF(A34='Données projet'!$A$218,'Données projet'!$B$218,FE33+FD34-FM33)))</f>
        <v>299.39871794871806</v>
      </c>
      <c r="FF34" s="17">
        <f>FE34*VLOOKUP('Données projet'!$B$16,Paramètres!$A$1:$I$89,3,0)*VLOOKUP('Données projet'!$B$16,Paramètres!$A$1:$I$89,5,0)</f>
        <v>179.04043333333343</v>
      </c>
      <c r="FG34" s="13">
        <f t="shared" si="47"/>
        <v>45.108633894312518</v>
      </c>
      <c r="FH34" s="20">
        <f t="shared" si="22"/>
        <v>390.39295875481668</v>
      </c>
      <c r="FI34" s="59">
        <f t="shared" si="23"/>
        <v>644.29523659896836</v>
      </c>
      <c r="FJ34" s="59">
        <f ca="1">AVERAGE(OFFSET($FI$3,0,0,'Données projet'!$E$16+1,1))-AVERAGE(OFFSET($H$3,0,0,'Données projet'!$E$16+1,1))</f>
        <v>334.13861979962491</v>
      </c>
      <c r="FK34" s="59">
        <f t="shared" si="48"/>
        <v>416.48635183664305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10.633873390650319</v>
      </c>
      <c r="FR34" s="21">
        <f>EXP(-LN(2)/25)*FR33+(1-EXP(-LN(2)/25))/(LN(2)/25)*Calculateur!FM34*Calculateur!FO34*VLOOKUP('Données projet'!$B$16,Paramètres!$A$1:$I$89,3,0)*0.475*44/12</f>
        <v>15.956278696415753</v>
      </c>
      <c r="FS34" s="21">
        <f>EXP(-LN(2)/2)*FS33+(1-EXP(-LN(2)/2))/(LN(2)/2)*FM34*FP34*VLOOKUP('Données projet'!$B$16,Paramètres!$A$1:$I$89,3,0)*0.475*44/12</f>
        <v>1.1210002196749784</v>
      </c>
      <c r="FT34" s="22">
        <f t="shared" si="24"/>
        <v>27.711152306741052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59.246075775677724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16.131410256410259</v>
      </c>
      <c r="FZ34" s="12">
        <f>IF('Données projet'!$A$244&gt;35,FZ33+FY34-GH33,IF(A34&lt;'Données projet'!$A$244,$FW$205^A34,IF(A34='Données projet'!$A$244,'Données projet'!$B$244,FZ33+FY34-GH33)))</f>
        <v>232.92371794871792</v>
      </c>
      <c r="GA34" s="17">
        <f>FZ34*VLOOKUP('Données projet'!$B$17,Paramètres!$A$1:$I$89,3,0)*VLOOKUP('Données projet'!$B$17,Paramètres!$A$1:$I$89,5,0)</f>
        <v>109.00829999999998</v>
      </c>
      <c r="GB34" s="13">
        <f t="shared" si="49"/>
        <v>29.097209307093255</v>
      </c>
      <c r="GC34" s="20">
        <f t="shared" si="25"/>
        <v>240.53376204318738</v>
      </c>
      <c r="GD34" s="59">
        <f t="shared" si="26"/>
        <v>494.43603988733901</v>
      </c>
      <c r="GE34" s="59">
        <f ca="1">AVERAGE(OFFSET($GD$3,0,0,'Données projet'!$E$17+1,1))-AVERAGE(OFFSET($H$3,0,0,'Données projet'!$E$17+1,1))</f>
        <v>317.79829681023142</v>
      </c>
      <c r="GF34" s="59">
        <f t="shared" si="50"/>
        <v>275.07716943523621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59.246075775677724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18.099999999999998</v>
      </c>
      <c r="GU34" s="12">
        <f>IF('Données projet'!$A$270&gt;35,GU33+GT34-HC33,IF(A34&lt;'Données projet'!$A$270,$GR$205^A34,IF(A34='Données projet'!$A$270,'Données projet'!$B$270,GU33+GT34-HC33)))</f>
        <v>233.0923076923076</v>
      </c>
      <c r="GV34" s="17">
        <f>GU34*VLOOKUP('Données projet'!$B$18,Paramètres!$A$1:$I$89,3,0)*VLOOKUP('Données projet'!$B$18,Paramètres!$A$1:$I$89,5,0)</f>
        <v>130.29859999999994</v>
      </c>
      <c r="GW34" s="13">
        <f t="shared" si="51"/>
        <v>34.065347809437171</v>
      </c>
      <c r="GX34" s="20">
        <f t="shared" si="28"/>
        <v>286.26720910143626</v>
      </c>
      <c r="GY34" s="59">
        <f t="shared" si="29"/>
        <v>540.16948694558789</v>
      </c>
      <c r="GZ34" s="59">
        <f ca="1">AVERAGE(OFFSET($GY$3,0,0,'Données projet'!$E$18+1,1))-AVERAGE(OFFSET($H$3,0,0,'Données projet'!$E$18+1,1))</f>
        <v>336.21787234885699</v>
      </c>
      <c r="HA34" s="59">
        <f t="shared" si="52"/>
        <v>315.36156736899113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22.460975036331224</v>
      </c>
      <c r="HI34" s="21">
        <f>EXP(-LN(2)/2)*HI33+(1-EXP(-LN(2)/2))/(LN(2)/2)*HC34*HF34*VLOOKUP('Données projet'!$B$18,Paramètres!$A$1:$I$89,3,0)*0.475*44/12</f>
        <v>6.1361594170973968</v>
      </c>
      <c r="HJ34" s="22">
        <f t="shared" si="30"/>
        <v>28.59713445342862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3.7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13.566666666666668</v>
      </c>
      <c r="H35" s="67">
        <f t="shared" si="1"/>
        <v>202.4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59.432632318796919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8.0564102564102633</v>
      </c>
      <c r="N35" s="13">
        <f>IF('Données projet'!$A$36&gt;35,N34+M35-V34,IF(A35&lt;'Données projet'!$A$36,$K$205^A35,IF(A35='Données projet'!$A$36,'Données projet'!$B$36,N34+M35-V34)))</f>
        <v>137.99743589743591</v>
      </c>
      <c r="O35" s="13">
        <f>N35*VLOOKUP('Données projet'!$B$9,Paramètres!$A$1:$I$89,3,0)*VLOOKUP('Données projet'!$B$9,Paramètres!$A$1:$I$89,5,0)</f>
        <v>124.86008000000001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529.18790150960308</v>
      </c>
      <c r="S35" s="59">
        <f ca="1">AVERAGE(OFFSET($R$3,0,0,'Données projet'!$E$9+1,1))-AVERAGE(OFFSET($H$3,0,0,'Données projet'!$E$9+1,1))</f>
        <v>411.64357329340851</v>
      </c>
      <c r="T35" s="59">
        <f t="shared" si="34"/>
        <v>294.07942258675632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59.432632318796919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8.0564102564102633</v>
      </c>
      <c r="AI35" s="13">
        <f>IF('Données projet'!$A$62&gt;35,AI34+AH35-AQ34,IF(A35&lt;'Données projet'!$A$62,$AF$205^A35,IF(A35='Données projet'!$A$62,'Données projet'!$B$62,AI34+AH35-AQ34)))</f>
        <v>137.99743589743591</v>
      </c>
      <c r="AJ35" s="13">
        <f>AI35*VLOOKUP('Données projet'!$B$10,Paramètres!$A$1:$I$89,3,0)*VLOOKUP('Données projet'!$B$10,Paramètres!$A$1:$I$89,5,0)</f>
        <v>139.92940000000002</v>
      </c>
      <c r="AK35" s="13">
        <f t="shared" si="35"/>
        <v>36.280831551634627</v>
      </c>
      <c r="AL35" s="20">
        <f t="shared" si="4"/>
        <v>306.89948661909699</v>
      </c>
      <c r="AM35" s="59">
        <f t="shared" si="5"/>
        <v>561.48580512135231</v>
      </c>
      <c r="AN35" s="59">
        <f ca="1">AVERAGE(OFFSET($AM$3,0,0,'Données projet'!$E$10+1,1))-AVERAGE(OFFSET($H$3,0,0,'Données projet'!$E$10+1,1))</f>
        <v>453.05577105995508</v>
      </c>
      <c r="AO35" s="59">
        <f t="shared" si="36"/>
        <v>322.6839824496758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59.432632318796919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3.5192307692307692</v>
      </c>
      <c r="BD35" s="12">
        <f>IF('Données projet'!$A$88&gt;35,BD34+BC35-BL34,IF(A35&lt;'Données projet'!$A$88,$BA$205^A35,IF(A35='Données projet'!$A$88,'Données projet'!$B$88,BD34+BC35-BL34)))</f>
        <v>63.78205128205127</v>
      </c>
      <c r="BE35" s="13">
        <f>BD35*VLOOKUP('Données projet'!$B$11,Paramètres!$A$1:$I$89,3,0)*VLOOKUP('Données projet'!$B$11,Paramètres!$A$1:$I$89,5,0)</f>
        <v>63.679999999999986</v>
      </c>
      <c r="BF35" s="13">
        <f t="shared" si="37"/>
        <v>18.095440681688277</v>
      </c>
      <c r="BG35" s="20">
        <f t="shared" si="7"/>
        <v>142.42555918727373</v>
      </c>
      <c r="BH35" s="59">
        <f t="shared" si="8"/>
        <v>397.01187768952911</v>
      </c>
      <c r="BI35" s="59">
        <f ca="1">AVERAGE(OFFSET($BH$3,0,0,'Données projet'!$E$11+1,1))-AVERAGE(OFFSET($H$3,0,0,'Données projet'!$E$11+1,1))</f>
        <v>411.38162678377478</v>
      </c>
      <c r="BJ35" s="59">
        <f t="shared" si="38"/>
        <v>177.89903563360403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59.432632318796919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7.2</v>
      </c>
      <c r="BY35" s="12">
        <f>IF('Données projet'!$A$114&gt;35,BY34+BX35-CG34,IF(A35&lt;'Données projet'!$A$114,$BV$205^A35,IF(A35='Données projet'!$A$114,'Données projet'!$B$114,BY34+BX35-CG34)))</f>
        <v>113.4</v>
      </c>
      <c r="BZ35" s="13">
        <f>BY35*VLOOKUP('Données projet'!$B$12,Paramètres!$A$1:$I$89,3,0)*VLOOKUP('Données projet'!$B$12,Paramètres!$A$1:$I$89,5,0)</f>
        <v>118.52568000000002</v>
      </c>
      <c r="CA35" s="13">
        <f t="shared" si="39"/>
        <v>31.33089135758231</v>
      </c>
      <c r="CB35" s="20">
        <f t="shared" si="10"/>
        <v>261.00019511445589</v>
      </c>
      <c r="CC35" s="59">
        <f t="shared" si="11"/>
        <v>515.58651361671127</v>
      </c>
      <c r="CD35" s="59">
        <f ca="1">AVERAGE(OFFSET($CC$3,0,0,'Données projet'!$E$12+1,1))-AVERAGE(OFFSET($H$3,0,0,'Données projet'!$E$12+1,1))</f>
        <v>374.38550202939507</v>
      </c>
      <c r="CE35" s="59">
        <f t="shared" si="40"/>
        <v>324.37486924296718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59.432632318796919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5.3369963369963358</v>
      </c>
      <c r="CT35" s="12">
        <f>IF('Données projet'!$A$140&gt;35,CT34+CS35-DB34,IF(A35&lt;'Données projet'!$A$140,$CQ$205^A35,IF(A35='Données projet'!$A$140,'Données projet'!$B$140,CT34+CS35-DB34)))</f>
        <v>98.379120879120876</v>
      </c>
      <c r="CU35" s="17">
        <f>CT35*VLOOKUP('Données projet'!$B$13,Paramètres!$A$1:$I$89,3,0)*VLOOKUP('Données projet'!$B$13,Paramètres!$A$1:$I$89,5,0)</f>
        <v>93.617571428571438</v>
      </c>
      <c r="CV35" s="13">
        <f t="shared" si="41"/>
        <v>25.435684981217531</v>
      </c>
      <c r="CW35" s="20">
        <f t="shared" si="13"/>
        <v>207.35108824704912</v>
      </c>
      <c r="CX35" s="59">
        <f t="shared" si="14"/>
        <v>461.9374067493045</v>
      </c>
      <c r="CY35" s="59">
        <f ca="1">AVERAGE(OFFSET($CX$3,0,0,'Données projet'!$E$13+1,1))-AVERAGE(OFFSET($H$3,0,0,'Données projet'!$E$13+1,1))</f>
        <v>392.81074187112989</v>
      </c>
      <c r="CZ35" s="59">
        <f t="shared" si="42"/>
        <v>236.19146849073687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59.432632318796919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5.3369963369963358</v>
      </c>
      <c r="DO35" s="12">
        <f>IF('Données projet'!$A$166&gt;35,DO34+DN35-DW34,IF(A35&lt;'Données projet'!$A$166,$DL$205^A35,IF(A35='Données projet'!$A$166,'Données projet'!$B$166,DO34+DN35-DW34)))</f>
        <v>98.379120879120876</v>
      </c>
      <c r="DP35" s="17">
        <f>DO35*VLOOKUP('Données projet'!$B$14,Paramètres!$A$1:$I$89,3,0)*VLOOKUP('Données projet'!$B$14,Paramètres!$A$1:$I$89,5,0)</f>
        <v>105.89528571428571</v>
      </c>
      <c r="DQ35" s="13">
        <f t="shared" si="43"/>
        <v>28.361751794073548</v>
      </c>
      <c r="DR35" s="20">
        <f t="shared" si="16"/>
        <v>233.83100699372565</v>
      </c>
      <c r="DS35" s="59">
        <f t="shared" si="17"/>
        <v>488.417325495981</v>
      </c>
      <c r="DT35" s="59">
        <f ca="1">AVERAGE(OFFSET($DS$3,0,0,'Données projet'!$E$14+1,1))-AVERAGE(OFFSET($H$3,0,0,'Données projet'!$E$14+1,1))</f>
        <v>434.77799524785502</v>
      </c>
      <c r="DU35" s="59">
        <f t="shared" si="44"/>
        <v>259.85949838170006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59.432632318796919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5.3369963369963358</v>
      </c>
      <c r="EJ35" s="12">
        <f>IF('Données projet'!$A$192&gt;35,EJ34+EI35-ER34,IF(A35&lt;'Données projet'!$A$192,$EG$205^A35,IF(A35='Données projet'!$A$192,'Données projet'!$B$192,EJ34+EI35-ER34)))</f>
        <v>98.379120879120876</v>
      </c>
      <c r="EK35" s="17">
        <f>EJ35*VLOOKUP('Données projet'!$B$15,Paramètres!$A$1:$I$89,3,0)*VLOOKUP('Données projet'!$B$15,Paramètres!$A$1:$I$89,5,0)</f>
        <v>95.152285714285725</v>
      </c>
      <c r="EL35" s="13">
        <f t="shared" si="45"/>
        <v>25.803777728906475</v>
      </c>
      <c r="EM35" s="20">
        <f t="shared" si="19"/>
        <v>210.66514383022638</v>
      </c>
      <c r="EN35" s="59">
        <f t="shared" si="20"/>
        <v>465.25146233248176</v>
      </c>
      <c r="EO35" s="59">
        <f ca="1">AVERAGE(OFFSET($EN$3,0,0,'Données projet'!$E$15+1,1))-AVERAGE(OFFSET($H$3,0,0,'Données projet'!$E$15+1,1))</f>
        <v>398.06270423055565</v>
      </c>
      <c r="EP35" s="59">
        <f t="shared" si="46"/>
        <v>239.15364562040614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59.432632318796919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>
        <f>VLOOKUP(A35,'Données projet'!$A$217:$I$237,2,0)</f>
        <v>318.7923076923077</v>
      </c>
      <c r="FC35" s="12">
        <f>VLOOKUP(A35,'Données projet'!$A$217:$I$237,9,0)</f>
        <v>19.393589743589743</v>
      </c>
      <c r="FD35" s="12">
        <f t="array" ref="FD35">INDEX(FC:FC,MIN(IF(ISNUMBER(FC35:FC231),ROW(FC35:FC231),"")))</f>
        <v>19.393589743589743</v>
      </c>
      <c r="FE35" s="12">
        <f>IF('Données projet'!$A$218&gt;35,FE34+FD35-FM34,IF(A35&lt;'Données projet'!$A$218,$FB$205^A35,IF(A35='Données projet'!$A$218,'Données projet'!$B$218,FE34+FD35-FM34)))</f>
        <v>318.79230769230782</v>
      </c>
      <c r="FF35" s="17">
        <f>FE35*VLOOKUP('Données projet'!$B$16,Paramètres!$A$1:$I$89,3,0)*VLOOKUP('Données projet'!$B$16,Paramètres!$A$1:$I$89,5,0)</f>
        <v>190.63780000000008</v>
      </c>
      <c r="FG35" s="13">
        <f t="shared" si="47"/>
        <v>47.680933861376609</v>
      </c>
      <c r="FH35" s="20">
        <f t="shared" si="22"/>
        <v>415.07179480856439</v>
      </c>
      <c r="FI35" s="59">
        <f t="shared" si="23"/>
        <v>669.65811331081977</v>
      </c>
      <c r="FJ35" s="59">
        <f ca="1">AVERAGE(OFFSET($FI$3,0,0,'Données projet'!$E$16+1,1))-AVERAGE(OFFSET($H$3,0,0,'Données projet'!$E$16+1,1))</f>
        <v>334.13861979962491</v>
      </c>
      <c r="FK35" s="59">
        <f t="shared" si="48"/>
        <v>416.48635183664305</v>
      </c>
      <c r="FL35" s="15">
        <f>IF(ISNA(VLOOKUP(A35,'Données projet'!$A$217:$I$237,3,0)),0,VLOOKUP(A35,'Données projet'!$A$217:$I$237,3,0))</f>
        <v>4</v>
      </c>
      <c r="FM35" s="15">
        <f>IF(ISNA(VLOOKUP(A35,'Données projet'!$A$217:$I$237,4,0)),0,VLOOKUP(A35,'Données projet'!$A$217:$I$237,4,0))</f>
        <v>64.523076923076914</v>
      </c>
      <c r="FN35" s="16">
        <f>IF(ISNA(VLOOKUP(A35,'Données projet'!$A$217:$I$237,5,0)),0%,VLOOKUP(A35,'Données projet'!$A$217:$I$237,5,0)*VLOOKUP('Données projet'!$B$16,Paramètres!$A$1:$I$89,7,0))</f>
        <v>0.315</v>
      </c>
      <c r="FO35" s="16">
        <f>IF(ISNA(VLOOKUP(A35,'Données projet'!$A$217:$I$237,6,0)),0%,VLOOKUP(A35,'Données projet'!$A$217:$I$237,6,0)*VLOOKUP('Données projet'!$B$16,Paramètres!$A$1:$I$89,7,0))</f>
        <v>7.5600000000000001E-2</v>
      </c>
      <c r="FP35" s="16">
        <f>IF(ISNA(VLOOKUP(A35,'Données projet'!$A$217:$I$237,7,0)),0%,VLOOKUP(A35,'Données projet'!$A$217:$I$237,7,0))</f>
        <v>0.13200000000000001</v>
      </c>
      <c r="FQ35" s="21">
        <f>EXP(-LN(2)/35)*FQ34+(1-EXP(-LN(2)/35))/(LN(2)/35)*FM35*FN35*VLOOKUP('Données projet'!$B$16,Paramètres!$A$1:$I$89,3,0)*0.475*44/12</f>
        <v>26.548695242558715</v>
      </c>
      <c r="FR35" s="21">
        <f>EXP(-LN(2)/25)*FR34+(1-EXP(-LN(2)/25))/(LN(2)/25)*Calculateur!FM35*Calculateur!FO35*VLOOKUP('Données projet'!$B$16,Paramètres!$A$1:$I$89,3,0)*0.475*44/12</f>
        <v>19.374320264649796</v>
      </c>
      <c r="FS35" s="21">
        <f>EXP(-LN(2)/2)*FS34+(1-EXP(-LN(2)/2))/(LN(2)/2)*FM35*FP35*VLOOKUP('Données projet'!$B$16,Paramètres!$A$1:$I$89,3,0)*0.475*44/12</f>
        <v>6.5593451485188776</v>
      </c>
      <c r="FT35" s="22">
        <f t="shared" si="24"/>
        <v>52.482360655727391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59.432632318796919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16.131410256410259</v>
      </c>
      <c r="FZ35" s="12">
        <f>IF('Données projet'!$A$244&gt;35,FZ34+FY35-GH34,IF(A35&lt;'Données projet'!$A$244,$FW$205^A35,IF(A35='Données projet'!$A$244,'Données projet'!$B$244,FZ34+FY35-GH34)))</f>
        <v>249.05512820512817</v>
      </c>
      <c r="GA35" s="17">
        <f>FZ35*VLOOKUP('Données projet'!$B$17,Paramètres!$A$1:$I$89,3,0)*VLOOKUP('Données projet'!$B$17,Paramètres!$A$1:$I$89,5,0)</f>
        <v>116.55779999999997</v>
      </c>
      <c r="GB35" s="13">
        <f t="shared" si="49"/>
        <v>30.870807833785406</v>
      </c>
      <c r="GC35" s="20">
        <f t="shared" si="25"/>
        <v>256.7714919771762</v>
      </c>
      <c r="GD35" s="59">
        <f t="shared" si="26"/>
        <v>511.35781047943158</v>
      </c>
      <c r="GE35" s="59">
        <f ca="1">AVERAGE(OFFSET($GD$3,0,0,'Données projet'!$E$17+1,1))-AVERAGE(OFFSET($H$3,0,0,'Données projet'!$E$17+1,1))</f>
        <v>317.79829681023142</v>
      </c>
      <c r="GF35" s="59">
        <f t="shared" si="50"/>
        <v>275.07716943523621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59.432632318796919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18.099999999999998</v>
      </c>
      <c r="GU35" s="12">
        <f>IF('Données projet'!$A$270&gt;35,GU34+GT35-HC34,IF(A35&lt;'Données projet'!$A$270,$GR$205^A35,IF(A35='Données projet'!$A$270,'Données projet'!$B$270,GU34+GT35-HC34)))</f>
        <v>251.19230769230759</v>
      </c>
      <c r="GV35" s="17">
        <f>GU35*VLOOKUP('Données projet'!$B$18,Paramètres!$A$1:$I$89,3,0)*VLOOKUP('Données projet'!$B$18,Paramètres!$A$1:$I$89,5,0)</f>
        <v>140.41649999999996</v>
      </c>
      <c r="GW35" s="13">
        <f t="shared" si="51"/>
        <v>36.392403294074647</v>
      </c>
      <c r="GX35" s="20">
        <f t="shared" si="28"/>
        <v>307.94217323717993</v>
      </c>
      <c r="GY35" s="59">
        <f t="shared" si="29"/>
        <v>562.52849173943537</v>
      </c>
      <c r="GZ35" s="59">
        <f ca="1">AVERAGE(OFFSET($GY$3,0,0,'Données projet'!$E$18+1,1))-AVERAGE(OFFSET($H$3,0,0,'Données projet'!$E$18+1,1))</f>
        <v>336.21787234885699</v>
      </c>
      <c r="HA35" s="59">
        <f t="shared" si="52"/>
        <v>315.36156736899113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21.846778492791405</v>
      </c>
      <c r="HI35" s="21">
        <f>EXP(-LN(2)/2)*HI34+(1-EXP(-LN(2)/2))/(LN(2)/2)*HC35*HF35*VLOOKUP('Données projet'!$B$18,Paramètres!$A$1:$I$89,3,0)*0.475*44/12</f>
        <v>4.3389199342712619</v>
      </c>
      <c r="HJ35" s="22">
        <f t="shared" si="30"/>
        <v>26.185698427062668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3.7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13.566666666666668</v>
      </c>
      <c r="H36" s="67">
        <f t="shared" si="1"/>
        <v>202.4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59.615952522970957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8.0564102564102633</v>
      </c>
      <c r="N36" s="13">
        <f>IF('Données projet'!$A$36&gt;35,N35+M36-V35,IF(A36&lt;'Données projet'!$A$36,$K$205^A36,IF(A36='Données projet'!$A$36,'Données projet'!$B$36,N35+M36-V35)))</f>
        <v>146.05384615384617</v>
      </c>
      <c r="O36" s="13">
        <f>N36*VLOOKUP('Données projet'!$B$9,Paramètres!$A$1:$I$89,3,0)*VLOOKUP('Données projet'!$B$9,Paramètres!$A$1:$I$89,5,0)</f>
        <v>132.14952</v>
      </c>
      <c r="P36" s="13">
        <f t="shared" si="33"/>
        <v>34.49257523106499</v>
      </c>
      <c r="Q36" s="20">
        <f t="shared" si="53"/>
        <v>290.23498252743815</v>
      </c>
      <c r="R36" s="59">
        <f t="shared" si="0"/>
        <v>545.49347511166502</v>
      </c>
      <c r="S36" s="59">
        <f ca="1">AVERAGE(OFFSET($R$3,0,0,'Données projet'!$E$9+1,1))-AVERAGE(OFFSET($H$3,0,0,'Données projet'!$E$9+1,1))</f>
        <v>411.64357329340851</v>
      </c>
      <c r="T36" s="59">
        <f t="shared" si="34"/>
        <v>294.07942258675632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59.615952522970957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8.0564102564102633</v>
      </c>
      <c r="AI36" s="13">
        <f>IF('Données projet'!$A$62&gt;35,AI35+AH36-AQ35,IF(A36&lt;'Données projet'!$A$62,$AF$205^A36,IF(A36='Données projet'!$A$62,'Données projet'!$B$62,AI35+AH36-AQ35)))</f>
        <v>146.05384615384617</v>
      </c>
      <c r="AJ36" s="13">
        <f>AI36*VLOOKUP('Données projet'!$B$10,Paramètres!$A$1:$I$89,3,0)*VLOOKUP('Données projet'!$B$10,Paramètres!$A$1:$I$89,5,0)</f>
        <v>148.09860000000003</v>
      </c>
      <c r="AK36" s="13">
        <f t="shared" si="35"/>
        <v>38.146165355224731</v>
      </c>
      <c r="AL36" s="20">
        <f t="shared" si="4"/>
        <v>324.37629966034979</v>
      </c>
      <c r="AM36" s="59">
        <f t="shared" si="5"/>
        <v>579.6347922445766</v>
      </c>
      <c r="AN36" s="59">
        <f ca="1">AVERAGE(OFFSET($AM$3,0,0,'Données projet'!$E$10+1,1))-AVERAGE(OFFSET($H$3,0,0,'Données projet'!$E$10+1,1))</f>
        <v>453.05577105995508</v>
      </c>
      <c r="AO36" s="59">
        <f t="shared" si="36"/>
        <v>322.6839824496758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59.615952522970957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3.5192307692307692</v>
      </c>
      <c r="BD36" s="12">
        <f>IF('Données projet'!$A$88&gt;35,BD35+BC36-BL35,IF(A36&lt;'Données projet'!$A$88,$BA$205^A36,IF(A36='Données projet'!$A$88,'Données projet'!$B$88,BD35+BC36-BL35)))</f>
        <v>67.301282051282044</v>
      </c>
      <c r="BE36" s="13">
        <f>BD36*VLOOKUP('Données projet'!$B$11,Paramètres!$A$1:$I$89,3,0)*VLOOKUP('Données projet'!$B$11,Paramètres!$A$1:$I$89,5,0)</f>
        <v>67.193599999999989</v>
      </c>
      <c r="BF36" s="13">
        <f t="shared" si="37"/>
        <v>18.974878595426844</v>
      </c>
      <c r="BG36" s="20">
        <f t="shared" si="7"/>
        <v>150.07676688703506</v>
      </c>
      <c r="BH36" s="59">
        <f t="shared" si="8"/>
        <v>405.33525947126191</v>
      </c>
      <c r="BI36" s="59">
        <f ca="1">AVERAGE(OFFSET($BH$3,0,0,'Données projet'!$E$11+1,1))-AVERAGE(OFFSET($H$3,0,0,'Données projet'!$E$11+1,1))</f>
        <v>411.38162678377478</v>
      </c>
      <c r="BJ36" s="59">
        <f t="shared" si="38"/>
        <v>177.89903563360403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59.615952522970957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7.2</v>
      </c>
      <c r="BY36" s="12">
        <f>IF('Données projet'!$A$114&gt;35,BY35+BX36-CG35,IF(A36&lt;'Données projet'!$A$114,$BV$205^A36,IF(A36='Données projet'!$A$114,'Données projet'!$B$114,BY35+BX36-CG35)))</f>
        <v>120.60000000000001</v>
      </c>
      <c r="BZ36" s="13">
        <f>BY36*VLOOKUP('Données projet'!$B$12,Paramètres!$A$1:$I$89,3,0)*VLOOKUP('Données projet'!$B$12,Paramètres!$A$1:$I$89,5,0)</f>
        <v>126.05112000000001</v>
      </c>
      <c r="CA36" s="13">
        <f t="shared" si="39"/>
        <v>33.082257431983265</v>
      </c>
      <c r="CB36" s="20">
        <f t="shared" si="10"/>
        <v>277.15729902737081</v>
      </c>
      <c r="CC36" s="59">
        <f t="shared" si="11"/>
        <v>532.41579161159768</v>
      </c>
      <c r="CD36" s="59">
        <f ca="1">AVERAGE(OFFSET($CC$3,0,0,'Données projet'!$E$12+1,1))-AVERAGE(OFFSET($H$3,0,0,'Données projet'!$E$12+1,1))</f>
        <v>374.38550202939507</v>
      </c>
      <c r="CE36" s="59">
        <f t="shared" si="40"/>
        <v>324.37486924296718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59.615952522970957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5.3369963369963358</v>
      </c>
      <c r="CT36" s="12">
        <f>IF('Données projet'!$A$140&gt;35,CT35+CS36-DB35,IF(A36&lt;'Données projet'!$A$140,$CQ$205^A36,IF(A36='Données projet'!$A$140,'Données projet'!$B$140,CT35+CS36-DB35)))</f>
        <v>103.71611721611721</v>
      </c>
      <c r="CU36" s="17">
        <f>CT36*VLOOKUP('Données projet'!$B$13,Paramètres!$A$1:$I$89,3,0)*VLOOKUP('Données projet'!$B$13,Paramètres!$A$1:$I$89,5,0)</f>
        <v>98.696257142857135</v>
      </c>
      <c r="CV36" s="13">
        <f t="shared" si="41"/>
        <v>26.651161963830063</v>
      </c>
      <c r="CW36" s="20">
        <f t="shared" si="13"/>
        <v>218.31342161081352</v>
      </c>
      <c r="CX36" s="59">
        <f t="shared" si="14"/>
        <v>473.57191419504034</v>
      </c>
      <c r="CY36" s="59">
        <f ca="1">AVERAGE(OFFSET($CX$3,0,0,'Données projet'!$E$13+1,1))-AVERAGE(OFFSET($H$3,0,0,'Données projet'!$E$13+1,1))</f>
        <v>392.81074187112989</v>
      </c>
      <c r="CZ36" s="59">
        <f t="shared" si="42"/>
        <v>236.19146849073687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59.615952522970957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5.3369963369963358</v>
      </c>
      <c r="DO36" s="12">
        <f>IF('Données projet'!$A$166&gt;35,DO35+DN36-DW35,IF(A36&lt;'Données projet'!$A$166,$DL$205^A36,IF(A36='Données projet'!$A$166,'Données projet'!$B$166,DO35+DN36-DW35)))</f>
        <v>103.71611721611721</v>
      </c>
      <c r="DP36" s="17">
        <f>DO36*VLOOKUP('Données projet'!$B$14,Paramètres!$A$1:$I$89,3,0)*VLOOKUP('Données projet'!$B$14,Paramètres!$A$1:$I$89,5,0)</f>
        <v>111.64002857142856</v>
      </c>
      <c r="DQ36" s="13">
        <f t="shared" si="43"/>
        <v>29.717054649794633</v>
      </c>
      <c r="DR36" s="20">
        <f t="shared" si="16"/>
        <v>246.19691994363038</v>
      </c>
      <c r="DS36" s="59">
        <f t="shared" si="17"/>
        <v>501.45541252785722</v>
      </c>
      <c r="DT36" s="59">
        <f ca="1">AVERAGE(OFFSET($DS$3,0,0,'Données projet'!$E$14+1,1))-AVERAGE(OFFSET($H$3,0,0,'Données projet'!$E$14+1,1))</f>
        <v>434.77799524785502</v>
      </c>
      <c r="DU36" s="59">
        <f t="shared" si="44"/>
        <v>259.85949838170006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59.615952522970957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5.3369963369963358</v>
      </c>
      <c r="EJ36" s="12">
        <f>IF('Données projet'!$A$192&gt;35,EJ35+EI36-ER35,IF(A36&lt;'Données projet'!$A$192,$EG$205^A36,IF(A36='Données projet'!$A$192,'Données projet'!$B$192,EJ35+EI36-ER35)))</f>
        <v>103.71611721611721</v>
      </c>
      <c r="EK36" s="17">
        <f>EJ36*VLOOKUP('Données projet'!$B$15,Paramètres!$A$1:$I$89,3,0)*VLOOKUP('Données projet'!$B$15,Paramètres!$A$1:$I$89,5,0)</f>
        <v>100.31422857142856</v>
      </c>
      <c r="EL36" s="13">
        <f t="shared" si="45"/>
        <v>27.036844497782397</v>
      </c>
      <c r="EM36" s="20">
        <f t="shared" si="19"/>
        <v>221.80311892887573</v>
      </c>
      <c r="EN36" s="59">
        <f t="shared" si="20"/>
        <v>477.06161151310255</v>
      </c>
      <c r="EO36" s="59">
        <f ca="1">AVERAGE(OFFSET($EN$3,0,0,'Données projet'!$E$15+1,1))-AVERAGE(OFFSET($H$3,0,0,'Données projet'!$E$15+1,1))</f>
        <v>398.06270423055565</v>
      </c>
      <c r="EP36" s="59">
        <f t="shared" si="46"/>
        <v>239.15364562040614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59.615952522970957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18.055769230769229</v>
      </c>
      <c r="FE36" s="12">
        <f>IF('Données projet'!$A$218&gt;35,FE35+FD36-FM35,IF(A36&lt;'Données projet'!$A$218,$FB$205^A36,IF(A36='Données projet'!$A$218,'Données projet'!$B$218,FE35+FD36-FM35)))</f>
        <v>272.3250000000001</v>
      </c>
      <c r="FF36" s="17">
        <f>FE36*VLOOKUP('Données projet'!$B$16,Paramètres!$A$1:$I$89,3,0)*VLOOKUP('Données projet'!$B$16,Paramètres!$A$1:$I$89,5,0)</f>
        <v>162.85035000000008</v>
      </c>
      <c r="FG36" s="13">
        <f t="shared" si="47"/>
        <v>41.484757610477807</v>
      </c>
      <c r="FH36" s="20">
        <f t="shared" si="22"/>
        <v>355.88364575491568</v>
      </c>
      <c r="FI36" s="59">
        <f t="shared" si="23"/>
        <v>611.14213833914255</v>
      </c>
      <c r="FJ36" s="59">
        <f ca="1">AVERAGE(OFFSET($FI$3,0,0,'Données projet'!$E$16+1,1))-AVERAGE(OFFSET($H$3,0,0,'Données projet'!$E$16+1,1))</f>
        <v>334.13861979962491</v>
      </c>
      <c r="FK36" s="59">
        <f t="shared" si="48"/>
        <v>416.48635183664305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26.0280915219573</v>
      </c>
      <c r="FR36" s="21">
        <f>EXP(-LN(2)/25)*FR35+(1-EXP(-LN(2)/25))/(LN(2)/25)*Calculateur!FM36*Calculateur!FO36*VLOOKUP('Données projet'!$B$16,Paramètres!$A$1:$I$89,3,0)*0.475*44/12</f>
        <v>18.844528458161726</v>
      </c>
      <c r="FS36" s="21">
        <f>EXP(-LN(2)/2)*FS35+(1-EXP(-LN(2)/2))/(LN(2)/2)*FM36*FP36*VLOOKUP('Données projet'!$B$16,Paramètres!$A$1:$I$89,3,0)*0.475*44/12</f>
        <v>4.6381574346607808</v>
      </c>
      <c r="FT36" s="22">
        <f t="shared" si="24"/>
        <v>49.51077741477981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59.615952522970957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16.131410256410259</v>
      </c>
      <c r="FZ36" s="12">
        <f>IF('Données projet'!$A$244&gt;35,FZ35+FY36-GH35,IF(A36&lt;'Données projet'!$A$244,$FW$205^A36,IF(A36='Données projet'!$A$244,'Données projet'!$B$244,FZ35+FY36-GH35)))</f>
        <v>265.18653846153842</v>
      </c>
      <c r="GA36" s="17">
        <f>FZ36*VLOOKUP('Données projet'!$B$17,Paramètres!$A$1:$I$89,3,0)*VLOOKUP('Données projet'!$B$17,Paramètres!$A$1:$I$89,5,0)</f>
        <v>124.10729999999997</v>
      </c>
      <c r="GB36" s="13">
        <f t="shared" si="49"/>
        <v>32.631075149258578</v>
      </c>
      <c r="GC36" s="20">
        <f t="shared" si="25"/>
        <v>272.98600338495862</v>
      </c>
      <c r="GD36" s="59">
        <f t="shared" si="26"/>
        <v>528.24449596918544</v>
      </c>
      <c r="GE36" s="59">
        <f ca="1">AVERAGE(OFFSET($GD$3,0,0,'Données projet'!$E$17+1,1))-AVERAGE(OFFSET($H$3,0,0,'Données projet'!$E$17+1,1))</f>
        <v>317.79829681023142</v>
      </c>
      <c r="GF36" s="59">
        <f t="shared" si="50"/>
        <v>275.07716943523621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59.615952522970957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18.099999999999998</v>
      </c>
      <c r="GU36" s="12">
        <f>IF('Données projet'!$A$270&gt;35,GU35+GT36-HC35,IF(A36&lt;'Données projet'!$A$270,$GR$205^A36,IF(A36='Données projet'!$A$270,'Données projet'!$B$270,GU35+GT36-HC35)))</f>
        <v>269.29230769230759</v>
      </c>
      <c r="GV36" s="17">
        <f>GU36*VLOOKUP('Données projet'!$B$18,Paramètres!$A$1:$I$89,3,0)*VLOOKUP('Données projet'!$B$18,Paramètres!$A$1:$I$89,5,0)</f>
        <v>150.53439999999995</v>
      </c>
      <c r="GW36" s="13">
        <f t="shared" si="51"/>
        <v>38.700004790658191</v>
      </c>
      <c r="GX36" s="20">
        <f t="shared" si="28"/>
        <v>329.58325501039627</v>
      </c>
      <c r="GY36" s="59">
        <f t="shared" si="29"/>
        <v>584.84174759462314</v>
      </c>
      <c r="GZ36" s="59">
        <f ca="1">AVERAGE(OFFSET($GY$3,0,0,'Données projet'!$E$18+1,1))-AVERAGE(OFFSET($H$3,0,0,'Données projet'!$E$18+1,1))</f>
        <v>336.21787234885699</v>
      </c>
      <c r="HA36" s="59">
        <f t="shared" si="52"/>
        <v>315.36156736899113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21.249377186033875</v>
      </c>
      <c r="HI36" s="21">
        <f>EXP(-LN(2)/2)*HI35+(1-EXP(-LN(2)/2))/(LN(2)/2)*HC36*HF36*VLOOKUP('Données projet'!$B$18,Paramètres!$A$1:$I$89,3,0)*0.475*44/12</f>
        <v>3.0680797085486984</v>
      </c>
      <c r="HJ36" s="22">
        <f t="shared" si="30"/>
        <v>24.317456894582573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3.7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13.566666666666668</v>
      </c>
      <c r="H37" s="67">
        <f t="shared" si="1"/>
        <v>202.4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59.796092531445154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8.0564102564102633</v>
      </c>
      <c r="N37" s="13">
        <f>IF('Données projet'!$A$36&gt;35,N36+M37-V36,IF(A37&lt;'Données projet'!$A$36,$K$205^A37,IF(A37='Données projet'!$A$36,'Données projet'!$B$36,N36+M37-V36)))</f>
        <v>154.11025641025643</v>
      </c>
      <c r="O37" s="13">
        <f>N37*VLOOKUP('Données projet'!$B$9,Paramètres!$A$1:$I$89,3,0)*VLOOKUP('Données projet'!$B$9,Paramètres!$A$1:$I$89,5,0)</f>
        <v>139.43896000000001</v>
      </c>
      <c r="P37" s="13">
        <f t="shared" si="33"/>
        <v>36.168449088081644</v>
      </c>
      <c r="Q37" s="20">
        <f t="shared" si="53"/>
        <v>305.8495708284089</v>
      </c>
      <c r="R37" s="59">
        <f t="shared" si="0"/>
        <v>561.76857677704118</v>
      </c>
      <c r="S37" s="59">
        <f ca="1">AVERAGE(OFFSET($R$3,0,0,'Données projet'!$E$9+1,1))-AVERAGE(OFFSET($H$3,0,0,'Données projet'!$E$9+1,1))</f>
        <v>411.64357329340851</v>
      </c>
      <c r="T37" s="59">
        <f t="shared" si="34"/>
        <v>294.07942258675632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59.796092531445154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8.0564102564102633</v>
      </c>
      <c r="AI37" s="13">
        <f>IF('Données projet'!$A$62&gt;35,AI36+AH37-AQ36,IF(A37&lt;'Données projet'!$A$62,$AF$205^A37,IF(A37='Données projet'!$A$62,'Données projet'!$B$62,AI36+AH37-AQ36)))</f>
        <v>154.11025641025643</v>
      </c>
      <c r="AJ37" s="13">
        <f>AI37*VLOOKUP('Données projet'!$B$10,Paramètres!$A$1:$I$89,3,0)*VLOOKUP('Données projet'!$B$10,Paramètres!$A$1:$I$89,5,0)</f>
        <v>156.26780000000002</v>
      </c>
      <c r="AK37" s="13">
        <f t="shared" si="35"/>
        <v>39.999554405940785</v>
      </c>
      <c r="AL37" s="20">
        <f t="shared" si="4"/>
        <v>341.83230892368027</v>
      </c>
      <c r="AM37" s="59">
        <f t="shared" si="5"/>
        <v>597.75131487231249</v>
      </c>
      <c r="AN37" s="59">
        <f ca="1">AVERAGE(OFFSET($AM$3,0,0,'Données projet'!$E$10+1,1))-AVERAGE(OFFSET($H$3,0,0,'Données projet'!$E$10+1,1))</f>
        <v>453.05577105995508</v>
      </c>
      <c r="AO37" s="59">
        <f t="shared" si="36"/>
        <v>322.6839824496758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59.796092531445154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3.5192307692307692</v>
      </c>
      <c r="BD37" s="12">
        <f>IF('Données projet'!$A$88&gt;35,BD36+BC37-BL36,IF(A37&lt;'Données projet'!$A$88,$BA$205^A37,IF(A37='Données projet'!$A$88,'Données projet'!$B$88,BD36+BC37-BL36)))</f>
        <v>70.820512820512818</v>
      </c>
      <c r="BE37" s="13">
        <f>BD37*VLOOKUP('Données projet'!$B$11,Paramètres!$A$1:$I$89,3,0)*VLOOKUP('Données projet'!$B$11,Paramètres!$A$1:$I$89,5,0)</f>
        <v>70.7072</v>
      </c>
      <c r="BF37" s="13">
        <f t="shared" si="37"/>
        <v>19.848977378678534</v>
      </c>
      <c r="BG37" s="20">
        <f t="shared" si="7"/>
        <v>157.71867560119844</v>
      </c>
      <c r="BH37" s="59">
        <f t="shared" si="8"/>
        <v>413.63768154983069</v>
      </c>
      <c r="BI37" s="59">
        <f ca="1">AVERAGE(OFFSET($BH$3,0,0,'Données projet'!$E$11+1,1))-AVERAGE(OFFSET($H$3,0,0,'Données projet'!$E$11+1,1))</f>
        <v>411.38162678377478</v>
      </c>
      <c r="BJ37" s="59">
        <f t="shared" si="38"/>
        <v>177.89903563360403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59.796092531445154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7.2</v>
      </c>
      <c r="BY37" s="12">
        <f>IF('Données projet'!$A$114&gt;35,BY36+BX37-CG36,IF(A37&lt;'Données projet'!$A$114,$BV$205^A37,IF(A37='Données projet'!$A$114,'Données projet'!$B$114,BY36+BX37-CG36)))</f>
        <v>127.80000000000001</v>
      </c>
      <c r="BZ37" s="13">
        <f>BY37*VLOOKUP('Données projet'!$B$12,Paramètres!$A$1:$I$89,3,0)*VLOOKUP('Données projet'!$B$12,Paramètres!$A$1:$I$89,5,0)</f>
        <v>133.57656000000003</v>
      </c>
      <c r="CA37" s="13">
        <f t="shared" si="39"/>
        <v>34.821487400887904</v>
      </c>
      <c r="CB37" s="20">
        <f t="shared" si="10"/>
        <v>293.29326588987982</v>
      </c>
      <c r="CC37" s="59">
        <f t="shared" si="11"/>
        <v>549.21227183851204</v>
      </c>
      <c r="CD37" s="59">
        <f ca="1">AVERAGE(OFFSET($CC$3,0,0,'Données projet'!$E$12+1,1))-AVERAGE(OFFSET($H$3,0,0,'Données projet'!$E$12+1,1))</f>
        <v>374.38550202939507</v>
      </c>
      <c r="CE37" s="59">
        <f t="shared" si="40"/>
        <v>324.37486924296718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59.796092531445154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5.3369963369963358</v>
      </c>
      <c r="CT37" s="12">
        <f>IF('Données projet'!$A$140&gt;35,CT36+CS37-DB36,IF(A37&lt;'Données projet'!$A$140,$CQ$205^A37,IF(A37='Données projet'!$A$140,'Données projet'!$B$140,CT36+CS37-DB36)))</f>
        <v>109.05311355311355</v>
      </c>
      <c r="CU37" s="17">
        <f>CT37*VLOOKUP('Données projet'!$B$13,Paramètres!$A$1:$I$89,3,0)*VLOOKUP('Données projet'!$B$13,Paramètres!$A$1:$I$89,5,0)</f>
        <v>103.77494285714286</v>
      </c>
      <c r="CV37" s="13">
        <f t="shared" si="41"/>
        <v>27.859377004589561</v>
      </c>
      <c r="CW37" s="20">
        <f t="shared" si="13"/>
        <v>229.26310709251729</v>
      </c>
      <c r="CX37" s="59">
        <f t="shared" si="14"/>
        <v>485.18211304114953</v>
      </c>
      <c r="CY37" s="59">
        <f ca="1">AVERAGE(OFFSET($CX$3,0,0,'Données projet'!$E$13+1,1))-AVERAGE(OFFSET($H$3,0,0,'Données projet'!$E$13+1,1))</f>
        <v>392.81074187112989</v>
      </c>
      <c r="CZ37" s="59">
        <f t="shared" si="42"/>
        <v>236.19146849073687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59.796092531445154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5.3369963369963358</v>
      </c>
      <c r="DO37" s="12">
        <f>IF('Données projet'!$A$166&gt;35,DO36+DN37-DW36,IF(A37&lt;'Données projet'!$A$166,$DL$205^A37,IF(A37='Données projet'!$A$166,'Données projet'!$B$166,DO36+DN37-DW36)))</f>
        <v>109.05311355311355</v>
      </c>
      <c r="DP37" s="17">
        <f>DO37*VLOOKUP('Données projet'!$B$14,Paramètres!$A$1:$I$89,3,0)*VLOOKUP('Données projet'!$B$14,Paramètres!$A$1:$I$89,5,0)</f>
        <v>117.38477142857143</v>
      </c>
      <c r="DQ37" s="13">
        <f t="shared" si="43"/>
        <v>31.064260165399627</v>
      </c>
      <c r="DR37" s="20">
        <f t="shared" si="16"/>
        <v>258.54873002616625</v>
      </c>
      <c r="DS37" s="59">
        <f t="shared" si="17"/>
        <v>514.46773597479853</v>
      </c>
      <c r="DT37" s="59">
        <f ca="1">AVERAGE(OFFSET($DS$3,0,0,'Données projet'!$E$14+1,1))-AVERAGE(OFFSET($H$3,0,0,'Données projet'!$E$14+1,1))</f>
        <v>434.77799524785502</v>
      </c>
      <c r="DU37" s="59">
        <f t="shared" si="44"/>
        <v>259.85949838170006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59.796092531445154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5.3369963369963358</v>
      </c>
      <c r="EJ37" s="12">
        <f>IF('Données projet'!$A$192&gt;35,EJ36+EI37-ER36,IF(A37&lt;'Données projet'!$A$192,$EG$205^A37,IF(A37='Données projet'!$A$192,'Données projet'!$B$192,EJ36+EI37-ER36)))</f>
        <v>109.05311355311355</v>
      </c>
      <c r="EK37" s="17">
        <f>EJ37*VLOOKUP('Données projet'!$B$15,Paramètres!$A$1:$I$89,3,0)*VLOOKUP('Données projet'!$B$15,Paramètres!$A$1:$I$89,5,0)</f>
        <v>105.47617142857143</v>
      </c>
      <c r="EL37" s="13">
        <f t="shared" si="45"/>
        <v>28.262544233547384</v>
      </c>
      <c r="EM37" s="20">
        <f t="shared" si="19"/>
        <v>232.92826311152359</v>
      </c>
      <c r="EN37" s="59">
        <f t="shared" si="20"/>
        <v>488.84726906015584</v>
      </c>
      <c r="EO37" s="59">
        <f ca="1">AVERAGE(OFFSET($EN$3,0,0,'Données projet'!$E$15+1,1))-AVERAGE(OFFSET($H$3,0,0,'Données projet'!$E$15+1,1))</f>
        <v>398.06270423055565</v>
      </c>
      <c r="EP37" s="59">
        <f t="shared" si="46"/>
        <v>239.15364562040614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59.796092531445154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18.055769230769229</v>
      </c>
      <c r="FE37" s="12">
        <f>IF('Données projet'!$A$218&gt;35,FE36+FD37-FM36,IF(A37&lt;'Données projet'!$A$218,$FB$205^A37,IF(A37='Données projet'!$A$218,'Données projet'!$B$218,FE36+FD37-FM36)))</f>
        <v>290.38076923076932</v>
      </c>
      <c r="FF37" s="17">
        <f>FE37*VLOOKUP('Données projet'!$B$16,Paramètres!$A$1:$I$89,3,0)*VLOOKUP('Données projet'!$B$16,Paramètres!$A$1:$I$89,5,0)</f>
        <v>173.64770000000004</v>
      </c>
      <c r="FG37" s="13">
        <f t="shared" si="47"/>
        <v>43.905974872685142</v>
      </c>
      <c r="FH37" s="20">
        <f t="shared" si="22"/>
        <v>378.90598373659333</v>
      </c>
      <c r="FI37" s="59">
        <f t="shared" si="23"/>
        <v>634.82498968522555</v>
      </c>
      <c r="FJ37" s="59">
        <f ca="1">AVERAGE(OFFSET($FI$3,0,0,'Données projet'!$E$16+1,1))-AVERAGE(OFFSET($H$3,0,0,'Données projet'!$E$16+1,1))</f>
        <v>334.13861979962491</v>
      </c>
      <c r="FK37" s="59">
        <f t="shared" si="48"/>
        <v>416.48635183664305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25.517696522779964</v>
      </c>
      <c r="FR37" s="21">
        <f>EXP(-LN(2)/25)*FR36+(1-EXP(-LN(2)/25))/(LN(2)/25)*Calculateur!FM37*Calculateur!FO37*VLOOKUP('Données projet'!$B$16,Paramètres!$A$1:$I$89,3,0)*0.475*44/12</f>
        <v>18.329223836482612</v>
      </c>
      <c r="FS37" s="21">
        <f>EXP(-LN(2)/2)*FS36+(1-EXP(-LN(2)/2))/(LN(2)/2)*FM37*FP37*VLOOKUP('Données projet'!$B$16,Paramètres!$A$1:$I$89,3,0)*0.475*44/12</f>
        <v>3.2796725742594397</v>
      </c>
      <c r="FT37" s="22">
        <f t="shared" si="24"/>
        <v>47.126592933522019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59.796092531445154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16.131410256410259</v>
      </c>
      <c r="FZ37" s="12">
        <f>IF('Données projet'!$A$244&gt;35,FZ36+FY37-GH36,IF(A37&lt;'Données projet'!$A$244,$FW$205^A37,IF(A37='Données projet'!$A$244,'Données projet'!$B$244,FZ36+FY37-GH36)))</f>
        <v>281.3179487179487</v>
      </c>
      <c r="GA37" s="17">
        <f>FZ37*VLOOKUP('Données projet'!$B$17,Paramètres!$A$1:$I$89,3,0)*VLOOKUP('Données projet'!$B$17,Paramètres!$A$1:$I$89,5,0)</f>
        <v>131.65679999999998</v>
      </c>
      <c r="GB37" s="13">
        <f t="shared" si="49"/>
        <v>34.378914540413547</v>
      </c>
      <c r="GC37" s="20">
        <f t="shared" si="25"/>
        <v>289.17886949122021</v>
      </c>
      <c r="GD37" s="59">
        <f t="shared" si="26"/>
        <v>545.09787543985249</v>
      </c>
      <c r="GE37" s="59">
        <f ca="1">AVERAGE(OFFSET($GD$3,0,0,'Données projet'!$E$17+1,1))-AVERAGE(OFFSET($H$3,0,0,'Données projet'!$E$17+1,1))</f>
        <v>317.79829681023142</v>
      </c>
      <c r="GF37" s="59">
        <f t="shared" si="50"/>
        <v>275.07716943523621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59.796092531445154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18.099999999999998</v>
      </c>
      <c r="GU37" s="12">
        <f>IF('Données projet'!$A$270&gt;35,GU36+GT37-HC36,IF(A37&lt;'Données projet'!$A$270,$GR$205^A37,IF(A37='Données projet'!$A$270,'Données projet'!$B$270,GU36+GT37-HC36)))</f>
        <v>287.39230769230761</v>
      </c>
      <c r="GV37" s="17">
        <f>GU37*VLOOKUP('Données projet'!$B$18,Paramètres!$A$1:$I$89,3,0)*VLOOKUP('Données projet'!$B$18,Paramètres!$A$1:$I$89,5,0)</f>
        <v>160.65229999999994</v>
      </c>
      <c r="GW37" s="13">
        <f t="shared" si="51"/>
        <v>40.989608635643791</v>
      </c>
      <c r="GX37" s="20">
        <f t="shared" si="28"/>
        <v>351.19299087374617</v>
      </c>
      <c r="GY37" s="59">
        <f t="shared" si="29"/>
        <v>607.11199682237839</v>
      </c>
      <c r="GZ37" s="59">
        <f ca="1">AVERAGE(OFFSET($GY$3,0,0,'Données projet'!$E$18+1,1))-AVERAGE(OFFSET($H$3,0,0,'Données projet'!$E$18+1,1))</f>
        <v>336.21787234885699</v>
      </c>
      <c r="HA37" s="59">
        <f t="shared" si="52"/>
        <v>315.36156736899113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20.668311849425599</v>
      </c>
      <c r="HI37" s="21">
        <f>EXP(-LN(2)/2)*HI36+(1-EXP(-LN(2)/2))/(LN(2)/2)*HC37*HF37*VLOOKUP('Données projet'!$B$18,Paramètres!$A$1:$I$89,3,0)*0.475*44/12</f>
        <v>2.1694599671356309</v>
      </c>
      <c r="HJ37" s="22">
        <f t="shared" si="30"/>
        <v>22.837771816561229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3.7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13.566666666666668</v>
      </c>
      <c r="H38" s="67">
        <f t="shared" si="1"/>
        <v>202.4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59.973107513505028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162.16666666666669</v>
      </c>
      <c r="L38" s="12">
        <f>VLOOKUP(A38,'Données projet'!$A$35:$I$55,9,0)</f>
        <v>8.0564102564102633</v>
      </c>
      <c r="M38" s="12">
        <f t="array" ref="M38">INDEX(L:L,MIN(IF(ISNUMBER(L38:L234),ROW(L38:L234),"")))</f>
        <v>8.0564102564102633</v>
      </c>
      <c r="N38" s="13">
        <f>IF('Données projet'!$A$36&gt;35,N37+M38-V37,IF(A38&lt;'Données projet'!$A$36,$K$205^A38,IF(A38='Données projet'!$A$36,'Données projet'!$B$36,N37+M38-V37)))</f>
        <v>162.16666666666669</v>
      </c>
      <c r="O38" s="13">
        <f>N38*VLOOKUP('Données projet'!$B$9,Paramètres!$A$1:$I$89,3,0)*VLOOKUP('Données projet'!$B$9,Paramètres!$A$1:$I$89,5,0)</f>
        <v>146.72840000000002</v>
      </c>
      <c r="P38" s="13">
        <f t="shared" si="33"/>
        <v>37.834151268675086</v>
      </c>
      <c r="Q38" s="20">
        <f t="shared" si="53"/>
        <v>321.44644345960916</v>
      </c>
      <c r="R38" s="59">
        <f t="shared" si="0"/>
        <v>578.0145043424609</v>
      </c>
      <c r="S38" s="59">
        <f ca="1">AVERAGE(OFFSET($R$3,0,0,'Données projet'!$E$9+1,1))-AVERAGE(OFFSET($H$3,0,0,'Données projet'!$E$9+1,1))</f>
        <v>411.64357329340851</v>
      </c>
      <c r="T38" s="59">
        <f t="shared" si="34"/>
        <v>294.07942258675632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59.973107513505028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162.16666666666669</v>
      </c>
      <c r="AG38" s="12">
        <f>VLOOKUP(A38,'Données projet'!$A$61:$I$81,9,0)</f>
        <v>8.0564102564102633</v>
      </c>
      <c r="AH38" s="12">
        <f t="array" ref="AH38">INDEX(AG:AG,MIN(IF(ISNUMBER(AG38:AG234),ROW(AG38:AG234),"")))</f>
        <v>8.0564102564102633</v>
      </c>
      <c r="AI38" s="13">
        <f>IF('Données projet'!$A$62&gt;35,AI37+AH38-AQ37,IF(A38&lt;'Données projet'!$A$62,$AF$205^A38,IF(A38='Données projet'!$A$62,'Données projet'!$B$62,AI37+AH38-AQ37)))</f>
        <v>162.16666666666669</v>
      </c>
      <c r="AJ38" s="13">
        <f>AI38*VLOOKUP('Données projet'!$B$10,Paramètres!$A$1:$I$89,3,0)*VLOOKUP('Données projet'!$B$10,Paramètres!$A$1:$I$89,5,0)</f>
        <v>164.43700000000001</v>
      </c>
      <c r="AK38" s="13">
        <f t="shared" si="35"/>
        <v>41.841694355997333</v>
      </c>
      <c r="AL38" s="20">
        <f t="shared" si="4"/>
        <v>359.26872600336202</v>
      </c>
      <c r="AM38" s="59">
        <f t="shared" si="5"/>
        <v>615.83678688621376</v>
      </c>
      <c r="AN38" s="59">
        <f ca="1">AVERAGE(OFFSET($AM$3,0,0,'Données projet'!$E$10+1,1))-AVERAGE(OFFSET($H$3,0,0,'Données projet'!$E$10+1,1))</f>
        <v>453.05577105995508</v>
      </c>
      <c r="AO38" s="59">
        <f t="shared" si="36"/>
        <v>322.6839824496758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60.602564102564102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59.973107513505028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3.5192307692307692</v>
      </c>
      <c r="BD38" s="12">
        <f>IF('Données projet'!$A$88&gt;35,BD37+BC38-BL37,IF(A38&lt;'Données projet'!$A$88,$BA$205^A38,IF(A38='Données projet'!$A$88,'Données projet'!$B$88,BD37+BC38-BL37)))</f>
        <v>74.339743589743591</v>
      </c>
      <c r="BE38" s="13">
        <f>BD38*VLOOKUP('Données projet'!$B$11,Paramètres!$A$1:$I$89,3,0)*VLOOKUP('Données projet'!$B$11,Paramètres!$A$1:$I$89,5,0)</f>
        <v>74.220799999999997</v>
      </c>
      <c r="BF38" s="13">
        <f t="shared" si="37"/>
        <v>20.718032621492171</v>
      </c>
      <c r="BG38" s="20">
        <f t="shared" si="7"/>
        <v>165.35180014909886</v>
      </c>
      <c r="BH38" s="59">
        <f t="shared" si="8"/>
        <v>421.91986103195063</v>
      </c>
      <c r="BI38" s="59">
        <f ca="1">AVERAGE(OFFSET($BH$3,0,0,'Données projet'!$E$11+1,1))-AVERAGE(OFFSET($H$3,0,0,'Données projet'!$E$11+1,1))</f>
        <v>411.38162678377478</v>
      </c>
      <c r="BJ38" s="59">
        <f t="shared" si="38"/>
        <v>177.89903563360403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59.973107513505028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135</v>
      </c>
      <c r="BW38" s="12">
        <f>VLOOKUP(A38,'Données projet'!$A$113:$I$133,9,0)</f>
        <v>7.2</v>
      </c>
      <c r="BX38" s="12">
        <f t="array" ref="BX38">INDEX(BW:BW,MIN(IF(ISNUMBER(BW38:BW234),ROW(BW38:BW234),"")))</f>
        <v>7.2</v>
      </c>
      <c r="BY38" s="12">
        <f>IF('Données projet'!$A$114&gt;35,BY37+BX38-CG37,IF(A38&lt;'Données projet'!$A$114,$BV$205^A38,IF(A38='Données projet'!$A$114,'Données projet'!$B$114,BY37+BX38-CG37)))</f>
        <v>135</v>
      </c>
      <c r="BZ38" s="13">
        <f>BY38*VLOOKUP('Données projet'!$B$12,Paramètres!$A$1:$I$89,3,0)*VLOOKUP('Données projet'!$B$12,Paramètres!$A$1:$I$89,5,0)</f>
        <v>141.102</v>
      </c>
      <c r="CA38" s="13">
        <f t="shared" si="39"/>
        <v>36.549342904663185</v>
      </c>
      <c r="CB38" s="20">
        <f t="shared" si="10"/>
        <v>309.40942222562171</v>
      </c>
      <c r="CC38" s="59">
        <f t="shared" si="11"/>
        <v>565.97748310847351</v>
      </c>
      <c r="CD38" s="59">
        <f ca="1">AVERAGE(OFFSET($CC$3,0,0,'Données projet'!$E$12+1,1))-AVERAGE(OFFSET($H$3,0,0,'Données projet'!$E$12+1,1))</f>
        <v>374.38550202939507</v>
      </c>
      <c r="CE38" s="59">
        <f t="shared" si="40"/>
        <v>324.37486924296718</v>
      </c>
      <c r="CF38" s="15">
        <f>IF(ISNA(VLOOKUP(A38,'Données projet'!$A$113:$I$133,3,0)),0,VLOOKUP(A38,'Données projet'!$A$113:$I$133,3,0))</f>
        <v>4</v>
      </c>
      <c r="CG38" s="15" t="str">
        <f>IF(ISNA(VLOOKUP(A38,'Données projet'!$A$113:$I$133,4,0)),0,VLOOKUP(A38,'Données projet'!$A$113:$I$133,4,0))</f>
        <v>20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59.973107513505028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5.3369963369963358</v>
      </c>
      <c r="CT38" s="12">
        <f>IF('Données projet'!$A$140&gt;35,CT37+CS38-DB37,IF(A38&lt;'Données projet'!$A$140,$CQ$205^A38,IF(A38='Données projet'!$A$140,'Données projet'!$B$140,CT37+CS38-DB37)))</f>
        <v>114.39010989010988</v>
      </c>
      <c r="CU38" s="17">
        <f>CT38*VLOOKUP('Données projet'!$B$13,Paramètres!$A$1:$I$89,3,0)*VLOOKUP('Données projet'!$B$13,Paramètres!$A$1:$I$89,5,0)</f>
        <v>108.85362857142857</v>
      </c>
      <c r="CV38" s="13">
        <f t="shared" si="41"/>
        <v>29.060726062346895</v>
      </c>
      <c r="CW38" s="20">
        <f t="shared" si="13"/>
        <v>240.20083432049225</v>
      </c>
      <c r="CX38" s="59">
        <f t="shared" si="14"/>
        <v>496.76889520334396</v>
      </c>
      <c r="CY38" s="59">
        <f ca="1">AVERAGE(OFFSET($CX$3,0,0,'Données projet'!$E$13+1,1))-AVERAGE(OFFSET($H$3,0,0,'Données projet'!$E$13+1,1))</f>
        <v>392.81074187112989</v>
      </c>
      <c r="CZ38" s="59">
        <f t="shared" si="42"/>
        <v>236.19146849073687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59.973107513505028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5.3369963369963358</v>
      </c>
      <c r="DO38" s="12">
        <f>IF('Données projet'!$A$166&gt;35,DO37+DN38-DW37,IF(A38&lt;'Données projet'!$A$166,$DL$205^A38,IF(A38='Données projet'!$A$166,'Données projet'!$B$166,DO37+DN38-DW37)))</f>
        <v>114.39010989010988</v>
      </c>
      <c r="DP38" s="17">
        <f>DO38*VLOOKUP('Données projet'!$B$14,Paramètres!$A$1:$I$89,3,0)*VLOOKUP('Données projet'!$B$14,Paramètres!$A$1:$I$89,5,0)</f>
        <v>123.12951428571428</v>
      </c>
      <c r="DQ38" s="13">
        <f t="shared" si="43"/>
        <v>32.40380984999895</v>
      </c>
      <c r="DR38" s="20">
        <f t="shared" si="16"/>
        <v>270.88720620303383</v>
      </c>
      <c r="DS38" s="59">
        <f t="shared" si="17"/>
        <v>527.45526708588557</v>
      </c>
      <c r="DT38" s="59">
        <f ca="1">AVERAGE(OFFSET($DS$3,0,0,'Données projet'!$E$14+1,1))-AVERAGE(OFFSET($H$3,0,0,'Données projet'!$E$14+1,1))</f>
        <v>434.77799524785502</v>
      </c>
      <c r="DU38" s="59">
        <f t="shared" si="44"/>
        <v>259.85949838170006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59.973107513505028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5.3369963369963358</v>
      </c>
      <c r="EJ38" s="12">
        <f>IF('Données projet'!$A$192&gt;35,EJ37+EI38-ER37,IF(A38&lt;'Données projet'!$A$192,$EG$205^A38,IF(A38='Données projet'!$A$192,'Données projet'!$B$192,EJ37+EI38-ER37)))</f>
        <v>114.39010989010988</v>
      </c>
      <c r="EK38" s="17">
        <f>EJ38*VLOOKUP('Données projet'!$B$15,Paramètres!$A$1:$I$89,3,0)*VLOOKUP('Données projet'!$B$15,Paramètres!$A$1:$I$89,5,0)</f>
        <v>110.63811428571428</v>
      </c>
      <c r="EL38" s="13">
        <f t="shared" si="45"/>
        <v>29.481278625174436</v>
      </c>
      <c r="EM38" s="20">
        <f t="shared" si="19"/>
        <v>244.04127598646448</v>
      </c>
      <c r="EN38" s="59">
        <f t="shared" si="20"/>
        <v>500.60933686931622</v>
      </c>
      <c r="EO38" s="59">
        <f ca="1">AVERAGE(OFFSET($EN$3,0,0,'Données projet'!$E$15+1,1))-AVERAGE(OFFSET($H$3,0,0,'Données projet'!$E$15+1,1))</f>
        <v>398.06270423055565</v>
      </c>
      <c r="EP38" s="59">
        <f t="shared" si="46"/>
        <v>239.15364562040614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59.973107513505028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18.055769230769229</v>
      </c>
      <c r="FE38" s="12">
        <f>IF('Données projet'!$A$218&gt;35,FE37+FD38-FM37,IF(A38&lt;'Données projet'!$A$218,$FB$205^A38,IF(A38='Données projet'!$A$218,'Données projet'!$B$218,FE37+FD38-FM37)))</f>
        <v>308.43653846153853</v>
      </c>
      <c r="FF38" s="17">
        <f>FE38*VLOOKUP('Données projet'!$B$16,Paramètres!$A$1:$I$89,3,0)*VLOOKUP('Données projet'!$B$16,Paramètres!$A$1:$I$89,5,0)</f>
        <v>184.44505000000007</v>
      </c>
      <c r="FG38" s="13">
        <f t="shared" si="47"/>
        <v>46.309719450497106</v>
      </c>
      <c r="FH38" s="20">
        <f t="shared" si="22"/>
        <v>401.89789012628256</v>
      </c>
      <c r="FI38" s="59">
        <f t="shared" si="23"/>
        <v>658.4659510091343</v>
      </c>
      <c r="FJ38" s="59">
        <f ca="1">AVERAGE(OFFSET($FI$3,0,0,'Données projet'!$E$16+1,1))-AVERAGE(OFFSET($H$3,0,0,'Données projet'!$E$16+1,1))</f>
        <v>334.13861979962491</v>
      </c>
      <c r="FK38" s="59">
        <f t="shared" si="48"/>
        <v>416.48635183664305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25.017310058226286</v>
      </c>
      <c r="FR38" s="21">
        <f>EXP(-LN(2)/25)*FR37+(1-EXP(-LN(2)/25))/(LN(2)/25)*Calculateur!FM38*Calculateur!FO38*VLOOKUP('Données projet'!$B$16,Paramètres!$A$1:$I$89,3,0)*0.475*44/12</f>
        <v>17.828010246782004</v>
      </c>
      <c r="FS38" s="21">
        <f>EXP(-LN(2)/2)*FS37+(1-EXP(-LN(2)/2))/(LN(2)/2)*FM38*FP38*VLOOKUP('Données projet'!$B$16,Paramètres!$A$1:$I$89,3,0)*0.475*44/12</f>
        <v>2.3190787173303908</v>
      </c>
      <c r="FT38" s="22">
        <f t="shared" si="24"/>
        <v>45.164399022338678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59.973107513505028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16.131410256410259</v>
      </c>
      <c r="FZ38" s="12">
        <f>IF('Données projet'!$A$244&gt;35,FZ37+FY38-GH37,IF(A38&lt;'Données projet'!$A$244,$FW$205^A38,IF(A38='Données projet'!$A$244,'Données projet'!$B$244,FZ37+FY38-GH37)))</f>
        <v>297.44935897435897</v>
      </c>
      <c r="GA38" s="17">
        <f>FZ38*VLOOKUP('Données projet'!$B$17,Paramètres!$A$1:$I$89,3,0)*VLOOKUP('Données projet'!$B$17,Paramètres!$A$1:$I$89,5,0)</f>
        <v>139.2063</v>
      </c>
      <c r="GB38" s="13">
        <f t="shared" si="49"/>
        <v>36.115119849784641</v>
      </c>
      <c r="GC38" s="20">
        <f t="shared" si="25"/>
        <v>305.35147290504159</v>
      </c>
      <c r="GD38" s="59">
        <f t="shared" si="26"/>
        <v>561.91953378789333</v>
      </c>
      <c r="GE38" s="59">
        <f ca="1">AVERAGE(OFFSET($GD$3,0,0,'Données projet'!$E$17+1,1))-AVERAGE(OFFSET($H$3,0,0,'Données projet'!$E$17+1,1))</f>
        <v>317.79829681023142</v>
      </c>
      <c r="GF38" s="59">
        <f t="shared" si="50"/>
        <v>275.07716943523621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59.973107513505028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305.49230769230769</v>
      </c>
      <c r="GS38" s="12">
        <f>VLOOKUP(A38,'Données projet'!$A$269:$I$289,9,0)</f>
        <v>18.099999999999998</v>
      </c>
      <c r="GT38" s="12">
        <f t="array" ref="GT38">INDEX(GS:GS,MIN(IF(ISNUMBER(GS38:GS234),ROW(GS38:GS234),"")))</f>
        <v>18.099999999999998</v>
      </c>
      <c r="GU38" s="12">
        <f>IF('Données projet'!$A$270&gt;35,GU37+GT38-HC37,IF(A38&lt;'Données projet'!$A$270,$GR$205^A38,IF(A38='Données projet'!$A$270,'Données projet'!$B$270,GU37+GT38-HC37)))</f>
        <v>305.49230769230763</v>
      </c>
      <c r="GV38" s="17">
        <f>GU38*VLOOKUP('Données projet'!$B$18,Paramètres!$A$1:$I$89,3,0)*VLOOKUP('Données projet'!$B$18,Paramètres!$A$1:$I$89,5,0)</f>
        <v>170.77019999999999</v>
      </c>
      <c r="GW38" s="13">
        <f t="shared" si="51"/>
        <v>43.26247735598961</v>
      </c>
      <c r="GX38" s="20">
        <f t="shared" si="28"/>
        <v>372.77357972834852</v>
      </c>
      <c r="GY38" s="59">
        <f t="shared" si="29"/>
        <v>629.34164061120032</v>
      </c>
      <c r="GZ38" s="59">
        <f ca="1">AVERAGE(OFFSET($GY$3,0,0,'Données projet'!$E$18+1,1))-AVERAGE(OFFSET($H$3,0,0,'Données projet'!$E$18+1,1))</f>
        <v>336.21787234885699</v>
      </c>
      <c r="HA38" s="59">
        <f t="shared" si="52"/>
        <v>315.36156736899113</v>
      </c>
      <c r="HB38" s="15">
        <f>IF(ISNA(VLOOKUP(A38,'Données projet'!$A$269:$I$289,3,0)),0,VLOOKUP(A38,'Données projet'!$A$269:$I$289,3,0))</f>
        <v>3</v>
      </c>
      <c r="HC38" s="15">
        <f>IF(ISNA(VLOOKUP(A38,'Données projet'!$A$269:$I$289,4,0)),0,VLOOKUP(A38,'Données projet'!$A$269:$I$289,4,0))</f>
        <v>70.5</v>
      </c>
      <c r="HD38" s="16">
        <f>IF(ISNA(VLOOKUP(A38,'Données projet'!$A$269:$I$289,5,0)),0%,VLOOKUP(A38,'Données projet'!$A$269:$I$289,5,0)*VLOOKUP('Données projet'!$B$18,Paramètres!$A$1:$I$89,7,0))</f>
        <v>0.38500000000000001</v>
      </c>
      <c r="HE38" s="16">
        <f>IF(ISNA(VLOOKUP(A38,'Données projet'!$A$269:$I$289,6,0)),0%,VLOOKUP(A38,'Données projet'!$A$269:$I$289,6,0)*VLOOKUP('Données projet'!$B$18,Paramètres!$A$1:$I$89,7,0))</f>
        <v>9.240000000000001E-2</v>
      </c>
      <c r="HF38" s="16">
        <f>IF(ISNA(VLOOKUP(A38,'Données projet'!$A$269:$I$289,7,0)),0%,VLOOKUP(A38,'Données projet'!$A$269:$I$289,7,0))</f>
        <v>0.13200000000000001</v>
      </c>
      <c r="HG38" s="21">
        <f>EXP(-LN(2)/35)*HG37+(1-EXP(-LN(2)/35))/(LN(2)/35)*HC38*HD38*VLOOKUP('Données projet'!$B$18,Paramètres!$A$1:$I$89,3,0)*0.475*44/12</f>
        <v>20.127508134058157</v>
      </c>
      <c r="HH38" s="21">
        <f>EXP(-LN(2)/25)*HH37+(1-EXP(-LN(2)/25))/(LN(2)/25)*Calculateur!HC38*Calculateur!HE38*VLOOKUP('Données projet'!$B$18,Paramètres!$A$1:$I$89,3,0)*0.475*44/12</f>
        <v>24.91471780668838</v>
      </c>
      <c r="HI38" s="21">
        <f>EXP(-LN(2)/2)*HI37+(1-EXP(-LN(2)/2))/(LN(2)/2)*HC38*HF38*VLOOKUP('Données projet'!$B$18,Paramètres!$A$1:$I$89,3,0)*0.475*44/12</f>
        <v>7.4239734065510907</v>
      </c>
      <c r="HJ38" s="22">
        <f t="shared" si="30"/>
        <v>52.466199347297625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3.7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13.566666666666668</v>
      </c>
      <c r="H39" s="67">
        <f t="shared" si="1"/>
        <v>202.4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60.147051681372403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9.3141025641025621</v>
      </c>
      <c r="N39" s="13">
        <f>IF('Données projet'!$A$36&gt;35,N38+M39-V38,IF(A39&lt;'Données projet'!$A$36,$K$205^A39,IF(A39='Données projet'!$A$36,'Données projet'!$B$36,N38+M39-V38)))</f>
        <v>110.87820512820515</v>
      </c>
      <c r="O39" s="13">
        <f>N39*VLOOKUP('Données projet'!$B$9,Paramètres!$A$1:$I$89,3,0)*VLOOKUP('Données projet'!$B$9,Paramètres!$A$1:$I$89,5,0)</f>
        <v>100.32260000000002</v>
      </c>
      <c r="P39" s="13">
        <f t="shared" si="33"/>
        <v>27.038838137326771</v>
      </c>
      <c r="Q39" s="20">
        <f t="shared" si="53"/>
        <v>221.82117142251082</v>
      </c>
      <c r="R39" s="59">
        <f t="shared" si="0"/>
        <v>479.02702758754293</v>
      </c>
      <c r="S39" s="59">
        <f ca="1">AVERAGE(OFFSET($R$3,0,0,'Données projet'!$E$9+1,1))-AVERAGE(OFFSET($H$3,0,0,'Données projet'!$E$9+1,1))</f>
        <v>411.64357329340851</v>
      </c>
      <c r="T39" s="59">
        <f t="shared" si="34"/>
        <v>294.07942258675632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60.147051681372403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9.3141025641025621</v>
      </c>
      <c r="AI39" s="13">
        <f>IF('Données projet'!$A$62&gt;35,AI38+AH39-AQ38,IF(A39&lt;'Données projet'!$A$62,$AF$205^A39,IF(A39='Données projet'!$A$62,'Données projet'!$B$62,AI38+AH39-AQ38)))</f>
        <v>110.87820512820515</v>
      </c>
      <c r="AJ39" s="13">
        <f>AI39*VLOOKUP('Données projet'!$B$10,Paramètres!$A$1:$I$89,3,0)*VLOOKUP('Données projet'!$B$10,Paramètres!$A$1:$I$89,5,0)</f>
        <v>112.43050000000004</v>
      </c>
      <c r="AK39" s="13">
        <f t="shared" si="35"/>
        <v>29.902898919263393</v>
      </c>
      <c r="AL39" s="20">
        <f t="shared" si="4"/>
        <v>247.89733645105048</v>
      </c>
      <c r="AM39" s="59">
        <f t="shared" si="5"/>
        <v>505.10319261608259</v>
      </c>
      <c r="AN39" s="59">
        <f ca="1">AVERAGE(OFFSET($AM$3,0,0,'Données projet'!$E$10+1,1))-AVERAGE(OFFSET($H$3,0,0,'Données projet'!$E$10+1,1))</f>
        <v>453.05577105995508</v>
      </c>
      <c r="AO39" s="59">
        <f t="shared" si="36"/>
        <v>322.6839824496758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60.147051681372403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3.5192307692307692</v>
      </c>
      <c r="BD39" s="12">
        <f>IF('Données projet'!$A$88&gt;35,BD38+BC39-BL38,IF(A39&lt;'Données projet'!$A$88,$BA$205^A39,IF(A39='Données projet'!$A$88,'Données projet'!$B$88,BD38+BC39-BL38)))</f>
        <v>77.858974358974365</v>
      </c>
      <c r="BE39" s="13">
        <f>BD39*VLOOKUP('Données projet'!$B$11,Paramètres!$A$1:$I$89,3,0)*VLOOKUP('Données projet'!$B$11,Paramètres!$A$1:$I$89,5,0)</f>
        <v>77.734400000000008</v>
      </c>
      <c r="BF39" s="13">
        <f t="shared" si="37"/>
        <v>21.582310346098886</v>
      </c>
      <c r="BG39" s="20">
        <f t="shared" si="7"/>
        <v>172.97660385278888</v>
      </c>
      <c r="BH39" s="59">
        <f t="shared" si="8"/>
        <v>430.18246001782097</v>
      </c>
      <c r="BI39" s="59">
        <f ca="1">AVERAGE(OFFSET($BH$3,0,0,'Données projet'!$E$11+1,1))-AVERAGE(OFFSET($H$3,0,0,'Données projet'!$E$11+1,1))</f>
        <v>411.38162678377478</v>
      </c>
      <c r="BJ39" s="59">
        <f t="shared" si="38"/>
        <v>177.89903563360403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60.147051681372403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</v>
      </c>
      <c r="BY39" s="12">
        <f>IF('Données projet'!$A$114&gt;35,BY38+BX39-CG38,IF(A39&lt;'Données projet'!$A$114,$BV$205^A39,IF(A39='Données projet'!$A$114,'Données projet'!$B$114,BY38+BX39-CG38)))</f>
        <v>122</v>
      </c>
      <c r="BZ39" s="13">
        <f>BY39*VLOOKUP('Données projet'!$B$12,Paramètres!$A$1:$I$89,3,0)*VLOOKUP('Données projet'!$B$12,Paramètres!$A$1:$I$89,5,0)</f>
        <v>127.51440000000002</v>
      </c>
      <c r="CA39" s="13">
        <f t="shared" si="39"/>
        <v>33.421366430716283</v>
      </c>
      <c r="CB39" s="20">
        <f t="shared" si="10"/>
        <v>280.2964598668309</v>
      </c>
      <c r="CC39" s="59">
        <f t="shared" si="11"/>
        <v>537.50231603186307</v>
      </c>
      <c r="CD39" s="59">
        <f ca="1">AVERAGE(OFFSET($CC$3,0,0,'Données projet'!$E$12+1,1))-AVERAGE(OFFSET($H$3,0,0,'Données projet'!$E$12+1,1))</f>
        <v>374.38550202939507</v>
      </c>
      <c r="CE39" s="59">
        <f t="shared" si="40"/>
        <v>324.37486924296718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60.147051681372403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5.3369963369963358</v>
      </c>
      <c r="CT39" s="12">
        <f>IF('Données projet'!$A$140&gt;35,CT38+CS39-DB38,IF(A39&lt;'Données projet'!$A$140,$CQ$205^A39,IF(A39='Données projet'!$A$140,'Données projet'!$B$140,CT38+CS39-DB38)))</f>
        <v>119.72710622710622</v>
      </c>
      <c r="CU39" s="17">
        <f>CT39*VLOOKUP('Données projet'!$B$13,Paramètres!$A$1:$I$89,3,0)*VLOOKUP('Données projet'!$B$13,Paramètres!$A$1:$I$89,5,0)</f>
        <v>113.93231428571427</v>
      </c>
      <c r="CV39" s="13">
        <f t="shared" si="41"/>
        <v>30.25556606009021</v>
      </c>
      <c r="CW39" s="20">
        <f t="shared" si="13"/>
        <v>251.12722493560943</v>
      </c>
      <c r="CX39" s="59">
        <f t="shared" si="14"/>
        <v>508.33308110064155</v>
      </c>
      <c r="CY39" s="59">
        <f ca="1">AVERAGE(OFFSET($CX$3,0,0,'Données projet'!$E$13+1,1))-AVERAGE(OFFSET($H$3,0,0,'Données projet'!$E$13+1,1))</f>
        <v>392.81074187112989</v>
      </c>
      <c r="CZ39" s="59">
        <f t="shared" si="42"/>
        <v>236.19146849073687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60.147051681372403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5.3369963369963358</v>
      </c>
      <c r="DO39" s="12">
        <f>IF('Données projet'!$A$166&gt;35,DO38+DN39-DW38,IF(A39&lt;'Données projet'!$A$166,$DL$205^A39,IF(A39='Données projet'!$A$166,'Données projet'!$B$166,DO38+DN39-DW38)))</f>
        <v>119.72710622710622</v>
      </c>
      <c r="DP39" s="17">
        <f>DO39*VLOOKUP('Données projet'!$B$14,Paramètres!$A$1:$I$89,3,0)*VLOOKUP('Données projet'!$B$14,Paramètres!$A$1:$I$89,5,0)</f>
        <v>128.87425714285712</v>
      </c>
      <c r="DQ39" s="13">
        <f t="shared" si="43"/>
        <v>33.736101686238115</v>
      </c>
      <c r="DR39" s="20">
        <f t="shared" si="16"/>
        <v>283.21304162734083</v>
      </c>
      <c r="DS39" s="59">
        <f t="shared" si="17"/>
        <v>540.41889779237295</v>
      </c>
      <c r="DT39" s="59">
        <f ca="1">AVERAGE(OFFSET($DS$3,0,0,'Données projet'!$E$14+1,1))-AVERAGE(OFFSET($H$3,0,0,'Données projet'!$E$14+1,1))</f>
        <v>434.77799524785502</v>
      </c>
      <c r="DU39" s="59">
        <f t="shared" si="44"/>
        <v>259.85949838170006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60.147051681372403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5.3369963369963358</v>
      </c>
      <c r="EJ39" s="12">
        <f>IF('Données projet'!$A$192&gt;35,EJ38+EI39-ER38,IF(A39&lt;'Données projet'!$A$192,$EG$205^A39,IF(A39='Données projet'!$A$192,'Données projet'!$B$192,EJ38+EI39-ER38)))</f>
        <v>119.72710622710622</v>
      </c>
      <c r="EK39" s="17">
        <f>EJ39*VLOOKUP('Données projet'!$B$15,Paramètres!$A$1:$I$89,3,0)*VLOOKUP('Données projet'!$B$15,Paramètres!$A$1:$I$89,5,0)</f>
        <v>115.80005714285714</v>
      </c>
      <c r="EL39" s="13">
        <f t="shared" si="45"/>
        <v>30.693409760865983</v>
      </c>
      <c r="EM39" s="20">
        <f t="shared" si="19"/>
        <v>255.14278819065109</v>
      </c>
      <c r="EN39" s="59">
        <f t="shared" si="20"/>
        <v>512.34864435568318</v>
      </c>
      <c r="EO39" s="59">
        <f ca="1">AVERAGE(OFFSET($EN$3,0,0,'Données projet'!$E$15+1,1))-AVERAGE(OFFSET($H$3,0,0,'Données projet'!$E$15+1,1))</f>
        <v>398.06270423055565</v>
      </c>
      <c r="EP39" s="59">
        <f t="shared" si="46"/>
        <v>239.15364562040614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60.147051681372403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18.055769230769229</v>
      </c>
      <c r="FE39" s="12">
        <f>IF('Données projet'!$A$218&gt;35,FE38+FD39-FM38,IF(A39&lt;'Données projet'!$A$218,$FB$205^A39,IF(A39='Données projet'!$A$218,'Données projet'!$B$218,FE38+FD39-FM38)))</f>
        <v>326.49230769230775</v>
      </c>
      <c r="FF39" s="17">
        <f>FE39*VLOOKUP('Données projet'!$B$16,Paramètres!$A$1:$I$89,3,0)*VLOOKUP('Données projet'!$B$16,Paramètres!$A$1:$I$89,5,0)</f>
        <v>195.24240000000006</v>
      </c>
      <c r="FG39" s="13">
        <f t="shared" si="47"/>
        <v>48.697130705157392</v>
      </c>
      <c r="FH39" s="20">
        <f t="shared" si="22"/>
        <v>424.86134931148257</v>
      </c>
      <c r="FI39" s="59">
        <f t="shared" si="23"/>
        <v>682.06720547651469</v>
      </c>
      <c r="FJ39" s="59">
        <f ca="1">AVERAGE(OFFSET($FI$3,0,0,'Données projet'!$E$16+1,1))-AVERAGE(OFFSET($H$3,0,0,'Données projet'!$E$16+1,1))</f>
        <v>334.13861979962491</v>
      </c>
      <c r="FK39" s="59">
        <f t="shared" si="48"/>
        <v>416.48635183664305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24.526735867036898</v>
      </c>
      <c r="FR39" s="21">
        <f>EXP(-LN(2)/25)*FR38+(1-EXP(-LN(2)/25))/(LN(2)/25)*Calculateur!FM39*Calculateur!FO39*VLOOKUP('Données projet'!$B$16,Paramètres!$A$1:$I$89,3,0)*0.475*44/12</f>
        <v>17.340502369049439</v>
      </c>
      <c r="FS39" s="21">
        <f>EXP(-LN(2)/2)*FS38+(1-EXP(-LN(2)/2))/(LN(2)/2)*FM39*FP39*VLOOKUP('Données projet'!$B$16,Paramètres!$A$1:$I$89,3,0)*0.475*44/12</f>
        <v>1.6398362871297201</v>
      </c>
      <c r="FT39" s="22">
        <f t="shared" si="24"/>
        <v>43.507074523216055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60.147051681372403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16.131410256410259</v>
      </c>
      <c r="FZ39" s="12">
        <f>IF('Données projet'!$A$244&gt;35,FZ38+FY39-GH38,IF(A39&lt;'Données projet'!$A$244,$FW$205^A39,IF(A39='Données projet'!$A$244,'Données projet'!$B$244,FZ38+FY39-GH38)))</f>
        <v>313.58076923076925</v>
      </c>
      <c r="GA39" s="17">
        <f>FZ39*VLOOKUP('Données projet'!$B$17,Paramètres!$A$1:$I$89,3,0)*VLOOKUP('Données projet'!$B$17,Paramètres!$A$1:$I$89,5,0)</f>
        <v>146.75580000000002</v>
      </c>
      <c r="GB39" s="13">
        <f t="shared" si="49"/>
        <v>37.840393952855997</v>
      </c>
      <c r="GC39" s="20">
        <f t="shared" si="25"/>
        <v>321.5050378012242</v>
      </c>
      <c r="GD39" s="59">
        <f t="shared" si="26"/>
        <v>578.71089396625632</v>
      </c>
      <c r="GE39" s="59">
        <f ca="1">AVERAGE(OFFSET($GD$3,0,0,'Données projet'!$E$17+1,1))-AVERAGE(OFFSET($H$3,0,0,'Données projet'!$E$17+1,1))</f>
        <v>317.79829681023142</v>
      </c>
      <c r="GF39" s="59">
        <f t="shared" si="50"/>
        <v>275.07716943523621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60.147051681372403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18.229670329670324</v>
      </c>
      <c r="GU39" s="12">
        <f>IF('Données projet'!$A$270&gt;35,GU38+GT39-HC38,IF(A39&lt;'Données projet'!$A$270,$GR$205^A39,IF(A39='Données projet'!$A$270,'Données projet'!$B$270,GU38+GT39-HC38)))</f>
        <v>253.22197802197798</v>
      </c>
      <c r="GV39" s="17">
        <f>GU39*VLOOKUP('Données projet'!$B$18,Paramètres!$A$1:$I$89,3,0)*VLOOKUP('Données projet'!$B$18,Paramètres!$A$1:$I$89,5,0)</f>
        <v>141.55108571428568</v>
      </c>
      <c r="GW39" s="13">
        <f t="shared" si="51"/>
        <v>36.652109269178737</v>
      </c>
      <c r="GX39" s="20">
        <f t="shared" si="28"/>
        <v>310.3705645962005</v>
      </c>
      <c r="GY39" s="59">
        <f t="shared" si="29"/>
        <v>567.57642076123261</v>
      </c>
      <c r="GZ39" s="59">
        <f ca="1">AVERAGE(OFFSET($GY$3,0,0,'Données projet'!$E$18+1,1))-AVERAGE(OFFSET($H$3,0,0,'Données projet'!$E$18+1,1))</f>
        <v>336.21787234885699</v>
      </c>
      <c r="HA39" s="59">
        <f t="shared" si="52"/>
        <v>315.36156736899113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19.732819976117028</v>
      </c>
      <c r="HH39" s="21">
        <f>EXP(-LN(2)/25)*HH38+(1-EXP(-LN(2)/25))/(LN(2)/25)*Calculateur!HC39*Calculateur!HE39*VLOOKUP('Données projet'!$B$18,Paramètres!$A$1:$I$89,3,0)*0.475*44/12</f>
        <v>24.233423538056421</v>
      </c>
      <c r="HI39" s="21">
        <f>EXP(-LN(2)/2)*HI38+(1-EXP(-LN(2)/2))/(LN(2)/2)*HC39*HF39*VLOOKUP('Données projet'!$B$18,Paramètres!$A$1:$I$89,3,0)*0.475*44/12</f>
        <v>5.2495419391208706</v>
      </c>
      <c r="HJ39" s="22">
        <f t="shared" si="30"/>
        <v>49.215785453294316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3.7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13.566666666666668</v>
      </c>
      <c r="H40" s="67">
        <f t="shared" si="1"/>
        <v>202.4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60.317978306808172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9.3141025641025621</v>
      </c>
      <c r="N40" s="13">
        <f>IF('Données projet'!$A$36&gt;35,N39+M40-V39,IF(A40&lt;'Données projet'!$A$36,$K$205^A40,IF(A40='Données projet'!$A$36,'Données projet'!$B$36,N39+M40-V39)))</f>
        <v>120.19230769230771</v>
      </c>
      <c r="O40" s="13">
        <f>N40*VLOOKUP('Données projet'!$B$9,Paramètres!$A$1:$I$89,3,0)*VLOOKUP('Données projet'!$B$9,Paramètres!$A$1:$I$89,5,0)</f>
        <v>108.75000000000001</v>
      </c>
      <c r="P40" s="13">
        <f t="shared" si="33"/>
        <v>29.036279216217448</v>
      </c>
      <c r="Q40" s="20">
        <f t="shared" si="53"/>
        <v>239.97776963491205</v>
      </c>
      <c r="R40" s="59">
        <f t="shared" si="0"/>
        <v>497.81035675987539</v>
      </c>
      <c r="S40" s="59">
        <f ca="1">AVERAGE(OFFSET($R$3,0,0,'Données projet'!$E$9+1,1))-AVERAGE(OFFSET($H$3,0,0,'Données projet'!$E$9+1,1))</f>
        <v>411.64357329340851</v>
      </c>
      <c r="T40" s="59">
        <f t="shared" si="34"/>
        <v>294.07942258675632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60.317978306808172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9.3141025641025621</v>
      </c>
      <c r="AI40" s="13">
        <f>IF('Données projet'!$A$62&gt;35,AI39+AH40-AQ39,IF(A40&lt;'Données projet'!$A$62,$AF$205^A40,IF(A40='Données projet'!$A$62,'Données projet'!$B$62,AI39+AH40-AQ39)))</f>
        <v>120.19230769230771</v>
      </c>
      <c r="AJ40" s="13">
        <f>AI40*VLOOKUP('Données projet'!$B$10,Paramètres!$A$1:$I$89,3,0)*VLOOKUP('Données projet'!$B$10,Paramètres!$A$1:$I$89,5,0)</f>
        <v>121.87500000000003</v>
      </c>
      <c r="AK40" s="13">
        <f t="shared" si="35"/>
        <v>32.111916865075052</v>
      </c>
      <c r="AL40" s="20">
        <f t="shared" si="4"/>
        <v>268.19388020667242</v>
      </c>
      <c r="AM40" s="59">
        <f t="shared" si="5"/>
        <v>526.02646733163579</v>
      </c>
      <c r="AN40" s="59">
        <f ca="1">AVERAGE(OFFSET($AM$3,0,0,'Données projet'!$E$10+1,1))-AVERAGE(OFFSET($H$3,0,0,'Données projet'!$E$10+1,1))</f>
        <v>453.05577105995508</v>
      </c>
      <c r="AO40" s="59">
        <f t="shared" si="36"/>
        <v>322.6839824496758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60.317978306808172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3.5192307692307692</v>
      </c>
      <c r="BD40" s="12">
        <f>IF('Données projet'!$A$88&gt;35,BD39+BC40-BL39,IF(A40&lt;'Données projet'!$A$88,$BA$205^A40,IF(A40='Données projet'!$A$88,'Données projet'!$B$88,BD39+BC40-BL39)))</f>
        <v>81.378205128205138</v>
      </c>
      <c r="BE40" s="13">
        <f>BD40*VLOOKUP('Données projet'!$B$11,Paramètres!$A$1:$I$89,3,0)*VLOOKUP('Données projet'!$B$11,Paramètres!$A$1:$I$89,5,0)</f>
        <v>81.248000000000019</v>
      </c>
      <c r="BF40" s="13">
        <f t="shared" si="37"/>
        <v>22.442051166848881</v>
      </c>
      <c r="BG40" s="20">
        <f t="shared" si="7"/>
        <v>180.59350578226181</v>
      </c>
      <c r="BH40" s="59">
        <f t="shared" si="8"/>
        <v>438.4260929072251</v>
      </c>
      <c r="BI40" s="59">
        <f ca="1">AVERAGE(OFFSET($BH$3,0,0,'Données projet'!$E$11+1,1))-AVERAGE(OFFSET($H$3,0,0,'Données projet'!$E$11+1,1))</f>
        <v>411.38162678377478</v>
      </c>
      <c r="BJ40" s="59">
        <f t="shared" si="38"/>
        <v>177.89903563360403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60.317978306808172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</v>
      </c>
      <c r="BY40" s="12">
        <f>IF('Données projet'!$A$114&gt;35,BY39+BX40-CG39,IF(A40&lt;'Données projet'!$A$114,$BV$205^A40,IF(A40='Données projet'!$A$114,'Données projet'!$B$114,BY39+BX40-CG39)))</f>
        <v>129</v>
      </c>
      <c r="BZ40" s="13">
        <f>BY40*VLOOKUP('Données projet'!$B$12,Paramètres!$A$1:$I$89,3,0)*VLOOKUP('Données projet'!$B$12,Paramètres!$A$1:$I$89,5,0)</f>
        <v>134.83080000000001</v>
      </c>
      <c r="CA40" s="13">
        <f t="shared" si="39"/>
        <v>35.110233978560416</v>
      </c>
      <c r="CB40" s="20">
        <f t="shared" si="10"/>
        <v>295.98063417932605</v>
      </c>
      <c r="CC40" s="59">
        <f t="shared" si="11"/>
        <v>553.8132213042893</v>
      </c>
      <c r="CD40" s="59">
        <f ca="1">AVERAGE(OFFSET($CC$3,0,0,'Données projet'!$E$12+1,1))-AVERAGE(OFFSET($H$3,0,0,'Données projet'!$E$12+1,1))</f>
        <v>374.38550202939507</v>
      </c>
      <c r="CE40" s="59">
        <f t="shared" si="40"/>
        <v>324.37486924296718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60.317978306808172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5.3369963369963358</v>
      </c>
      <c r="CT40" s="12">
        <f>IF('Données projet'!$A$140&gt;35,CT39+CS40-DB39,IF(A40&lt;'Données projet'!$A$140,$CQ$205^A40,IF(A40='Données projet'!$A$140,'Données projet'!$B$140,CT39+CS40-DB39)))</f>
        <v>125.06410256410255</v>
      </c>
      <c r="CU40" s="17">
        <f>CT40*VLOOKUP('Données projet'!$B$13,Paramètres!$A$1:$I$89,3,0)*VLOOKUP('Données projet'!$B$13,Paramètres!$A$1:$I$89,5,0)</f>
        <v>119.01100000000001</v>
      </c>
      <c r="CV40" s="13">
        <f t="shared" si="41"/>
        <v>31.44422030114589</v>
      </c>
      <c r="CW40" s="20">
        <f t="shared" si="13"/>
        <v>262.04284202449577</v>
      </c>
      <c r="CX40" s="59">
        <f t="shared" si="14"/>
        <v>519.87542914945902</v>
      </c>
      <c r="CY40" s="59">
        <f ca="1">AVERAGE(OFFSET($CX$3,0,0,'Données projet'!$E$13+1,1))-AVERAGE(OFFSET($H$3,0,0,'Données projet'!$E$13+1,1))</f>
        <v>392.81074187112989</v>
      </c>
      <c r="CZ40" s="59">
        <f t="shared" si="42"/>
        <v>236.19146849073687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60.317978306808172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5.3369963369963358</v>
      </c>
      <c r="DO40" s="12">
        <f>IF('Données projet'!$A$166&gt;35,DO39+DN40-DW39,IF(A40&lt;'Données projet'!$A$166,$DL$205^A40,IF(A40='Données projet'!$A$166,'Données projet'!$B$166,DO39+DN40-DW39)))</f>
        <v>125.06410256410255</v>
      </c>
      <c r="DP40" s="17">
        <f>DO40*VLOOKUP('Données projet'!$B$14,Paramètres!$A$1:$I$89,3,0)*VLOOKUP('Données projet'!$B$14,Paramètres!$A$1:$I$89,5,0)</f>
        <v>134.61899999999997</v>
      </c>
      <c r="DQ40" s="13">
        <f t="shared" si="43"/>
        <v>35.06149616956688</v>
      </c>
      <c r="DR40" s="20">
        <f t="shared" si="16"/>
        <v>295.52686416199555</v>
      </c>
      <c r="DS40" s="59">
        <f t="shared" si="17"/>
        <v>553.3594512869588</v>
      </c>
      <c r="DT40" s="59">
        <f ca="1">AVERAGE(OFFSET($DS$3,0,0,'Données projet'!$E$14+1,1))-AVERAGE(OFFSET($H$3,0,0,'Données projet'!$E$14+1,1))</f>
        <v>434.77799524785502</v>
      </c>
      <c r="DU40" s="59">
        <f t="shared" si="44"/>
        <v>259.85949838170006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60.317978306808172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5.3369963369963358</v>
      </c>
      <c r="EJ40" s="12">
        <f>IF('Données projet'!$A$192&gt;35,EJ39+EI40-ER39,IF(A40&lt;'Données projet'!$A$192,$EG$205^A40,IF(A40='Données projet'!$A$192,'Données projet'!$B$192,EJ39+EI40-ER39)))</f>
        <v>125.06410256410255</v>
      </c>
      <c r="EK40" s="17">
        <f>EJ40*VLOOKUP('Données projet'!$B$15,Paramètres!$A$1:$I$89,3,0)*VLOOKUP('Données projet'!$B$15,Paramètres!$A$1:$I$89,5,0)</f>
        <v>120.96199999999999</v>
      </c>
      <c r="EL40" s="13">
        <f t="shared" si="45"/>
        <v>31.899265622635451</v>
      </c>
      <c r="EM40" s="20">
        <f t="shared" si="19"/>
        <v>266.23337095942338</v>
      </c>
      <c r="EN40" s="59">
        <f t="shared" si="20"/>
        <v>524.06595808438669</v>
      </c>
      <c r="EO40" s="59">
        <f ca="1">AVERAGE(OFFSET($EN$3,0,0,'Données projet'!$E$15+1,1))-AVERAGE(OFFSET($H$3,0,0,'Données projet'!$E$15+1,1))</f>
        <v>398.06270423055565</v>
      </c>
      <c r="EP40" s="59">
        <f t="shared" si="46"/>
        <v>239.15364562040614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60.317978306808172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18.055769230769229</v>
      </c>
      <c r="FE40" s="12">
        <f>IF('Données projet'!$A$218&gt;35,FE39+FD40-FM39,IF(A40&lt;'Données projet'!$A$218,$FB$205^A40,IF(A40='Données projet'!$A$218,'Données projet'!$B$218,FE39+FD40-FM39)))</f>
        <v>344.54807692307696</v>
      </c>
      <c r="FF40" s="17">
        <f>FE40*VLOOKUP('Données projet'!$B$16,Paramètres!$A$1:$I$89,3,0)*VLOOKUP('Données projet'!$B$16,Paramètres!$A$1:$I$89,5,0)</f>
        <v>206.03975000000003</v>
      </c>
      <c r="FG40" s="13">
        <f t="shared" si="47"/>
        <v>51.069214862008621</v>
      </c>
      <c r="FH40" s="20">
        <f t="shared" si="22"/>
        <v>447.79811380133168</v>
      </c>
      <c r="FI40" s="59">
        <f t="shared" si="23"/>
        <v>705.63070092629505</v>
      </c>
      <c r="FJ40" s="59">
        <f ca="1">AVERAGE(OFFSET($FI$3,0,0,'Données projet'!$E$16+1,1))-AVERAGE(OFFSET($H$3,0,0,'Données projet'!$E$16+1,1))</f>
        <v>334.13861979962491</v>
      </c>
      <c r="FK40" s="59">
        <f t="shared" si="48"/>
        <v>416.48635183664305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24.045781536516021</v>
      </c>
      <c r="FR40" s="21">
        <f>EXP(-LN(2)/25)*FR39+(1-EXP(-LN(2)/25))/(LN(2)/25)*Calculateur!FM40*Calculateur!FO40*VLOOKUP('Données projet'!$B$16,Paramètres!$A$1:$I$89,3,0)*0.475*44/12</f>
        <v>16.866325419870396</v>
      </c>
      <c r="FS40" s="21">
        <f>EXP(-LN(2)/2)*FS39+(1-EXP(-LN(2)/2))/(LN(2)/2)*FM40*FP40*VLOOKUP('Données projet'!$B$16,Paramètres!$A$1:$I$89,3,0)*0.475*44/12</f>
        <v>1.1595393586651956</v>
      </c>
      <c r="FT40" s="22">
        <f t="shared" si="24"/>
        <v>42.071646315051609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60.317978306808172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16.131410256410259</v>
      </c>
      <c r="FZ40" s="12">
        <f>IF('Données projet'!$A$244&gt;35,FZ39+FY40-GH39,IF(A40&lt;'Données projet'!$A$244,$FW$205^A40,IF(A40='Données projet'!$A$244,'Données projet'!$B$244,FZ39+FY40-GH39)))</f>
        <v>329.71217948717953</v>
      </c>
      <c r="GA40" s="17">
        <f>FZ40*VLOOKUP('Données projet'!$B$17,Paramètres!$A$1:$I$89,3,0)*VLOOKUP('Données projet'!$B$17,Paramètres!$A$1:$I$89,5,0)</f>
        <v>154.30530000000002</v>
      </c>
      <c r="GB40" s="13">
        <f t="shared" si="49"/>
        <v>39.555363325024224</v>
      </c>
      <c r="GC40" s="20">
        <f t="shared" si="25"/>
        <v>337.64065529108387</v>
      </c>
      <c r="GD40" s="59">
        <f t="shared" si="26"/>
        <v>595.47324241604724</v>
      </c>
      <c r="GE40" s="59">
        <f ca="1">AVERAGE(OFFSET($GD$3,0,0,'Données projet'!$E$17+1,1))-AVERAGE(OFFSET($H$3,0,0,'Données projet'!$E$17+1,1))</f>
        <v>317.79829681023142</v>
      </c>
      <c r="GF40" s="59">
        <f t="shared" si="50"/>
        <v>275.07716943523621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60.317978306808172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18.229670329670324</v>
      </c>
      <c r="GU40" s="12">
        <f>IF('Données projet'!$A$270&gt;35,GU39+GT40-HC39,IF(A40&lt;'Données projet'!$A$270,$GR$205^A40,IF(A40='Données projet'!$A$270,'Données projet'!$B$270,GU39+GT40-HC39)))</f>
        <v>271.45164835164832</v>
      </c>
      <c r="GV40" s="17">
        <f>GU40*VLOOKUP('Données projet'!$B$18,Paramètres!$A$1:$I$89,3,0)*VLOOKUP('Données projet'!$B$18,Paramètres!$A$1:$I$89,5,0)</f>
        <v>151.74147142857143</v>
      </c>
      <c r="GW40" s="13">
        <f t="shared" si="51"/>
        <v>38.974074991810518</v>
      </c>
      <c r="GX40" s="20">
        <f t="shared" si="28"/>
        <v>332.16291001549854</v>
      </c>
      <c r="GY40" s="59">
        <f t="shared" si="29"/>
        <v>589.99549714046179</v>
      </c>
      <c r="GZ40" s="59">
        <f ca="1">AVERAGE(OFFSET($GY$3,0,0,'Données projet'!$E$18+1,1))-AVERAGE(OFFSET($H$3,0,0,'Données projet'!$E$18+1,1))</f>
        <v>336.21787234885699</v>
      </c>
      <c r="HA40" s="59">
        <f t="shared" si="52"/>
        <v>315.36156736899113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19.345871412217118</v>
      </c>
      <c r="HH40" s="21">
        <f>EXP(-LN(2)/25)*HH39+(1-EXP(-LN(2)/25))/(LN(2)/25)*Calculateur!HC40*Calculateur!HE40*VLOOKUP('Données projet'!$B$18,Paramètres!$A$1:$I$89,3,0)*0.475*44/12</f>
        <v>23.570759297027909</v>
      </c>
      <c r="HI40" s="21">
        <f>EXP(-LN(2)/2)*HI39+(1-EXP(-LN(2)/2))/(LN(2)/2)*HC40*HF40*VLOOKUP('Données projet'!$B$18,Paramètres!$A$1:$I$89,3,0)*0.475*44/12</f>
        <v>3.7119867032755463</v>
      </c>
      <c r="HJ40" s="22">
        <f t="shared" si="30"/>
        <v>46.628617412520576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3.7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13.566666666666668</v>
      </c>
      <c r="H41" s="67">
        <f t="shared" si="1"/>
        <v>202.4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60.485939737427302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9.3141025641025621</v>
      </c>
      <c r="N41" s="13">
        <f>IF('Données projet'!$A$36&gt;35,N40+M41-V40,IF(A41&lt;'Données projet'!$A$36,$K$205^A41,IF(A41='Données projet'!$A$36,'Données projet'!$B$36,N40+M41-V40)))</f>
        <v>129.50641025641028</v>
      </c>
      <c r="O41" s="13">
        <f>N41*VLOOKUP('Données projet'!$B$9,Paramètres!$A$1:$I$89,3,0)*VLOOKUP('Données projet'!$B$9,Paramètres!$A$1:$I$89,5,0)</f>
        <v>117.17740000000002</v>
      </c>
      <c r="P41" s="13">
        <f t="shared" si="33"/>
        <v>31.015764986886897</v>
      </c>
      <c r="Q41" s="20">
        <f t="shared" si="53"/>
        <v>258.10309568549474</v>
      </c>
      <c r="R41" s="59">
        <f t="shared" si="0"/>
        <v>516.55154138939486</v>
      </c>
      <c r="S41" s="59">
        <f ca="1">AVERAGE(OFFSET($R$3,0,0,'Données projet'!$E$9+1,1))-AVERAGE(OFFSET($H$3,0,0,'Données projet'!$E$9+1,1))</f>
        <v>411.64357329340851</v>
      </c>
      <c r="T41" s="59">
        <f t="shared" si="34"/>
        <v>294.07942258675632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60.485939737427302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9.3141025641025621</v>
      </c>
      <c r="AI41" s="13">
        <f>IF('Données projet'!$A$62&gt;35,AI40+AH41-AQ40,IF(A41&lt;'Données projet'!$A$62,$AF$205^A41,IF(A41='Données projet'!$A$62,'Données projet'!$B$62,AI40+AH41-AQ40)))</f>
        <v>129.50641025641028</v>
      </c>
      <c r="AJ41" s="13">
        <f>AI41*VLOOKUP('Données projet'!$B$10,Paramètres!$A$1:$I$89,3,0)*VLOOKUP('Données projet'!$B$10,Paramètres!$A$1:$I$89,5,0)</f>
        <v>131.31950000000003</v>
      </c>
      <c r="AK41" s="13">
        <f t="shared" si="35"/>
        <v>34.301077605333901</v>
      </c>
      <c r="AL41" s="20">
        <f t="shared" si="4"/>
        <v>288.45583932928992</v>
      </c>
      <c r="AM41" s="59">
        <f t="shared" si="5"/>
        <v>546.90428503319004</v>
      </c>
      <c r="AN41" s="59">
        <f ca="1">AVERAGE(OFFSET($AM$3,0,0,'Données projet'!$E$10+1,1))-AVERAGE(OFFSET($H$3,0,0,'Données projet'!$E$10+1,1))</f>
        <v>453.05577105995508</v>
      </c>
      <c r="AO41" s="59">
        <f t="shared" si="36"/>
        <v>322.6839824496758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60.485939737427302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3.5192307692307692</v>
      </c>
      <c r="BD41" s="12">
        <f>IF('Données projet'!$A$88&gt;35,BD40+BC41-BL40,IF(A41&lt;'Données projet'!$A$88,$BA$205^A41,IF(A41='Données projet'!$A$88,'Données projet'!$B$88,BD40+BC41-BL40)))</f>
        <v>84.897435897435912</v>
      </c>
      <c r="BE41" s="13">
        <f>BD41*VLOOKUP('Données projet'!$B$11,Paramètres!$A$1:$I$89,3,0)*VLOOKUP('Données projet'!$B$11,Paramètres!$A$1:$I$89,5,0)</f>
        <v>84.761600000000016</v>
      </c>
      <c r="BF41" s="13">
        <f t="shared" si="37"/>
        <v>23.297473710255225</v>
      </c>
      <c r="BG41" s="20">
        <f t="shared" si="7"/>
        <v>188.20288671202786</v>
      </c>
      <c r="BH41" s="59">
        <f t="shared" si="8"/>
        <v>446.65133241592798</v>
      </c>
      <c r="BI41" s="59">
        <f ca="1">AVERAGE(OFFSET($BH$3,0,0,'Données projet'!$E$11+1,1))-AVERAGE(OFFSET($H$3,0,0,'Données projet'!$E$11+1,1))</f>
        <v>411.38162678377478</v>
      </c>
      <c r="BJ41" s="59">
        <f t="shared" si="38"/>
        <v>177.89903563360403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60.485939737427302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</v>
      </c>
      <c r="BY41" s="12">
        <f>IF('Données projet'!$A$114&gt;35,BY40+BX41-CG40,IF(A41&lt;'Données projet'!$A$114,$BV$205^A41,IF(A41='Données projet'!$A$114,'Données projet'!$B$114,BY40+BX41-CG40)))</f>
        <v>136</v>
      </c>
      <c r="BZ41" s="13">
        <f>BY41*VLOOKUP('Données projet'!$B$12,Paramètres!$A$1:$I$89,3,0)*VLOOKUP('Données projet'!$B$12,Paramètres!$A$1:$I$89,5,0)</f>
        <v>142.1472</v>
      </c>
      <c r="CA41" s="13">
        <f t="shared" si="39"/>
        <v>36.788462274191929</v>
      </c>
      <c r="CB41" s="20">
        <f t="shared" si="10"/>
        <v>311.64627846088428</v>
      </c>
      <c r="CC41" s="59">
        <f t="shared" si="11"/>
        <v>570.09472416478434</v>
      </c>
      <c r="CD41" s="59">
        <f ca="1">AVERAGE(OFFSET($CC$3,0,0,'Données projet'!$E$12+1,1))-AVERAGE(OFFSET($H$3,0,0,'Données projet'!$E$12+1,1))</f>
        <v>374.38550202939507</v>
      </c>
      <c r="CE41" s="59">
        <f t="shared" si="40"/>
        <v>324.37486924296718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60.485939737427302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5.3369963369963358</v>
      </c>
      <c r="CT41" s="12">
        <f>IF('Données projet'!$A$140&gt;35,CT40+CS41-DB40,IF(A41&lt;'Données projet'!$A$140,$CQ$205^A41,IF(A41='Données projet'!$A$140,'Données projet'!$B$140,CT40+CS41-DB40)))</f>
        <v>130.40109890109889</v>
      </c>
      <c r="CU41" s="17">
        <f>CT41*VLOOKUP('Données projet'!$B$13,Paramètres!$A$1:$I$89,3,0)*VLOOKUP('Données projet'!$B$13,Paramètres!$A$1:$I$89,5,0)</f>
        <v>124.08968571428571</v>
      </c>
      <c r="CV41" s="13">
        <f t="shared" si="41"/>
        <v>32.626982934783221</v>
      </c>
      <c r="CW41" s="20">
        <f t="shared" si="13"/>
        <v>272.94819789712841</v>
      </c>
      <c r="CX41" s="59">
        <f t="shared" si="14"/>
        <v>531.39664360102847</v>
      </c>
      <c r="CY41" s="59">
        <f ca="1">AVERAGE(OFFSET($CX$3,0,0,'Données projet'!$E$13+1,1))-AVERAGE(OFFSET($H$3,0,0,'Données projet'!$E$13+1,1))</f>
        <v>392.81074187112989</v>
      </c>
      <c r="CZ41" s="59">
        <f t="shared" si="42"/>
        <v>236.19146849073687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60.485939737427302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5.3369963369963358</v>
      </c>
      <c r="DO41" s="12">
        <f>IF('Données projet'!$A$166&gt;35,DO40+DN41-DW40,IF(A41&lt;'Données projet'!$A$166,$DL$205^A41,IF(A41='Données projet'!$A$166,'Données projet'!$B$166,DO40+DN41-DW40)))</f>
        <v>130.40109890109889</v>
      </c>
      <c r="DP41" s="17">
        <f>DO41*VLOOKUP('Données projet'!$B$14,Paramètres!$A$1:$I$89,3,0)*VLOOKUP('Données projet'!$B$14,Paramètres!$A$1:$I$89,5,0)</f>
        <v>140.36374285714285</v>
      </c>
      <c r="DQ41" s="13">
        <f t="shared" si="43"/>
        <v>36.380321287557514</v>
      </c>
      <c r="DR41" s="20">
        <f t="shared" si="16"/>
        <v>307.82924505201976</v>
      </c>
      <c r="DS41" s="59">
        <f t="shared" si="17"/>
        <v>566.27769075591982</v>
      </c>
      <c r="DT41" s="59">
        <f ca="1">AVERAGE(OFFSET($DS$3,0,0,'Données projet'!$E$14+1,1))-AVERAGE(OFFSET($H$3,0,0,'Données projet'!$E$14+1,1))</f>
        <v>434.77799524785502</v>
      </c>
      <c r="DU41" s="59">
        <f t="shared" si="44"/>
        <v>259.85949838170006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60.485939737427302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5.3369963369963358</v>
      </c>
      <c r="EJ41" s="12">
        <f>IF('Données projet'!$A$192&gt;35,EJ40+EI41-ER40,IF(A41&lt;'Données projet'!$A$192,$EG$205^A41,IF(A41='Données projet'!$A$192,'Données projet'!$B$192,EJ40+EI41-ER40)))</f>
        <v>130.40109890109889</v>
      </c>
      <c r="EK41" s="17">
        <f>EJ41*VLOOKUP('Données projet'!$B$15,Paramètres!$A$1:$I$89,3,0)*VLOOKUP('Données projet'!$B$15,Paramètres!$A$1:$I$89,5,0)</f>
        <v>126.12394285714285</v>
      </c>
      <c r="EL41" s="13">
        <f t="shared" si="45"/>
        <v>33.099144616535966</v>
      </c>
      <c r="EM41" s="20">
        <f t="shared" si="19"/>
        <v>277.31354401665726</v>
      </c>
      <c r="EN41" s="59">
        <f t="shared" si="20"/>
        <v>535.76198972055738</v>
      </c>
      <c r="EO41" s="59">
        <f ca="1">AVERAGE(OFFSET($EN$3,0,0,'Données projet'!$E$15+1,1))-AVERAGE(OFFSET($H$3,0,0,'Données projet'!$E$15+1,1))</f>
        <v>398.06270423055565</v>
      </c>
      <c r="EP41" s="59">
        <f t="shared" si="46"/>
        <v>239.15364562040614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60.485939737427302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18.055769230769229</v>
      </c>
      <c r="FE41" s="12">
        <f>IF('Données projet'!$A$218&gt;35,FE40+FD41-FM40,IF(A41&lt;'Données projet'!$A$218,$FB$205^A41,IF(A41='Données projet'!$A$218,'Données projet'!$B$218,FE40+FD41-FM40)))</f>
        <v>362.60384615384618</v>
      </c>
      <c r="FF41" s="17">
        <f>FE41*VLOOKUP('Données projet'!$B$16,Paramètres!$A$1:$I$89,3,0)*VLOOKUP('Données projet'!$B$16,Paramètres!$A$1:$I$89,5,0)</f>
        <v>216.83710000000005</v>
      </c>
      <c r="FG41" s="13">
        <f t="shared" si="47"/>
        <v>53.426866729052094</v>
      </c>
      <c r="FH41" s="20">
        <f t="shared" si="22"/>
        <v>470.70974205309909</v>
      </c>
      <c r="FI41" s="59">
        <f t="shared" si="23"/>
        <v>729.15818775699927</v>
      </c>
      <c r="FJ41" s="59">
        <f ca="1">AVERAGE(OFFSET($FI$3,0,0,'Données projet'!$E$16+1,1))-AVERAGE(OFFSET($H$3,0,0,'Données projet'!$E$16+1,1))</f>
        <v>334.13861979962491</v>
      </c>
      <c r="FK41" s="59">
        <f t="shared" si="48"/>
        <v>416.48635183664305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23.574258427063484</v>
      </c>
      <c r="FR41" s="21">
        <f>EXP(-LN(2)/25)*FR40+(1-EXP(-LN(2)/25))/(LN(2)/25)*Calculateur!FM41*Calculateur!FO41*VLOOKUP('Données projet'!$B$16,Paramètres!$A$1:$I$89,3,0)*0.475*44/12</f>
        <v>16.405114864302536</v>
      </c>
      <c r="FS41" s="21">
        <f>EXP(-LN(2)/2)*FS40+(1-EXP(-LN(2)/2))/(LN(2)/2)*FM41*FP41*VLOOKUP('Données projet'!$B$16,Paramètres!$A$1:$I$89,3,0)*0.475*44/12</f>
        <v>0.81991814356486015</v>
      </c>
      <c r="FT41" s="22">
        <f t="shared" si="24"/>
        <v>40.799291434930879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60.485939737427302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16.131410256410259</v>
      </c>
      <c r="FZ41" s="12">
        <f>IF('Données projet'!$A$244&gt;35,FZ40+FY41-GH40,IF(A41&lt;'Données projet'!$A$244,$FW$205^A41,IF(A41='Données projet'!$A$244,'Données projet'!$B$244,FZ40+FY41-GH40)))</f>
        <v>345.8435897435898</v>
      </c>
      <c r="GA41" s="17">
        <f>FZ41*VLOOKUP('Données projet'!$B$17,Paramètres!$A$1:$I$89,3,0)*VLOOKUP('Données projet'!$B$17,Paramètres!$A$1:$I$89,5,0)</f>
        <v>161.85480000000001</v>
      </c>
      <c r="GB41" s="13">
        <f t="shared" si="49"/>
        <v>41.260589676862445</v>
      </c>
      <c r="GC41" s="20">
        <f t="shared" si="25"/>
        <v>353.75930368720213</v>
      </c>
      <c r="GD41" s="59">
        <f t="shared" si="26"/>
        <v>612.2077493911022</v>
      </c>
      <c r="GE41" s="59">
        <f ca="1">AVERAGE(OFFSET($GD$3,0,0,'Données projet'!$E$17+1,1))-AVERAGE(OFFSET($H$3,0,0,'Données projet'!$E$17+1,1))</f>
        <v>317.79829681023142</v>
      </c>
      <c r="GF41" s="59">
        <f t="shared" si="50"/>
        <v>275.07716943523621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60.485939737427302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18.229670329670324</v>
      </c>
      <c r="GU41" s="12">
        <f>IF('Données projet'!$A$270&gt;35,GU40+GT41-HC40,IF(A41&lt;'Données projet'!$A$270,$GR$205^A41,IF(A41='Données projet'!$A$270,'Données projet'!$B$270,GU40+GT41-HC40)))</f>
        <v>289.68131868131866</v>
      </c>
      <c r="GV41" s="17">
        <f>GU41*VLOOKUP('Données projet'!$B$18,Paramètres!$A$1:$I$89,3,0)*VLOOKUP('Données projet'!$B$18,Paramètres!$A$1:$I$89,5,0)</f>
        <v>161.93185714285713</v>
      </c>
      <c r="GW41" s="13">
        <f t="shared" si="51"/>
        <v>41.277946347593272</v>
      </c>
      <c r="GX41" s="20">
        <f t="shared" si="28"/>
        <v>353.92374107920108</v>
      </c>
      <c r="GY41" s="59">
        <f t="shared" si="29"/>
        <v>612.37218678310114</v>
      </c>
      <c r="GZ41" s="59">
        <f ca="1">AVERAGE(OFFSET($GY$3,0,0,'Données projet'!$E$18+1,1))-AVERAGE(OFFSET($H$3,0,0,'Données projet'!$E$18+1,1))</f>
        <v>336.21787234885699</v>
      </c>
      <c r="HA41" s="59">
        <f t="shared" si="52"/>
        <v>315.36156736899113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18.966510673639966</v>
      </c>
      <c r="HH41" s="21">
        <f>EXP(-LN(2)/25)*HH40+(1-EXP(-LN(2)/25))/(LN(2)/25)*Calculateur!HC41*Calculateur!HE41*VLOOKUP('Données projet'!$B$18,Paramètres!$A$1:$I$89,3,0)*0.475*44/12</f>
        <v>22.926215644518322</v>
      </c>
      <c r="HI41" s="21">
        <f>EXP(-LN(2)/2)*HI40+(1-EXP(-LN(2)/2))/(LN(2)/2)*HC41*HF41*VLOOKUP('Données projet'!$B$18,Paramètres!$A$1:$I$89,3,0)*0.475*44/12</f>
        <v>2.6247709695604358</v>
      </c>
      <c r="HJ41" s="22">
        <f t="shared" si="30"/>
        <v>44.517497287718726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3.7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13.566666666666668</v>
      </c>
      <c r="H42" s="67">
        <f t="shared" si="1"/>
        <v>202.4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60.650987412730714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9.3141025641025621</v>
      </c>
      <c r="N42" s="13">
        <f>IF('Données projet'!$A$36&gt;35,N41+M42-V41,IF(A42&lt;'Données projet'!$A$36,$K$205^A42,IF(A42='Données projet'!$A$36,'Données projet'!$B$36,N41+M42-V41)))</f>
        <v>138.82051282051285</v>
      </c>
      <c r="O42" s="13">
        <f>N42*VLOOKUP('Données projet'!$B$9,Paramètres!$A$1:$I$89,3,0)*VLOOKUP('Données projet'!$B$9,Paramètres!$A$1:$I$89,5,0)</f>
        <v>125.60480000000001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535.25327497050898</v>
      </c>
      <c r="S42" s="59">
        <f ca="1">AVERAGE(OFFSET($R$3,0,0,'Données projet'!$E$9+1,1))-AVERAGE(OFFSET($H$3,0,0,'Données projet'!$E$9+1,1))</f>
        <v>411.64357329340851</v>
      </c>
      <c r="T42" s="59">
        <f t="shared" si="34"/>
        <v>294.07942258675632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60.650987412730714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9.3141025641025621</v>
      </c>
      <c r="AI42" s="13">
        <f>IF('Données projet'!$A$62&gt;35,AI41+AH42-AQ41,IF(A42&lt;'Données projet'!$A$62,$AF$205^A42,IF(A42='Données projet'!$A$62,'Données projet'!$B$62,AI41+AH42-AQ41)))</f>
        <v>138.82051282051285</v>
      </c>
      <c r="AJ42" s="13">
        <f>AI42*VLOOKUP('Données projet'!$B$10,Paramètres!$A$1:$I$89,3,0)*VLOOKUP('Données projet'!$B$10,Paramètres!$A$1:$I$89,5,0)</f>
        <v>140.76400000000004</v>
      </c>
      <c r="AK42" s="13">
        <f t="shared" si="35"/>
        <v>36.471971691246594</v>
      </c>
      <c r="AL42" s="20">
        <f t="shared" si="4"/>
        <v>308.68598402892115</v>
      </c>
      <c r="AM42" s="59">
        <f t="shared" si="5"/>
        <v>567.7396045422671</v>
      </c>
      <c r="AN42" s="59">
        <f ca="1">AVERAGE(OFFSET($AM$3,0,0,'Données projet'!$E$10+1,1))-AVERAGE(OFFSET($H$3,0,0,'Données projet'!$E$10+1,1))</f>
        <v>453.05577105995508</v>
      </c>
      <c r="AO42" s="59">
        <f t="shared" si="36"/>
        <v>322.6839824496758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60.650987412730714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3.5192307692307692</v>
      </c>
      <c r="BD42" s="12">
        <f>IF('Données projet'!$A$88&gt;35,BD41+BC42-BL41,IF(A42&lt;'Données projet'!$A$88,$BA$205^A42,IF(A42='Données projet'!$A$88,'Données projet'!$B$88,BD41+BC42-BL41)))</f>
        <v>88.416666666666686</v>
      </c>
      <c r="BE42" s="13">
        <f>BD42*VLOOKUP('Données projet'!$B$11,Paramètres!$A$1:$I$89,3,0)*VLOOKUP('Données projet'!$B$11,Paramètres!$A$1:$I$89,5,0)</f>
        <v>88.275200000000027</v>
      </c>
      <c r="BF42" s="13">
        <f t="shared" si="37"/>
        <v>24.148777451980244</v>
      </c>
      <c r="BG42" s="20">
        <f t="shared" si="7"/>
        <v>195.80509406219895</v>
      </c>
      <c r="BH42" s="59">
        <f t="shared" si="8"/>
        <v>454.85871457554492</v>
      </c>
      <c r="BI42" s="59">
        <f ca="1">AVERAGE(OFFSET($BH$3,0,0,'Données projet'!$E$11+1,1))-AVERAGE(OFFSET($H$3,0,0,'Données projet'!$E$11+1,1))</f>
        <v>411.38162678377478</v>
      </c>
      <c r="BJ42" s="59">
        <f t="shared" si="38"/>
        <v>177.89903563360403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60.650987412730714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</v>
      </c>
      <c r="BY42" s="12">
        <f>IF('Données projet'!$A$114&gt;35,BY41+BX42-CG41,IF(A42&lt;'Données projet'!$A$114,$BV$205^A42,IF(A42='Données projet'!$A$114,'Données projet'!$B$114,BY41+BX42-CG41)))</f>
        <v>143</v>
      </c>
      <c r="BZ42" s="13">
        <f>BY42*VLOOKUP('Données projet'!$B$12,Paramètres!$A$1:$I$89,3,0)*VLOOKUP('Données projet'!$B$12,Paramètres!$A$1:$I$89,5,0)</f>
        <v>149.46360000000001</v>
      </c>
      <c r="CA42" s="13">
        <f t="shared" si="39"/>
        <v>38.45666139225672</v>
      </c>
      <c r="CB42" s="20">
        <f t="shared" si="10"/>
        <v>327.29445525818045</v>
      </c>
      <c r="CC42" s="59">
        <f t="shared" si="11"/>
        <v>586.3480757715264</v>
      </c>
      <c r="CD42" s="59">
        <f ca="1">AVERAGE(OFFSET($CC$3,0,0,'Données projet'!$E$12+1,1))-AVERAGE(OFFSET($H$3,0,0,'Données projet'!$E$12+1,1))</f>
        <v>374.38550202939507</v>
      </c>
      <c r="CE42" s="59">
        <f t="shared" si="40"/>
        <v>324.37486924296718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60.650987412730714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5.3369963369963358</v>
      </c>
      <c r="CT42" s="12">
        <f>IF('Données projet'!$A$140&gt;35,CT41+CS42-DB41,IF(A42&lt;'Données projet'!$A$140,$CQ$205^A42,IF(A42='Données projet'!$A$140,'Données projet'!$B$140,CT41+CS42-DB41)))</f>
        <v>135.73809523809524</v>
      </c>
      <c r="CU42" s="17">
        <f>CT42*VLOOKUP('Données projet'!$B$13,Paramètres!$A$1:$I$89,3,0)*VLOOKUP('Données projet'!$B$13,Paramètres!$A$1:$I$89,5,0)</f>
        <v>129.16837142857145</v>
      </c>
      <c r="CV42" s="13">
        <f t="shared" si="41"/>
        <v>33.804122670164084</v>
      </c>
      <c r="CW42" s="20">
        <f t="shared" si="13"/>
        <v>283.84376055529771</v>
      </c>
      <c r="CX42" s="59">
        <f t="shared" si="14"/>
        <v>542.89738106864365</v>
      </c>
      <c r="CY42" s="59">
        <f ca="1">AVERAGE(OFFSET($CX$3,0,0,'Données projet'!$E$13+1,1))-AVERAGE(OFFSET($H$3,0,0,'Données projet'!$E$13+1,1))</f>
        <v>392.81074187112989</v>
      </c>
      <c r="CZ42" s="59">
        <f t="shared" si="42"/>
        <v>236.19146849073687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60.650987412730714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5.3369963369963358</v>
      </c>
      <c r="DO42" s="12">
        <f>IF('Données projet'!$A$166&gt;35,DO41+DN42-DW41,IF(A42&lt;'Données projet'!$A$166,$DL$205^A42,IF(A42='Données projet'!$A$166,'Données projet'!$B$166,DO41+DN42-DW41)))</f>
        <v>135.73809523809524</v>
      </c>
      <c r="DP42" s="17">
        <f>DO42*VLOOKUP('Données projet'!$B$14,Paramètres!$A$1:$I$89,3,0)*VLOOKUP('Données projet'!$B$14,Paramètres!$A$1:$I$89,5,0)</f>
        <v>146.10848571428573</v>
      </c>
      <c r="DQ42" s="13">
        <f t="shared" si="43"/>
        <v>37.692876661099341</v>
      </c>
      <c r="DR42" s="20">
        <f t="shared" si="16"/>
        <v>320.12070613712899</v>
      </c>
      <c r="DS42" s="59">
        <f t="shared" si="17"/>
        <v>579.174326650475</v>
      </c>
      <c r="DT42" s="59">
        <f ca="1">AVERAGE(OFFSET($DS$3,0,0,'Données projet'!$E$14+1,1))-AVERAGE(OFFSET($H$3,0,0,'Données projet'!$E$14+1,1))</f>
        <v>434.77799524785502</v>
      </c>
      <c r="DU42" s="59">
        <f t="shared" si="44"/>
        <v>259.85949838170006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60.650987412730714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5.3369963369963358</v>
      </c>
      <c r="EJ42" s="12">
        <f>IF('Données projet'!$A$192&gt;35,EJ41+EI42-ER41,IF(A42&lt;'Données projet'!$A$192,$EG$205^A42,IF(A42='Données projet'!$A$192,'Données projet'!$B$192,EJ41+EI42-ER41)))</f>
        <v>135.73809523809524</v>
      </c>
      <c r="EK42" s="17">
        <f>EJ42*VLOOKUP('Données projet'!$B$15,Paramètres!$A$1:$I$89,3,0)*VLOOKUP('Données projet'!$B$15,Paramètres!$A$1:$I$89,5,0)</f>
        <v>131.28588571428571</v>
      </c>
      <c r="EL42" s="13">
        <f t="shared" si="45"/>
        <v>34.293319340356497</v>
      </c>
      <c r="EM42" s="20">
        <f t="shared" si="19"/>
        <v>288.38378213683524</v>
      </c>
      <c r="EN42" s="59">
        <f t="shared" si="20"/>
        <v>547.43740265018118</v>
      </c>
      <c r="EO42" s="59">
        <f ca="1">AVERAGE(OFFSET($EN$3,0,0,'Données projet'!$E$15+1,1))-AVERAGE(OFFSET($H$3,0,0,'Données projet'!$E$15+1,1))</f>
        <v>398.06270423055565</v>
      </c>
      <c r="EP42" s="59">
        <f t="shared" si="46"/>
        <v>239.15364562040614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60.650987412730714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18.055769230769229</v>
      </c>
      <c r="FE42" s="12">
        <f>IF('Données projet'!$A$218&gt;35,FE41+FD42-FM41,IF(A42&lt;'Données projet'!$A$218,$FB$205^A42,IF(A42='Données projet'!$A$218,'Données projet'!$B$218,FE41+FD42-FM41)))</f>
        <v>380.65961538461539</v>
      </c>
      <c r="FF42" s="17">
        <f>FE42*VLOOKUP('Données projet'!$B$16,Paramètres!$A$1:$I$89,3,0)*VLOOKUP('Données projet'!$B$16,Paramètres!$A$1:$I$89,5,0)</f>
        <v>227.63445000000002</v>
      </c>
      <c r="FG42" s="13">
        <f t="shared" si="47"/>
        <v>55.770886966725193</v>
      </c>
      <c r="FH42" s="20">
        <f t="shared" si="22"/>
        <v>493.59762855037974</v>
      </c>
      <c r="FI42" s="59">
        <f t="shared" si="23"/>
        <v>752.65124906372569</v>
      </c>
      <c r="FJ42" s="59">
        <f ca="1">AVERAGE(OFFSET($FI$3,0,0,'Données projet'!$E$16+1,1))-AVERAGE(OFFSET($H$3,0,0,'Données projet'!$E$16+1,1))</f>
        <v>334.13861979962491</v>
      </c>
      <c r="FK42" s="59">
        <f t="shared" si="48"/>
        <v>416.48635183664305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23.111981598186613</v>
      </c>
      <c r="FR42" s="21">
        <f>EXP(-LN(2)/25)*FR41+(1-EXP(-LN(2)/25))/(LN(2)/25)*Calculateur!FM42*Calculateur!FO42*VLOOKUP('Données projet'!$B$16,Paramètres!$A$1:$I$89,3,0)*0.475*44/12</f>
        <v>15.956516135630688</v>
      </c>
      <c r="FS42" s="21">
        <f>EXP(-LN(2)/2)*FS41+(1-EXP(-LN(2)/2))/(LN(2)/2)*FM42*FP42*VLOOKUP('Données projet'!$B$16,Paramètres!$A$1:$I$89,3,0)*0.475*44/12</f>
        <v>0.57976967933259782</v>
      </c>
      <c r="FT42" s="22">
        <f t="shared" si="24"/>
        <v>39.648267413149902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60.650987412730714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16.131410256410259</v>
      </c>
      <c r="FZ42" s="12">
        <f>IF('Données projet'!$A$244&gt;35,FZ41+FY42-GH41,IF(A42&lt;'Données projet'!$A$244,$FW$205^A42,IF(A42='Données projet'!$A$244,'Données projet'!$B$244,FZ41+FY42-GH41)))</f>
        <v>361.97500000000008</v>
      </c>
      <c r="GA42" s="17">
        <f>FZ42*VLOOKUP('Données projet'!$B$17,Paramètres!$A$1:$I$89,3,0)*VLOOKUP('Données projet'!$B$17,Paramètres!$A$1:$I$89,5,0)</f>
        <v>169.40430000000006</v>
      </c>
      <c r="GB42" s="13">
        <f t="shared" si="49"/>
        <v>42.956579357099159</v>
      </c>
      <c r="GC42" s="20">
        <f t="shared" si="25"/>
        <v>369.86186488028119</v>
      </c>
      <c r="GD42" s="59">
        <f t="shared" si="26"/>
        <v>628.91548539362714</v>
      </c>
      <c r="GE42" s="59">
        <f ca="1">AVERAGE(OFFSET($GD$3,0,0,'Données projet'!$E$17+1,1))-AVERAGE(OFFSET($H$3,0,0,'Données projet'!$E$17+1,1))</f>
        <v>317.79829681023142</v>
      </c>
      <c r="GF42" s="59">
        <f t="shared" si="50"/>
        <v>275.07716943523621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60.650987412730714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18.229670329670324</v>
      </c>
      <c r="GU42" s="12">
        <f>IF('Données projet'!$A$270&gt;35,GU41+GT42-HC41,IF(A42&lt;'Données projet'!$A$270,$GR$205^A42,IF(A42='Données projet'!$A$270,'Données projet'!$B$270,GU41+GT42-HC41)))</f>
        <v>307.910989010989</v>
      </c>
      <c r="GV42" s="17">
        <f>GU42*VLOOKUP('Données projet'!$B$18,Paramètres!$A$1:$I$89,3,0)*VLOOKUP('Données projet'!$B$18,Paramètres!$A$1:$I$89,5,0)</f>
        <v>172.12224285714285</v>
      </c>
      <c r="GW42" s="13">
        <f t="shared" si="51"/>
        <v>43.564991640658711</v>
      </c>
      <c r="GX42" s="20">
        <f t="shared" si="28"/>
        <v>375.65526675033772</v>
      </c>
      <c r="GY42" s="59">
        <f t="shared" si="29"/>
        <v>634.70888726368366</v>
      </c>
      <c r="GZ42" s="59">
        <f ca="1">AVERAGE(OFFSET($GY$3,0,0,'Données projet'!$E$18+1,1))-AVERAGE(OFFSET($H$3,0,0,'Données projet'!$E$18+1,1))</f>
        <v>336.21787234885699</v>
      </c>
      <c r="HA42" s="59">
        <f t="shared" si="52"/>
        <v>315.36156736899113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18.594588967759112</v>
      </c>
      <c r="HH42" s="21">
        <f>EXP(-LN(2)/25)*HH41+(1-EXP(-LN(2)/25))/(LN(2)/25)*Calculateur!HC42*Calculateur!HE42*VLOOKUP('Données projet'!$B$18,Paramètres!$A$1:$I$89,3,0)*0.475*44/12</f>
        <v>22.299297072081686</v>
      </c>
      <c r="HI42" s="21">
        <f>EXP(-LN(2)/2)*HI41+(1-EXP(-LN(2)/2))/(LN(2)/2)*HC42*HF42*VLOOKUP('Données projet'!$B$18,Paramètres!$A$1:$I$89,3,0)*0.475*44/12</f>
        <v>1.8559933516377733</v>
      </c>
      <c r="HJ42" s="22">
        <f t="shared" si="30"/>
        <v>42.749879391478565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3.7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13.566666666666668</v>
      </c>
      <c r="H43" s="67">
        <f t="shared" si="1"/>
        <v>202.4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60.813171879858928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9.3141025641025621</v>
      </c>
      <c r="N43" s="13">
        <f>IF('Données projet'!$A$36&gt;35,N42+M43-V42,IF(A43&lt;'Données projet'!$A$36,$K$205^A43,IF(A43='Données projet'!$A$36,'Données projet'!$B$36,N42+M43-V42)))</f>
        <v>148.13461538461542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553.9178925789297</v>
      </c>
      <c r="S43" s="59">
        <f ca="1">AVERAGE(OFFSET($R$3,0,0,'Données projet'!$E$9+1,1))-AVERAGE(OFFSET($H$3,0,0,'Données projet'!$E$9+1,1))</f>
        <v>411.64357329340851</v>
      </c>
      <c r="T43" s="59">
        <f t="shared" si="34"/>
        <v>294.07942258675632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60.813171879858928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9.3141025641025621</v>
      </c>
      <c r="AI43" s="13">
        <f>IF('Données projet'!$A$62&gt;35,AI42+AH43-AQ42,IF(A43&lt;'Données projet'!$A$62,$AF$205^A43,IF(A43='Données projet'!$A$62,'Données projet'!$B$62,AI42+AH43-AQ42)))</f>
        <v>148.13461538461542</v>
      </c>
      <c r="AJ43" s="13">
        <f>AI43*VLOOKUP('Données projet'!$B$10,Paramètres!$A$1:$I$89,3,0)*VLOOKUP('Données projet'!$B$10,Paramètres!$A$1:$I$89,5,0)</f>
        <v>150.20850000000004</v>
      </c>
      <c r="AK43" s="13">
        <f t="shared" si="35"/>
        <v>38.625964162869636</v>
      </c>
      <c r="AL43" s="20">
        <f t="shared" si="4"/>
        <v>328.88669175033129</v>
      </c>
      <c r="AM43" s="59">
        <f t="shared" si="5"/>
        <v>588.53498864314736</v>
      </c>
      <c r="AN43" s="59">
        <f ca="1">AVERAGE(OFFSET($AM$3,0,0,'Données projet'!$E$10+1,1))-AVERAGE(OFFSET($H$3,0,0,'Données projet'!$E$10+1,1))</f>
        <v>453.05577105995508</v>
      </c>
      <c r="AO43" s="59">
        <f t="shared" si="36"/>
        <v>322.6839824496758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60.813171879858928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3.5192307692307692</v>
      </c>
      <c r="BD43" s="12">
        <f>IF('Données projet'!$A$88&gt;35,BD42+BC43-BL42,IF(A43&lt;'Données projet'!$A$88,$BA$205^A43,IF(A43='Données projet'!$A$88,'Données projet'!$B$88,BD42+BC43-BL42)))</f>
        <v>91.935897435897459</v>
      </c>
      <c r="BE43" s="13">
        <f>BD43*VLOOKUP('Données projet'!$B$11,Paramètres!$A$1:$I$89,3,0)*VLOOKUP('Données projet'!$B$11,Paramètres!$A$1:$I$89,5,0)</f>
        <v>91.788800000000023</v>
      </c>
      <c r="BF43" s="13">
        <f t="shared" si="37"/>
        <v>24.996145089428794</v>
      </c>
      <c r="BG43" s="20">
        <f t="shared" si="7"/>
        <v>203.40044603075521</v>
      </c>
      <c r="BH43" s="59">
        <f t="shared" si="8"/>
        <v>463.04874292357124</v>
      </c>
      <c r="BI43" s="59">
        <f ca="1">AVERAGE(OFFSET($BH$3,0,0,'Données projet'!$E$11+1,1))-AVERAGE(OFFSET($H$3,0,0,'Données projet'!$E$11+1,1))</f>
        <v>411.38162678377478</v>
      </c>
      <c r="BJ43" s="59">
        <f t="shared" si="38"/>
        <v>177.89903563360403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60.813171879858928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150</v>
      </c>
      <c r="BW43" s="12">
        <f>VLOOKUP(A43,'Données projet'!$A$113:$I$133,9,0)</f>
        <v>7</v>
      </c>
      <c r="BX43" s="12">
        <f t="array" ref="BX43">INDEX(BW:BW,MIN(IF(ISNUMBER(BW43:BW239),ROW(BW43:BW239),"")))</f>
        <v>7</v>
      </c>
      <c r="BY43" s="12">
        <f>IF('Données projet'!$A$114&gt;35,BY42+BX43-CG42,IF(A43&lt;'Données projet'!$A$114,$BV$205^A43,IF(A43='Données projet'!$A$114,'Données projet'!$B$114,BY42+BX43-CG42)))</f>
        <v>150</v>
      </c>
      <c r="BZ43" s="13">
        <f>BY43*VLOOKUP('Données projet'!$B$12,Paramètres!$A$1:$I$89,3,0)*VLOOKUP('Données projet'!$B$12,Paramètres!$A$1:$I$89,5,0)</f>
        <v>156.78</v>
      </c>
      <c r="CA43" s="13">
        <f t="shared" si="39"/>
        <v>40.115378305457973</v>
      </c>
      <c r="CB43" s="20">
        <f t="shared" si="10"/>
        <v>342.92611721533927</v>
      </c>
      <c r="CC43" s="59">
        <f t="shared" si="11"/>
        <v>602.57441410815534</v>
      </c>
      <c r="CD43" s="59">
        <f ca="1">AVERAGE(OFFSET($CC$3,0,0,'Données projet'!$E$12+1,1))-AVERAGE(OFFSET($H$3,0,0,'Données projet'!$E$12+1,1))</f>
        <v>374.38550202939507</v>
      </c>
      <c r="CE43" s="59">
        <f t="shared" si="40"/>
        <v>324.37486924296718</v>
      </c>
      <c r="CF43" s="15">
        <f>IF(ISNA(VLOOKUP(A43,'Données projet'!$A$113:$I$133,3,0)),0,VLOOKUP(A43,'Données projet'!$A$113:$I$133,3,0))</f>
        <v>5</v>
      </c>
      <c r="CG43" s="15" t="str">
        <f>IF(ISNA(VLOOKUP(A43,'Données projet'!$A$113:$I$133,4,0)),0,VLOOKUP(A43,'Données projet'!$A$113:$I$133,4,0))</f>
        <v>20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0.215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4.9488194424928373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4.9488194424928373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60.813171879858928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5.3369963369963358</v>
      </c>
      <c r="CT43" s="12">
        <f>IF('Données projet'!$A$140&gt;35,CT42+CS43-DB42,IF(A43&lt;'Données projet'!$A$140,$CQ$205^A43,IF(A43='Données projet'!$A$140,'Données projet'!$B$140,CT42+CS43-DB42)))</f>
        <v>141.07509157509156</v>
      </c>
      <c r="CU43" s="17">
        <f>CT43*VLOOKUP('Données projet'!$B$13,Paramètres!$A$1:$I$89,3,0)*VLOOKUP('Données projet'!$B$13,Paramètres!$A$1:$I$89,5,0)</f>
        <v>134.24705714285713</v>
      </c>
      <c r="CV43" s="13">
        <f t="shared" si="41"/>
        <v>34.97588588975163</v>
      </c>
      <c r="CW43" s="20">
        <f t="shared" si="13"/>
        <v>294.72995911512686</v>
      </c>
      <c r="CX43" s="59">
        <f t="shared" si="14"/>
        <v>554.37825600794292</v>
      </c>
      <c r="CY43" s="59">
        <f ca="1">AVERAGE(OFFSET($CX$3,0,0,'Données projet'!$E$13+1,1))-AVERAGE(OFFSET($H$3,0,0,'Données projet'!$E$13+1,1))</f>
        <v>392.81074187112989</v>
      </c>
      <c r="CZ43" s="59">
        <f t="shared" si="42"/>
        <v>236.19146849073687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60.813171879858928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5.3369963369963358</v>
      </c>
      <c r="DO43" s="12">
        <f>IF('Données projet'!$A$166&gt;35,DO42+DN43-DW42,IF(A43&lt;'Données projet'!$A$166,$DL$205^A43,IF(A43='Données projet'!$A$166,'Données projet'!$B$166,DO42+DN43-DW42)))</f>
        <v>141.07509157509156</v>
      </c>
      <c r="DP43" s="17">
        <f>DO43*VLOOKUP('Données projet'!$B$14,Paramètres!$A$1:$I$89,3,0)*VLOOKUP('Données projet'!$B$14,Paramètres!$A$1:$I$89,5,0)</f>
        <v>151.85322857142856</v>
      </c>
      <c r="DQ43" s="13">
        <f t="shared" si="43"/>
        <v>38.99943701596716</v>
      </c>
      <c r="DR43" s="20">
        <f t="shared" si="16"/>
        <v>332.40172589804757</v>
      </c>
      <c r="DS43" s="59">
        <f t="shared" si="17"/>
        <v>592.05002279086364</v>
      </c>
      <c r="DT43" s="59">
        <f ca="1">AVERAGE(OFFSET($DS$3,0,0,'Données projet'!$E$14+1,1))-AVERAGE(OFFSET($H$3,0,0,'Données projet'!$E$14+1,1))</f>
        <v>434.77799524785502</v>
      </c>
      <c r="DU43" s="59">
        <f t="shared" si="44"/>
        <v>259.85949838170006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60.813171879858928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5.3369963369963358</v>
      </c>
      <c r="EJ43" s="12">
        <f>IF('Données projet'!$A$192&gt;35,EJ42+EI43-ER42,IF(A43&lt;'Données projet'!$A$192,$EG$205^A43,IF(A43='Données projet'!$A$192,'Données projet'!$B$192,EJ42+EI43-ER42)))</f>
        <v>141.07509157509156</v>
      </c>
      <c r="EK43" s="17">
        <f>EJ43*VLOOKUP('Données projet'!$B$15,Paramètres!$A$1:$I$89,3,0)*VLOOKUP('Données projet'!$B$15,Paramètres!$A$1:$I$89,5,0)</f>
        <v>136.44782857142857</v>
      </c>
      <c r="EL43" s="13">
        <f t="shared" si="45"/>
        <v>35.482039742086272</v>
      </c>
      <c r="EM43" s="20">
        <f t="shared" si="19"/>
        <v>299.44452064603837</v>
      </c>
      <c r="EN43" s="59">
        <f t="shared" si="20"/>
        <v>559.09281753885443</v>
      </c>
      <c r="EO43" s="59">
        <f ca="1">AVERAGE(OFFSET($EN$3,0,0,'Données projet'!$E$15+1,1))-AVERAGE(OFFSET($H$3,0,0,'Données projet'!$E$15+1,1))</f>
        <v>398.06270423055565</v>
      </c>
      <c r="EP43" s="59">
        <f t="shared" si="46"/>
        <v>239.15364562040614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60.813171879858928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398.71538461538461</v>
      </c>
      <c r="FC43" s="12">
        <f>VLOOKUP(A43,'Données projet'!$A$217:$I$237,9,0)</f>
        <v>18.055769230769229</v>
      </c>
      <c r="FD43" s="12">
        <f t="array" ref="FD43">INDEX(FC:FC,MIN(IF(ISNUMBER(FC43:FC239),ROW(FC43:FC239),"")))</f>
        <v>18.055769230769229</v>
      </c>
      <c r="FE43" s="12">
        <f>IF('Données projet'!$A$218&gt;35,FE42+FD43-FM42,IF(A43&lt;'Données projet'!$A$218,$FB$205^A43,IF(A43='Données projet'!$A$218,'Données projet'!$B$218,FE42+FD43-FM42)))</f>
        <v>398.71538461538461</v>
      </c>
      <c r="FF43" s="17">
        <f>FE43*VLOOKUP('Données projet'!$B$16,Paramètres!$A$1:$I$89,3,0)*VLOOKUP('Données projet'!$B$16,Paramètres!$A$1:$I$89,5,0)</f>
        <v>238.43180000000001</v>
      </c>
      <c r="FG43" s="13">
        <f t="shared" si="47"/>
        <v>58.101995988242535</v>
      </c>
      <c r="FH43" s="20">
        <f t="shared" si="22"/>
        <v>516.46302801285583</v>
      </c>
      <c r="FI43" s="59">
        <f t="shared" si="23"/>
        <v>776.11132490567184</v>
      </c>
      <c r="FJ43" s="59">
        <f ca="1">AVERAGE(OFFSET($FI$3,0,0,'Données projet'!$E$16+1,1))-AVERAGE(OFFSET($H$3,0,0,'Données projet'!$E$16+1,1))</f>
        <v>334.13861979962491</v>
      </c>
      <c r="FK43" s="59">
        <f t="shared" si="48"/>
        <v>416.48635183664305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92.661538461538456</v>
      </c>
      <c r="FN43" s="16">
        <f>IF(ISNA(VLOOKUP(A43,'Données projet'!$A$217:$I$237,5,0)),0%,VLOOKUP(A43,'Données projet'!$A$217:$I$237,5,0)*VLOOKUP('Données projet'!$B$16,Paramètres!$A$1:$I$89,7,0))</f>
        <v>0.315</v>
      </c>
      <c r="FO43" s="16">
        <f>IF(ISNA(VLOOKUP(A43,'Données projet'!$A$217:$I$237,6,0)),0%,VLOOKUP(A43,'Données projet'!$A$217:$I$237,6,0)*VLOOKUP('Données projet'!$B$16,Paramètres!$A$1:$I$89,7,0))</f>
        <v>7.5600000000000001E-2</v>
      </c>
      <c r="FP43" s="16">
        <f>IF(ISNA(VLOOKUP(A43,'Données projet'!$A$217:$I$237,7,0)),0%,VLOOKUP(A43,'Données projet'!$A$217:$I$237,7,0))</f>
        <v>0.13200000000000001</v>
      </c>
      <c r="FQ43" s="21">
        <f>EXP(-LN(2)/35)*FQ42+(1-EXP(-LN(2)/35))/(LN(2)/35)*FM43*FN43*VLOOKUP('Données projet'!$B$16,Paramètres!$A$1:$I$89,3,0)*0.475*44/12</f>
        <v>45.813493314358581</v>
      </c>
      <c r="FR43" s="21">
        <f>EXP(-LN(2)/25)*FR42+(1-EXP(-LN(2)/25))/(LN(2)/25)*Calculateur!FM43*Calculateur!FO43*VLOOKUP('Données projet'!$B$16,Paramètres!$A$1:$I$89,3,0)*0.475*44/12</f>
        <v>21.055437468951411</v>
      </c>
      <c r="FS43" s="21">
        <f>EXP(-LN(2)/2)*FS42+(1-EXP(-LN(2)/2))/(LN(2)/2)*FM43*FP43*VLOOKUP('Données projet'!$B$16,Paramètres!$A$1:$I$89,3,0)*0.475*44/12</f>
        <v>8.6914810912279421</v>
      </c>
      <c r="FT43" s="22">
        <f t="shared" si="24"/>
        <v>75.560411874537934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60.813171879858928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16.131410256410259</v>
      </c>
      <c r="FZ43" s="12">
        <f>IF('Données projet'!$A$244&gt;35,FZ42+FY43-GH42,IF(A43&lt;'Données projet'!$A$244,$FW$205^A43,IF(A43='Données projet'!$A$244,'Données projet'!$B$244,FZ42+FY43-GH42)))</f>
        <v>378.10641025641036</v>
      </c>
      <c r="GA43" s="17">
        <f>FZ43*VLOOKUP('Données projet'!$B$17,Paramètres!$A$1:$I$89,3,0)*VLOOKUP('Données projet'!$B$17,Paramètres!$A$1:$I$89,5,0)</f>
        <v>176.95380000000006</v>
      </c>
      <c r="GB43" s="13">
        <f t="shared" si="49"/>
        <v>44.643791032081154</v>
      </c>
      <c r="GC43" s="20">
        <f t="shared" si="25"/>
        <v>385.94913771420806</v>
      </c>
      <c r="GD43" s="59">
        <f t="shared" si="26"/>
        <v>645.59743460702407</v>
      </c>
      <c r="GE43" s="59">
        <f ca="1">AVERAGE(OFFSET($GD$3,0,0,'Données projet'!$E$17+1,1))-AVERAGE(OFFSET($H$3,0,0,'Données projet'!$E$17+1,1))</f>
        <v>317.79829681023142</v>
      </c>
      <c r="GF43" s="59">
        <f t="shared" si="50"/>
        <v>275.07716943523621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60.813171879858928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18.229670329670324</v>
      </c>
      <c r="GU43" s="12">
        <f>IF('Données projet'!$A$270&gt;35,GU42+GT43-HC42,IF(A43&lt;'Données projet'!$A$270,$GR$205^A43,IF(A43='Données projet'!$A$270,'Données projet'!$B$270,GU42+GT43-HC42)))</f>
        <v>326.14065934065934</v>
      </c>
      <c r="GV43" s="17">
        <f>GU43*VLOOKUP('Données projet'!$B$18,Paramètres!$A$1:$I$89,3,0)*VLOOKUP('Données projet'!$B$18,Paramètres!$A$1:$I$89,5,0)</f>
        <v>182.31262857142858</v>
      </c>
      <c r="GW43" s="13">
        <f t="shared" si="51"/>
        <v>45.836320512875403</v>
      </c>
      <c r="GX43" s="20">
        <f t="shared" si="28"/>
        <v>397.35941965516275</v>
      </c>
      <c r="GY43" s="59">
        <f t="shared" si="29"/>
        <v>657.00771654797882</v>
      </c>
      <c r="GZ43" s="59">
        <f ca="1">AVERAGE(OFFSET($GY$3,0,0,'Données projet'!$E$18+1,1))-AVERAGE(OFFSET($H$3,0,0,'Données projet'!$E$18+1,1))</f>
        <v>336.21787234885699</v>
      </c>
      <c r="HA43" s="59">
        <f t="shared" si="52"/>
        <v>315.36156736899113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18.229960419680737</v>
      </c>
      <c r="HH43" s="21">
        <f>EXP(-LN(2)/25)*HH42+(1-EXP(-LN(2)/25))/(LN(2)/25)*Calculateur!HC43*Calculateur!HE43*VLOOKUP('Données projet'!$B$18,Paramètres!$A$1:$I$89,3,0)*0.475*44/12</f>
        <v>21.689521620976546</v>
      </c>
      <c r="HI43" s="21">
        <f>EXP(-LN(2)/2)*HI42+(1-EXP(-LN(2)/2))/(LN(2)/2)*HC43*HF43*VLOOKUP('Données projet'!$B$18,Paramètres!$A$1:$I$89,3,0)*0.475*44/12</f>
        <v>1.3123854847802181</v>
      </c>
      <c r="HJ43" s="22">
        <f t="shared" si="30"/>
        <v>41.231867525437501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3.7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13.566666666666668</v>
      </c>
      <c r="H44" s="67">
        <f t="shared" si="1"/>
        <v>202.4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60.972542809072607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9.3141025641025621</v>
      </c>
      <c r="M44" s="12">
        <f t="array" ref="M44">INDEX(L:L,MIN(IF(ISNUMBER(L44:L240),ROW(L44:L240),"")))</f>
        <v>9.3141025641025621</v>
      </c>
      <c r="N44" s="13">
        <f>IF('Données projet'!$A$36&gt;35,N43+M44-V43,IF(A44&lt;'Données projet'!$A$36,$K$205^A44,IF(A44='Données projet'!$A$36,'Données projet'!$B$36,N43+M44-V43)))</f>
        <v>157.44871794871798</v>
      </c>
      <c r="O44" s="13">
        <f>N44*VLOOKUP('Données projet'!$B$9,Paramètres!$A$1:$I$89,3,0)*VLOOKUP('Données projet'!$B$9,Paramètres!$A$1:$I$89,5,0)</f>
        <v>142.45960000000002</v>
      </c>
      <c r="P44" s="13">
        <f t="shared" si="33"/>
        <v>36.859892915688405</v>
      </c>
      <c r="Q44" s="20">
        <f t="shared" si="53"/>
        <v>312.31478349482404</v>
      </c>
      <c r="R44" s="59">
        <f t="shared" si="0"/>
        <v>572.54744046142355</v>
      </c>
      <c r="S44" s="59">
        <f ca="1">AVERAGE(OFFSET($R$3,0,0,'Données projet'!$E$9+1,1))-AVERAGE(OFFSET($H$3,0,0,'Données projet'!$E$9+1,1))</f>
        <v>411.64357329340851</v>
      </c>
      <c r="T44" s="59">
        <f t="shared" si="34"/>
        <v>294.07942258675632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60.972542809072607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157.44871794871796</v>
      </c>
      <c r="AG44" s="12">
        <f>VLOOKUP(A44,'Données projet'!$A$61:$I$81,9,0)</f>
        <v>9.3141025641025621</v>
      </c>
      <c r="AH44" s="12">
        <f t="array" ref="AH44">INDEX(AG:AG,MIN(IF(ISNUMBER(AG44:AG240),ROW(AG44:AG240),"")))</f>
        <v>9.3141025641025621</v>
      </c>
      <c r="AI44" s="13">
        <f>IF('Données projet'!$A$62&gt;35,AI43+AH44-AQ43,IF(A44&lt;'Données projet'!$A$62,$AF$205^A44,IF(A44='Données projet'!$A$62,'Données projet'!$B$62,AI43+AH44-AQ43)))</f>
        <v>157.44871794871798</v>
      </c>
      <c r="AJ44" s="13">
        <f>AI44*VLOOKUP('Données projet'!$B$10,Paramètres!$A$1:$I$89,3,0)*VLOOKUP('Données projet'!$B$10,Paramètres!$A$1:$I$89,5,0)</f>
        <v>159.65300000000005</v>
      </c>
      <c r="AK44" s="13">
        <f t="shared" si="35"/>
        <v>40.764238701185349</v>
      </c>
      <c r="AL44" s="20">
        <f t="shared" si="4"/>
        <v>349.06002407123123</v>
      </c>
      <c r="AM44" s="59">
        <f t="shared" si="5"/>
        <v>609.29268103783079</v>
      </c>
      <c r="AN44" s="59">
        <f ca="1">AVERAGE(OFFSET($AM$3,0,0,'Données projet'!$E$10+1,1))-AVERAGE(OFFSET($H$3,0,0,'Données projet'!$E$10+1,1))</f>
        <v>453.05577105995508</v>
      </c>
      <c r="AO44" s="59">
        <f t="shared" si="36"/>
        <v>322.6839824496758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38.512820512820511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60.972542809072607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3.5192307692307692</v>
      </c>
      <c r="BD44" s="12">
        <f>IF('Données projet'!$A$88&gt;35,BD43+BC44-BL43,IF(A44&lt;'Données projet'!$A$88,$BA$205^A44,IF(A44='Données projet'!$A$88,'Données projet'!$B$88,BD43+BC44-BL43)))</f>
        <v>95.455128205128233</v>
      </c>
      <c r="BE44" s="13">
        <f>BD44*VLOOKUP('Données projet'!$B$11,Paramètres!$A$1:$I$89,3,0)*VLOOKUP('Données projet'!$B$11,Paramètres!$A$1:$I$89,5,0)</f>
        <v>95.302400000000034</v>
      </c>
      <c r="BF44" s="13">
        <f t="shared" si="37"/>
        <v>25.839744540840691</v>
      </c>
      <c r="BG44" s="20">
        <f t="shared" si="7"/>
        <v>210.98923507529756</v>
      </c>
      <c r="BH44" s="59">
        <f t="shared" si="8"/>
        <v>471.22189204189715</v>
      </c>
      <c r="BI44" s="59">
        <f ca="1">AVERAGE(OFFSET($BH$3,0,0,'Données projet'!$E$11+1,1))-AVERAGE(OFFSET($H$3,0,0,'Données projet'!$E$11+1,1))</f>
        <v>411.38162678377478</v>
      </c>
      <c r="BJ44" s="59">
        <f t="shared" si="38"/>
        <v>177.89903563360403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60.972542809072607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136.4</v>
      </c>
      <c r="BZ44" s="13">
        <f>BY44*VLOOKUP('Données projet'!$B$12,Paramètres!$A$1:$I$89,3,0)*VLOOKUP('Données projet'!$B$12,Paramètres!$A$1:$I$89,5,0)</f>
        <v>142.56528</v>
      </c>
      <c r="CA44" s="13">
        <f t="shared" si="39"/>
        <v>36.884052647824326</v>
      </c>
      <c r="CB44" s="20">
        <f t="shared" si="10"/>
        <v>312.54092102829401</v>
      </c>
      <c r="CC44" s="59">
        <f t="shared" si="11"/>
        <v>572.77357799489357</v>
      </c>
      <c r="CD44" s="59">
        <f ca="1">AVERAGE(OFFSET($CC$3,0,0,'Données projet'!$E$12+1,1))-AVERAGE(OFFSET($H$3,0,0,'Données projet'!$E$12+1,1))</f>
        <v>374.38550202939507</v>
      </c>
      <c r="CE44" s="59">
        <f t="shared" si="40"/>
        <v>324.37486924296718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4.8134937145907672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4.8134937145907672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60.972542809072607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5.3369963369963358</v>
      </c>
      <c r="CT44" s="12">
        <f>IF('Données projet'!$A$140&gt;35,CT43+CS44-DB43,IF(A44&lt;'Données projet'!$A$140,$CQ$205^A44,IF(A44='Données projet'!$A$140,'Données projet'!$B$140,CT43+CS44-DB43)))</f>
        <v>146.41208791208788</v>
      </c>
      <c r="CU44" s="17">
        <f>CT44*VLOOKUP('Données projet'!$B$13,Paramètres!$A$1:$I$89,3,0)*VLOOKUP('Données projet'!$B$13,Paramètres!$A$1:$I$89,5,0)</f>
        <v>139.32574285714284</v>
      </c>
      <c r="CV44" s="13">
        <f t="shared" si="41"/>
        <v>36.142499278338384</v>
      </c>
      <c r="CW44" s="20">
        <f t="shared" si="13"/>
        <v>305.60718838596318</v>
      </c>
      <c r="CX44" s="59">
        <f t="shared" si="14"/>
        <v>565.83984535256275</v>
      </c>
      <c r="CY44" s="59">
        <f ca="1">AVERAGE(OFFSET($CX$3,0,0,'Données projet'!$E$13+1,1))-AVERAGE(OFFSET($H$3,0,0,'Données projet'!$E$13+1,1))</f>
        <v>392.81074187112989</v>
      </c>
      <c r="CZ44" s="59">
        <f t="shared" si="42"/>
        <v>236.19146849073687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60.972542809072607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5.3369963369963358</v>
      </c>
      <c r="DO44" s="12">
        <f>IF('Données projet'!$A$166&gt;35,DO43+DN44-DW43,IF(A44&lt;'Données projet'!$A$166,$DL$205^A44,IF(A44='Données projet'!$A$166,'Données projet'!$B$166,DO43+DN44-DW43)))</f>
        <v>146.41208791208788</v>
      </c>
      <c r="DP44" s="17">
        <f>DO44*VLOOKUP('Données projet'!$B$14,Paramètres!$A$1:$I$89,3,0)*VLOOKUP('Données projet'!$B$14,Paramètres!$A$1:$I$89,5,0)</f>
        <v>157.59797142857141</v>
      </c>
      <c r="DQ44" s="13">
        <f t="shared" si="43"/>
        <v>40.300255114287417</v>
      </c>
      <c r="DR44" s="20">
        <f t="shared" si="16"/>
        <v>344.67274456214574</v>
      </c>
      <c r="DS44" s="59">
        <f t="shared" si="17"/>
        <v>604.9054015287453</v>
      </c>
      <c r="DT44" s="59">
        <f ca="1">AVERAGE(OFFSET($DS$3,0,0,'Données projet'!$E$14+1,1))-AVERAGE(OFFSET($H$3,0,0,'Données projet'!$E$14+1,1))</f>
        <v>434.77799524785502</v>
      </c>
      <c r="DU44" s="59">
        <f t="shared" si="44"/>
        <v>259.85949838170006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60.972542809072607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5.3369963369963358</v>
      </c>
      <c r="EJ44" s="12">
        <f>IF('Données projet'!$A$192&gt;35,EJ43+EI44-ER43,IF(A44&lt;'Données projet'!$A$192,$EG$205^A44,IF(A44='Données projet'!$A$192,'Données projet'!$B$192,EJ43+EI44-ER43)))</f>
        <v>146.41208791208788</v>
      </c>
      <c r="EK44" s="17">
        <f>EJ44*VLOOKUP('Données projet'!$B$15,Paramètres!$A$1:$I$89,3,0)*VLOOKUP('Données projet'!$B$15,Paramètres!$A$1:$I$89,5,0)</f>
        <v>141.60977142857141</v>
      </c>
      <c r="EL44" s="13">
        <f t="shared" si="45"/>
        <v>36.665535786988855</v>
      </c>
      <c r="EM44" s="20">
        <f t="shared" si="19"/>
        <v>310.49616006710073</v>
      </c>
      <c r="EN44" s="59">
        <f t="shared" si="20"/>
        <v>570.72881703370035</v>
      </c>
      <c r="EO44" s="59">
        <f ca="1">AVERAGE(OFFSET($EN$3,0,0,'Données projet'!$E$15+1,1))-AVERAGE(OFFSET($H$3,0,0,'Données projet'!$E$15+1,1))</f>
        <v>398.06270423055565</v>
      </c>
      <c r="EP44" s="59">
        <f t="shared" si="46"/>
        <v>239.15364562040614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60.972542809072607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15.21153846153846</v>
      </c>
      <c r="FE44" s="12">
        <f>IF('Données projet'!$A$218&gt;35,FE43+FD44-FM43,IF(A44&lt;'Données projet'!$A$218,$FB$205^A44,IF(A44='Données projet'!$A$218,'Données projet'!$B$218,FE43+FD44-FM43)))</f>
        <v>321.26538461538462</v>
      </c>
      <c r="FF44" s="17">
        <f>FE44*VLOOKUP('Données projet'!$B$16,Paramètres!$A$1:$I$89,3,0)*VLOOKUP('Données projet'!$B$16,Paramètres!$A$1:$I$89,5,0)</f>
        <v>192.11670000000004</v>
      </c>
      <c r="FG44" s="13">
        <f t="shared" si="47"/>
        <v>48.007622995174927</v>
      </c>
      <c r="FH44" s="20">
        <f t="shared" si="22"/>
        <v>418.21652921659637</v>
      </c>
      <c r="FI44" s="59">
        <f t="shared" si="23"/>
        <v>678.44918618319593</v>
      </c>
      <c r="FJ44" s="59">
        <f ca="1">AVERAGE(OFFSET($FI$3,0,0,'Données projet'!$E$16+1,1))-AVERAGE(OFFSET($H$3,0,0,'Données projet'!$E$16+1,1))</f>
        <v>334.13861979962491</v>
      </c>
      <c r="FK44" s="59">
        <f t="shared" si="48"/>
        <v>416.48635183664305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44.915118653935743</v>
      </c>
      <c r="FR44" s="21">
        <f>EXP(-LN(2)/25)*FR43+(1-EXP(-LN(2)/25))/(LN(2)/25)*Calculateur!FM44*Calculateur!FO44*VLOOKUP('Données projet'!$B$16,Paramètres!$A$1:$I$89,3,0)*0.475*44/12</f>
        <v>20.479675424105601</v>
      </c>
      <c r="FS44" s="21">
        <f>EXP(-LN(2)/2)*FS43+(1-EXP(-LN(2)/2))/(LN(2)/2)*FM44*FP44*VLOOKUP('Données projet'!$B$16,Paramètres!$A$1:$I$89,3,0)*0.475*44/12</f>
        <v>6.1458052181619323</v>
      </c>
      <c r="FT44" s="22">
        <f t="shared" si="24"/>
        <v>71.540599296203283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60.972542809072607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16.131410256410259</v>
      </c>
      <c r="FZ44" s="12">
        <f>IF('Données projet'!$A$244&gt;35,FZ43+FY44-GH43,IF(A44&lt;'Données projet'!$A$244,$FW$205^A44,IF(A44='Données projet'!$A$244,'Données projet'!$B$244,FZ43+FY44-GH43)))</f>
        <v>394.23782051282063</v>
      </c>
      <c r="GA44" s="17">
        <f>FZ44*VLOOKUP('Données projet'!$B$17,Paramètres!$A$1:$I$89,3,0)*VLOOKUP('Données projet'!$B$17,Paramètres!$A$1:$I$89,5,0)</f>
        <v>184.50330000000005</v>
      </c>
      <c r="GB44" s="13">
        <f t="shared" si="49"/>
        <v>46.32264201774467</v>
      </c>
      <c r="GC44" s="20">
        <f t="shared" si="25"/>
        <v>402.02184901423874</v>
      </c>
      <c r="GD44" s="59">
        <f t="shared" si="26"/>
        <v>662.2545059808383</v>
      </c>
      <c r="GE44" s="59">
        <f ca="1">AVERAGE(OFFSET($GD$3,0,0,'Données projet'!$E$17+1,1))-AVERAGE(OFFSET($H$3,0,0,'Données projet'!$E$17+1,1))</f>
        <v>317.79829681023142</v>
      </c>
      <c r="GF44" s="59">
        <f t="shared" si="50"/>
        <v>275.07716943523621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60.972542809072607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18.229670329670324</v>
      </c>
      <c r="GU44" s="12">
        <f>IF('Données projet'!$A$270&gt;35,GU43+GT44-HC43,IF(A44&lt;'Données projet'!$A$270,$GR$205^A44,IF(A44='Données projet'!$A$270,'Données projet'!$B$270,GU43+GT44-HC43)))</f>
        <v>344.37032967032968</v>
      </c>
      <c r="GV44" s="17">
        <f>GU44*VLOOKUP('Données projet'!$B$18,Paramètres!$A$1:$I$89,3,0)*VLOOKUP('Données projet'!$B$18,Paramètres!$A$1:$I$89,5,0)</f>
        <v>192.50301428571427</v>
      </c>
      <c r="GW44" s="13">
        <f t="shared" si="51"/>
        <v>48.092911552862631</v>
      </c>
      <c r="GX44" s="20">
        <f t="shared" si="28"/>
        <v>419.03790416885477</v>
      </c>
      <c r="GY44" s="59">
        <f t="shared" si="29"/>
        <v>679.27056113545427</v>
      </c>
      <c r="GZ44" s="59">
        <f ca="1">AVERAGE(OFFSET($GY$3,0,0,'Données projet'!$E$18+1,1))-AVERAGE(OFFSET($H$3,0,0,'Données projet'!$E$18+1,1))</f>
        <v>336.21787234885699</v>
      </c>
      <c r="HA44" s="59">
        <f t="shared" si="52"/>
        <v>315.36156736899113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17.872482015028726</v>
      </c>
      <c r="HH44" s="21">
        <f>EXP(-LN(2)/25)*HH43+(1-EXP(-LN(2)/25))/(LN(2)/25)*Calculateur!HC44*Calculateur!HE44*VLOOKUP('Données projet'!$B$18,Paramètres!$A$1:$I$89,3,0)*0.475*44/12</f>
        <v>21.096420511648571</v>
      </c>
      <c r="HI44" s="21">
        <f>EXP(-LN(2)/2)*HI43+(1-EXP(-LN(2)/2))/(LN(2)/2)*HC44*HF44*VLOOKUP('Données projet'!$B$18,Paramètres!$A$1:$I$89,3,0)*0.475*44/12</f>
        <v>0.9279966758188869</v>
      </c>
      <c r="HJ44" s="22">
        <f t="shared" si="30"/>
        <v>39.896899202496186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3.7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13.566666666666668</v>
      </c>
      <c r="H45" s="67">
        <f t="shared" si="1"/>
        <v>202.4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61.129149008964461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128.28113553113559</v>
      </c>
      <c r="O45" s="13">
        <f>N45*VLOOKUP('Données projet'!$B$9,Paramètres!$A$1:$I$89,3,0)*VLOOKUP('Données projet'!$B$9,Paramètres!$A$1:$I$89,5,0)</f>
        <v>116.06877142857148</v>
      </c>
      <c r="P45" s="13">
        <f t="shared" si="33"/>
        <v>30.75633490516044</v>
      </c>
      <c r="Q45" s="20">
        <f t="shared" si="53"/>
        <v>255.72039353124975</v>
      </c>
      <c r="R45" s="59">
        <f t="shared" si="0"/>
        <v>516.52727323078614</v>
      </c>
      <c r="S45" s="59">
        <f ca="1">AVERAGE(OFFSET($R$3,0,0,'Données projet'!$E$9+1,1))-AVERAGE(OFFSET($H$3,0,0,'Données projet'!$E$9+1,1))</f>
        <v>411.64357329340851</v>
      </c>
      <c r="T45" s="59">
        <f t="shared" si="34"/>
        <v>294.07942258675632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61.129149008964461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9.3452380952380913</v>
      </c>
      <c r="AI45" s="13">
        <f>IF('Données projet'!$A$62&gt;35,AI44+AH45-AQ44,IF(A45&lt;'Données projet'!$A$62,$AF$205^A45,IF(A45='Données projet'!$A$62,'Données projet'!$B$62,AI44+AH45-AQ44)))</f>
        <v>128.28113553113559</v>
      </c>
      <c r="AJ45" s="13">
        <f>AI45*VLOOKUP('Données projet'!$B$10,Paramètres!$A$1:$I$89,3,0)*VLOOKUP('Données projet'!$B$10,Paramètres!$A$1:$I$89,5,0)</f>
        <v>130.07707142857151</v>
      </c>
      <c r="AK45" s="13">
        <f t="shared" si="35"/>
        <v>34.014167662270417</v>
      </c>
      <c r="AL45" s="20">
        <f t="shared" si="4"/>
        <v>285.79224141654964</v>
      </c>
      <c r="AM45" s="59">
        <f t="shared" si="5"/>
        <v>546.59912111608605</v>
      </c>
      <c r="AN45" s="59">
        <f ca="1">AVERAGE(OFFSET($AM$3,0,0,'Données projet'!$E$10+1,1))-AVERAGE(OFFSET($H$3,0,0,'Données projet'!$E$10+1,1))</f>
        <v>453.05577105995508</v>
      </c>
      <c r="AO45" s="59">
        <f t="shared" si="36"/>
        <v>322.6839824496758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61.129149008964461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3.5192307692307692</v>
      </c>
      <c r="BD45" s="12">
        <f>IF('Données projet'!$A$88&gt;35,BD44+BC45-BL44,IF(A45&lt;'Données projet'!$A$88,$BA$205^A45,IF(A45='Données projet'!$A$88,'Données projet'!$B$88,BD44+BC45-BL44)))</f>
        <v>98.974358974359006</v>
      </c>
      <c r="BE45" s="13">
        <f>BD45*VLOOKUP('Données projet'!$B$11,Paramètres!$A$1:$I$89,3,0)*VLOOKUP('Données projet'!$B$11,Paramètres!$A$1:$I$89,5,0)</f>
        <v>98.816000000000045</v>
      </c>
      <c r="BF45" s="13">
        <f t="shared" si="37"/>
        <v>26.679730641286369</v>
      </c>
      <c r="BG45" s="20">
        <f t="shared" si="7"/>
        <v>218.57173086690716</v>
      </c>
      <c r="BH45" s="59">
        <f t="shared" si="8"/>
        <v>479.37861056644351</v>
      </c>
      <c r="BI45" s="59">
        <f ca="1">AVERAGE(OFFSET($BH$3,0,0,'Données projet'!$E$11+1,1))-AVERAGE(OFFSET($H$3,0,0,'Données projet'!$E$11+1,1))</f>
        <v>411.38162678377478</v>
      </c>
      <c r="BJ45" s="59">
        <f t="shared" si="38"/>
        <v>177.89903563360403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61.129149008964461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142.80000000000001</v>
      </c>
      <c r="BZ45" s="13">
        <f>BY45*VLOOKUP('Données projet'!$B$12,Paramètres!$A$1:$I$89,3,0)*VLOOKUP('Données projet'!$B$12,Paramètres!$A$1:$I$89,5,0)</f>
        <v>149.25456000000003</v>
      </c>
      <c r="CA45" s="13">
        <f t="shared" si="39"/>
        <v>38.409132618275962</v>
      </c>
      <c r="CB45" s="20">
        <f t="shared" si="10"/>
        <v>326.84759797683068</v>
      </c>
      <c r="CC45" s="59">
        <f t="shared" si="11"/>
        <v>587.65447767636704</v>
      </c>
      <c r="CD45" s="59">
        <f ca="1">AVERAGE(OFFSET($CC$3,0,0,'Données projet'!$E$12+1,1))-AVERAGE(OFFSET($H$3,0,0,'Données projet'!$E$12+1,1))</f>
        <v>374.38550202939507</v>
      </c>
      <c r="CE45" s="59">
        <f t="shared" si="40"/>
        <v>324.37486924296718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4.6818684758346496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4.6818684758346496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61.129149008964461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5.3369963369963358</v>
      </c>
      <c r="CT45" s="12">
        <f>IF('Données projet'!$A$140&gt;35,CT44+CS45-DB44,IF(A45&lt;'Données projet'!$A$140,$CQ$205^A45,IF(A45='Données projet'!$A$140,'Données projet'!$B$140,CT44+CS45-DB44)))</f>
        <v>151.74908424908421</v>
      </c>
      <c r="CU45" s="17">
        <f>CT45*VLOOKUP('Données projet'!$B$13,Paramètres!$A$1:$I$89,3,0)*VLOOKUP('Données projet'!$B$13,Paramètres!$A$1:$I$89,5,0)</f>
        <v>144.40442857142855</v>
      </c>
      <c r="CV45" s="13">
        <f t="shared" si="41"/>
        <v>37.304172057968501</v>
      </c>
      <c r="CW45" s="20">
        <f t="shared" si="13"/>
        <v>316.4758127628665</v>
      </c>
      <c r="CX45" s="59">
        <f t="shared" si="14"/>
        <v>577.28269246240279</v>
      </c>
      <c r="CY45" s="59">
        <f ca="1">AVERAGE(OFFSET($CX$3,0,0,'Données projet'!$E$13+1,1))-AVERAGE(OFFSET($H$3,0,0,'Données projet'!$E$13+1,1))</f>
        <v>392.81074187112989</v>
      </c>
      <c r="CZ45" s="59">
        <f t="shared" si="42"/>
        <v>236.19146849073687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61.129149008964461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5.3369963369963358</v>
      </c>
      <c r="DO45" s="12">
        <f>IF('Données projet'!$A$166&gt;35,DO44+DN45-DW44,IF(A45&lt;'Données projet'!$A$166,$DL$205^A45,IF(A45='Données projet'!$A$166,'Données projet'!$B$166,DO44+DN45-DW44)))</f>
        <v>151.74908424908421</v>
      </c>
      <c r="DP45" s="17">
        <f>DO45*VLOOKUP('Données projet'!$B$14,Paramètres!$A$1:$I$89,3,0)*VLOOKUP('Données projet'!$B$14,Paramètres!$A$1:$I$89,5,0)</f>
        <v>163.34271428571424</v>
      </c>
      <c r="DQ45" s="13">
        <f t="shared" si="43"/>
        <v>41.595564246560798</v>
      </c>
      <c r="DR45" s="20">
        <f t="shared" si="16"/>
        <v>356.93416844371239</v>
      </c>
      <c r="DS45" s="59">
        <f t="shared" si="17"/>
        <v>617.74104814324869</v>
      </c>
      <c r="DT45" s="59">
        <f ca="1">AVERAGE(OFFSET($DS$3,0,0,'Données projet'!$E$14+1,1))-AVERAGE(OFFSET($H$3,0,0,'Données projet'!$E$14+1,1))</f>
        <v>434.77799524785502</v>
      </c>
      <c r="DU45" s="59">
        <f t="shared" si="44"/>
        <v>259.85949838170006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61.129149008964461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5.3369963369963358</v>
      </c>
      <c r="EJ45" s="12">
        <f>IF('Données projet'!$A$192&gt;35,EJ44+EI45-ER44,IF(A45&lt;'Données projet'!$A$192,$EG$205^A45,IF(A45='Données projet'!$A$192,'Données projet'!$B$192,EJ44+EI45-ER44)))</f>
        <v>151.74908424908421</v>
      </c>
      <c r="EK45" s="17">
        <f>EJ45*VLOOKUP('Données projet'!$B$15,Paramètres!$A$1:$I$89,3,0)*VLOOKUP('Données projet'!$B$15,Paramètres!$A$1:$I$89,5,0)</f>
        <v>146.77171428571427</v>
      </c>
      <c r="EL45" s="13">
        <f t="shared" si="45"/>
        <v>37.844019724867131</v>
      </c>
      <c r="EM45" s="20">
        <f t="shared" si="19"/>
        <v>321.53907006842928</v>
      </c>
      <c r="EN45" s="59">
        <f t="shared" si="20"/>
        <v>582.34594976796564</v>
      </c>
      <c r="EO45" s="59">
        <f ca="1">AVERAGE(OFFSET($EN$3,0,0,'Données projet'!$E$15+1,1))-AVERAGE(OFFSET($H$3,0,0,'Données projet'!$E$15+1,1))</f>
        <v>398.06270423055565</v>
      </c>
      <c r="EP45" s="59">
        <f t="shared" si="46"/>
        <v>239.15364562040614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61.129149008964461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15.21153846153846</v>
      </c>
      <c r="FE45" s="12">
        <f>IF('Données projet'!$A$218&gt;35,FE44+FD45-FM44,IF(A45&lt;'Données projet'!$A$218,$FB$205^A45,IF(A45='Données projet'!$A$218,'Données projet'!$B$218,FE44+FD45-FM44)))</f>
        <v>336.47692307692307</v>
      </c>
      <c r="FF45" s="17">
        <f>FE45*VLOOKUP('Données projet'!$B$16,Paramètres!$A$1:$I$89,3,0)*VLOOKUP('Données projet'!$B$16,Paramètres!$A$1:$I$89,5,0)</f>
        <v>201.21320000000003</v>
      </c>
      <c r="FG45" s="13">
        <f t="shared" si="47"/>
        <v>50.010698447793764</v>
      </c>
      <c r="FH45" s="20">
        <f t="shared" si="22"/>
        <v>437.54828979657418</v>
      </c>
      <c r="FI45" s="59">
        <f t="shared" si="23"/>
        <v>698.35516949611053</v>
      </c>
      <c r="FJ45" s="59">
        <f ca="1">AVERAGE(OFFSET($FI$3,0,0,'Données projet'!$E$16+1,1))-AVERAGE(OFFSET($H$3,0,0,'Données projet'!$E$16+1,1))</f>
        <v>334.13861979962491</v>
      </c>
      <c r="FK45" s="59">
        <f t="shared" si="48"/>
        <v>416.48635183664305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44.034360572649362</v>
      </c>
      <c r="FR45" s="21">
        <f>EXP(-LN(2)/25)*FR44+(1-EXP(-LN(2)/25))/(LN(2)/25)*Calculateur!FM45*Calculateur!FO45*VLOOKUP('Données projet'!$B$16,Paramètres!$A$1:$I$89,3,0)*0.475*44/12</f>
        <v>19.91965762265411</v>
      </c>
      <c r="FS45" s="21">
        <f>EXP(-LN(2)/2)*FS44+(1-EXP(-LN(2)/2))/(LN(2)/2)*FM45*FP45*VLOOKUP('Données projet'!$B$16,Paramètres!$A$1:$I$89,3,0)*0.475*44/12</f>
        <v>4.3457405456139719</v>
      </c>
      <c r="FT45" s="22">
        <f t="shared" si="24"/>
        <v>68.299758740917454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61.129149008964461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>
        <f>VLOOKUP(A45,'Données projet'!$A$243:$I$263,2,0)</f>
        <v>410.3692307692308</v>
      </c>
      <c r="FX45" s="12">
        <f>VLOOKUP(A45,'Données projet'!$A$243:$I$263,9,0)</f>
        <v>16.131410256410259</v>
      </c>
      <c r="FY45" s="12">
        <f t="array" ref="FY45">INDEX(FX:FX,MIN(IF(ISNUMBER(FX45:FX241),ROW(FX45:FX241),"")))</f>
        <v>16.131410256410259</v>
      </c>
      <c r="FZ45" s="12">
        <f>IF('Données projet'!$A$244&gt;35,FZ44+FY45-GH44,IF(A45&lt;'Données projet'!$A$244,$FW$205^A45,IF(A45='Données projet'!$A$244,'Données projet'!$B$244,FZ44+FY45-GH44)))</f>
        <v>410.36923076923091</v>
      </c>
      <c r="GA45" s="17">
        <f>FZ45*VLOOKUP('Données projet'!$B$17,Paramètres!$A$1:$I$89,3,0)*VLOOKUP('Données projet'!$B$17,Paramètres!$A$1:$I$89,5,0)</f>
        <v>192.05280000000008</v>
      </c>
      <c r="GB45" s="13">
        <f t="shared" si="49"/>
        <v>47.993513546032311</v>
      </c>
      <c r="GC45" s="20">
        <f t="shared" si="25"/>
        <v>418.08066275933976</v>
      </c>
      <c r="GD45" s="59">
        <f t="shared" si="26"/>
        <v>678.88754245887617</v>
      </c>
      <c r="GE45" s="59">
        <f ca="1">AVERAGE(OFFSET($GD$3,0,0,'Données projet'!$E$17+1,1))-AVERAGE(OFFSET($H$3,0,0,'Données projet'!$E$17+1,1))</f>
        <v>317.79829681023142</v>
      </c>
      <c r="GF45" s="59">
        <f t="shared" si="50"/>
        <v>275.07716943523621</v>
      </c>
      <c r="GG45" s="15">
        <f>IF(ISNA(VLOOKUP(A45,'Données projet'!$A$243:$I$263,3,0)),0,VLOOKUP(A45,'Données projet'!$A$243:$I$263,3,0))</f>
        <v>1</v>
      </c>
      <c r="GH45" s="15">
        <f>IF(ISNA(VLOOKUP(A45,'Données projet'!$A$243:$I$263,4,0)),0,VLOOKUP(A45,'Données projet'!$A$243:$I$263,4,0))</f>
        <v>179.84615384615384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0.30800000000000005</v>
      </c>
      <c r="GK45" s="16">
        <f>IF(ISNA(VLOOKUP(A45,'Données projet'!$A$243:$I$263,7,0)),0%,VLOOKUP(A45,'Données projet'!$A$243:$I$263,7,0))</f>
        <v>0.44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34.254112709103957</v>
      </c>
      <c r="GN45" s="21">
        <f>EXP(-LN(2)/2)*GN44+(1-EXP(-LN(2)/2))/(LN(2)/2)*GH45*GK45*VLOOKUP('Données projet'!$B$17,Paramètres!$A$1:$I$89,3,0)*0.475*44/12</f>
        <v>41.931000328011329</v>
      </c>
      <c r="GO45" s="21">
        <f t="shared" si="27"/>
        <v>76.185113037115286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61.129149008964461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>
        <f>VLOOKUP(A45,'Données projet'!$A$269:$I$289,2,0)</f>
        <v>362.59999999999997</v>
      </c>
      <c r="GS45" s="12">
        <f>VLOOKUP(A45,'Données projet'!$A$269:$I$289,9,0)</f>
        <v>18.229670329670324</v>
      </c>
      <c r="GT45" s="12">
        <f t="array" ref="GT45">INDEX(GS:GS,MIN(IF(ISNUMBER(GS45:GS241),ROW(GS45:GS241),"")))</f>
        <v>18.229670329670324</v>
      </c>
      <c r="GU45" s="12">
        <f>IF('Données projet'!$A$270&gt;35,GU44+GT45-HC44,IF(A45&lt;'Données projet'!$A$270,$GR$205^A45,IF(A45='Données projet'!$A$270,'Données projet'!$B$270,GU44+GT45-HC44)))</f>
        <v>362.6</v>
      </c>
      <c r="GV45" s="17">
        <f>GU45*VLOOKUP('Données projet'!$B$18,Paramètres!$A$1:$I$89,3,0)*VLOOKUP('Données projet'!$B$18,Paramètres!$A$1:$I$89,5,0)</f>
        <v>202.69340000000003</v>
      </c>
      <c r="GW45" s="13">
        <f t="shared" si="51"/>
        <v>50.335633892078647</v>
      </c>
      <c r="GX45" s="20">
        <f t="shared" si="28"/>
        <v>440.69223402870369</v>
      </c>
      <c r="GY45" s="59">
        <f t="shared" si="29"/>
        <v>701.49911372823999</v>
      </c>
      <c r="GZ45" s="59">
        <f ca="1">AVERAGE(OFFSET($GY$3,0,0,'Données projet'!$E$18+1,1))-AVERAGE(OFFSET($H$3,0,0,'Données projet'!$E$18+1,1))</f>
        <v>336.21787234885699</v>
      </c>
      <c r="HA45" s="59">
        <f t="shared" si="52"/>
        <v>315.36156736899113</v>
      </c>
      <c r="HB45" s="15">
        <f>IF(ISNA(VLOOKUP(A45,'Données projet'!$A$269:$I$289,3,0)),0,VLOOKUP(A45,'Données projet'!$A$269:$I$289,3,0))</f>
        <v>4</v>
      </c>
      <c r="HC45" s="15">
        <f>IF(ISNA(VLOOKUP(A45,'Données projet'!$A$269:$I$289,4,0)),0,VLOOKUP(A45,'Données projet'!$A$269:$I$289,4,0))</f>
        <v>80.669230769230765</v>
      </c>
      <c r="HD45" s="16">
        <f>IF(ISNA(VLOOKUP(A45,'Données projet'!$A$269:$I$289,5,0)),0%,VLOOKUP(A45,'Données projet'!$A$269:$I$289,5,0)*VLOOKUP('Données projet'!$B$18,Paramètres!$A$1:$I$89,7,0))</f>
        <v>0.38500000000000001</v>
      </c>
      <c r="HE45" s="16">
        <f>IF(ISNA(VLOOKUP(A45,'Données projet'!$A$269:$I$289,6,0)),0%,VLOOKUP(A45,'Données projet'!$A$269:$I$289,6,0)*VLOOKUP('Données projet'!$B$18,Paramètres!$A$1:$I$89,7,0))</f>
        <v>9.240000000000001E-2</v>
      </c>
      <c r="HF45" s="16">
        <f>IF(ISNA(VLOOKUP(A45,'Données projet'!$A$269:$I$289,7,0)),0%,VLOOKUP(A45,'Données projet'!$A$269:$I$289,7,0))</f>
        <v>0.13200000000000001</v>
      </c>
      <c r="HG45" s="21">
        <f>EXP(-LN(2)/35)*HG44+(1-EXP(-LN(2)/35))/(LN(2)/35)*HC45*HD45*VLOOKUP('Données projet'!$B$18,Paramètres!$A$1:$I$89,3,0)*0.475*44/12</f>
        <v>40.552802174715566</v>
      </c>
      <c r="HH45" s="21">
        <f>EXP(-LN(2)/25)*HH44+(1-EXP(-LN(2)/25))/(LN(2)/25)*Calculateur!HC45*Calculateur!HE45*VLOOKUP('Données projet'!$B$18,Paramètres!$A$1:$I$89,3,0)*0.475*44/12</f>
        <v>26.025163617090385</v>
      </c>
      <c r="HI45" s="21">
        <f>EXP(-LN(2)/2)*HI44+(1-EXP(-LN(2)/2))/(LN(2)/2)*HC45*HF45*VLOOKUP('Données projet'!$B$18,Paramètres!$A$1:$I$89,3,0)*0.475*44/12</f>
        <v>7.3957162735113524</v>
      </c>
      <c r="HJ45" s="22">
        <f t="shared" si="30"/>
        <v>73.973682065317306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3.7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13.566666666666668</v>
      </c>
      <c r="H46" s="67">
        <f t="shared" si="1"/>
        <v>202.4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61.283038441407186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137.62637362637369</v>
      </c>
      <c r="O46" s="13">
        <f>N46*VLOOKUP('Données projet'!$B$9,Paramètres!$A$1:$I$89,3,0)*VLOOKUP('Données projet'!$B$9,Paramètres!$A$1:$I$89,5,0)</f>
        <v>124.52434285714291</v>
      </c>
      <c r="P46" s="13">
        <f t="shared" si="33"/>
        <v>32.727944326790649</v>
      </c>
      <c r="Q46" s="20">
        <f t="shared" si="53"/>
        <v>273.88106684535092</v>
      </c>
      <c r="R46" s="59">
        <f t="shared" si="0"/>
        <v>535.25220779717733</v>
      </c>
      <c r="S46" s="59">
        <f ca="1">AVERAGE(OFFSET($R$3,0,0,'Données projet'!$E$9+1,1))-AVERAGE(OFFSET($H$3,0,0,'Données projet'!$E$9+1,1))</f>
        <v>411.64357329340851</v>
      </c>
      <c r="T46" s="59">
        <f t="shared" si="34"/>
        <v>294.07942258675632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61.283038441407186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9.3452380952380913</v>
      </c>
      <c r="AI46" s="13">
        <f>IF('Données projet'!$A$62&gt;35,AI45+AH46-AQ45,IF(A46&lt;'Données projet'!$A$62,$AF$205^A46,IF(A46='Données projet'!$A$62,'Données projet'!$B$62,AI45+AH46-AQ45)))</f>
        <v>137.62637362637369</v>
      </c>
      <c r="AJ46" s="13">
        <f>AI46*VLOOKUP('Données projet'!$B$10,Paramètres!$A$1:$I$89,3,0)*VLOOKUP('Données projet'!$B$10,Paramètres!$A$1:$I$89,5,0)</f>
        <v>139.55314285714292</v>
      </c>
      <c r="AK46" s="13">
        <f t="shared" si="35"/>
        <v>36.19461775941739</v>
      </c>
      <c r="AL46" s="20">
        <f t="shared" si="4"/>
        <v>306.09401640717584</v>
      </c>
      <c r="AM46" s="59">
        <f t="shared" si="5"/>
        <v>567.46515735900221</v>
      </c>
      <c r="AN46" s="59">
        <f ca="1">AVERAGE(OFFSET($AM$3,0,0,'Données projet'!$E$10+1,1))-AVERAGE(OFFSET($H$3,0,0,'Données projet'!$E$10+1,1))</f>
        <v>453.05577105995508</v>
      </c>
      <c r="AO46" s="59">
        <f t="shared" si="36"/>
        <v>322.6839824496758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61.283038441407186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3.5192307692307692</v>
      </c>
      <c r="BD46" s="12">
        <f>IF('Données projet'!$A$88&gt;35,BD45+BC46-BL45,IF(A46&lt;'Données projet'!$A$88,$BA$205^A46,IF(A46='Données projet'!$A$88,'Données projet'!$B$88,BD45+BC46-BL45)))</f>
        <v>102.49358974358978</v>
      </c>
      <c r="BE46" s="13">
        <f>BD46*VLOOKUP('Données projet'!$B$11,Paramètres!$A$1:$I$89,3,0)*VLOOKUP('Données projet'!$B$11,Paramètres!$A$1:$I$89,5,0)</f>
        <v>102.32960000000003</v>
      </c>
      <c r="BF46" s="13">
        <f t="shared" si="37"/>
        <v>27.51624659066653</v>
      </c>
      <c r="BG46" s="20">
        <f t="shared" si="7"/>
        <v>226.14818281207758</v>
      </c>
      <c r="BH46" s="59">
        <f t="shared" si="8"/>
        <v>487.51932376390391</v>
      </c>
      <c r="BI46" s="59">
        <f ca="1">AVERAGE(OFFSET($BH$3,0,0,'Données projet'!$E$11+1,1))-AVERAGE(OFFSET($H$3,0,0,'Données projet'!$E$11+1,1))</f>
        <v>411.38162678377478</v>
      </c>
      <c r="BJ46" s="59">
        <f t="shared" si="38"/>
        <v>177.89903563360403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61.283038441407186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149.20000000000002</v>
      </c>
      <c r="BZ46" s="13">
        <f>BY46*VLOOKUP('Données projet'!$B$12,Paramètres!$A$1:$I$89,3,0)*VLOOKUP('Données projet'!$B$12,Paramètres!$A$1:$I$89,5,0)</f>
        <v>155.94384000000002</v>
      </c>
      <c r="CA46" s="13">
        <f t="shared" si="39"/>
        <v>39.926274451636601</v>
      </c>
      <c r="CB46" s="20">
        <f t="shared" si="10"/>
        <v>341.1404493366004</v>
      </c>
      <c r="CC46" s="59">
        <f t="shared" si="11"/>
        <v>602.51159028842676</v>
      </c>
      <c r="CD46" s="59">
        <f ca="1">AVERAGE(OFFSET($CC$3,0,0,'Données projet'!$E$12+1,1))-AVERAGE(OFFSET($H$3,0,0,'Données projet'!$E$12+1,1))</f>
        <v>374.38550202939507</v>
      </c>
      <c r="CE46" s="59">
        <f t="shared" si="40"/>
        <v>324.37486924296718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4.5538425361541881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4.5538425361541881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61.283038441407186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5.3369963369963358</v>
      </c>
      <c r="CT46" s="12">
        <f>IF('Données projet'!$A$140&gt;35,CT45+CS46-DB45,IF(A46&lt;'Données projet'!$A$140,$CQ$205^A46,IF(A46='Données projet'!$A$140,'Données projet'!$B$140,CT45+CS46-DB45)))</f>
        <v>157.08608058608053</v>
      </c>
      <c r="CU46" s="17">
        <f>CT46*VLOOKUP('Données projet'!$B$13,Paramètres!$A$1:$I$89,3,0)*VLOOKUP('Données projet'!$B$13,Paramètres!$A$1:$I$89,5,0)</f>
        <v>149.48311428571424</v>
      </c>
      <c r="CV46" s="13">
        <f t="shared" si="41"/>
        <v>38.461097899617613</v>
      </c>
      <c r="CW46" s="20">
        <f t="shared" si="13"/>
        <v>327.33616955611961</v>
      </c>
      <c r="CX46" s="59">
        <f t="shared" si="14"/>
        <v>588.70731050794598</v>
      </c>
      <c r="CY46" s="59">
        <f ca="1">AVERAGE(OFFSET($CX$3,0,0,'Données projet'!$E$13+1,1))-AVERAGE(OFFSET($H$3,0,0,'Données projet'!$E$13+1,1))</f>
        <v>392.81074187112989</v>
      </c>
      <c r="CZ46" s="59">
        <f t="shared" si="42"/>
        <v>236.19146849073687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61.283038441407186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5.3369963369963358</v>
      </c>
      <c r="DO46" s="12">
        <f>IF('Données projet'!$A$166&gt;35,DO45+DN46-DW45,IF(A46&lt;'Données projet'!$A$166,$DL$205^A46,IF(A46='Données projet'!$A$166,'Données projet'!$B$166,DO45+DN46-DW45)))</f>
        <v>157.08608058608053</v>
      </c>
      <c r="DP46" s="17">
        <f>DO46*VLOOKUP('Données projet'!$B$14,Paramètres!$A$1:$I$89,3,0)*VLOOKUP('Données projet'!$B$14,Paramètres!$A$1:$I$89,5,0)</f>
        <v>169.08745714285709</v>
      </c>
      <c r="DQ46" s="13">
        <f t="shared" si="43"/>
        <v>42.885580363258008</v>
      </c>
      <c r="DR46" s="20">
        <f t="shared" si="16"/>
        <v>369.1863736564838</v>
      </c>
      <c r="DS46" s="59">
        <f t="shared" si="17"/>
        <v>630.55751460831016</v>
      </c>
      <c r="DT46" s="59">
        <f ca="1">AVERAGE(OFFSET($DS$3,0,0,'Données projet'!$E$14+1,1))-AVERAGE(OFFSET($H$3,0,0,'Données projet'!$E$14+1,1))</f>
        <v>434.77799524785502</v>
      </c>
      <c r="DU46" s="59">
        <f t="shared" si="44"/>
        <v>259.85949838170006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61.283038441407186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5.3369963369963358</v>
      </c>
      <c r="EJ46" s="12">
        <f>IF('Données projet'!$A$192&gt;35,EJ45+EI46-ER45,IF(A46&lt;'Données projet'!$A$192,$EG$205^A46,IF(A46='Données projet'!$A$192,'Données projet'!$B$192,EJ45+EI46-ER45)))</f>
        <v>157.08608058608053</v>
      </c>
      <c r="EK46" s="17">
        <f>EJ46*VLOOKUP('Données projet'!$B$15,Paramètres!$A$1:$I$89,3,0)*VLOOKUP('Données projet'!$B$15,Paramètres!$A$1:$I$89,5,0)</f>
        <v>151.93365714285707</v>
      </c>
      <c r="EL46" s="13">
        <f t="shared" si="45"/>
        <v>39.017688029408021</v>
      </c>
      <c r="EM46" s="20">
        <f t="shared" si="19"/>
        <v>332.57359284169502</v>
      </c>
      <c r="EN46" s="59">
        <f t="shared" si="20"/>
        <v>593.94473379352144</v>
      </c>
      <c r="EO46" s="59">
        <f ca="1">AVERAGE(OFFSET($EN$3,0,0,'Données projet'!$E$15+1,1))-AVERAGE(OFFSET($H$3,0,0,'Données projet'!$E$15+1,1))</f>
        <v>398.06270423055565</v>
      </c>
      <c r="EP46" s="59">
        <f t="shared" si="46"/>
        <v>239.15364562040614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61.283038441407186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15.21153846153846</v>
      </c>
      <c r="FE46" s="12">
        <f>IF('Données projet'!$A$218&gt;35,FE45+FD46-FM45,IF(A46&lt;'Données projet'!$A$218,$FB$205^A46,IF(A46='Données projet'!$A$218,'Données projet'!$B$218,FE45+FD46-FM45)))</f>
        <v>351.68846153846152</v>
      </c>
      <c r="FF46" s="17">
        <f>FE46*VLOOKUP('Données projet'!$B$16,Paramètres!$A$1:$I$89,3,0)*VLOOKUP('Données projet'!$B$16,Paramètres!$A$1:$I$89,5,0)</f>
        <v>210.30970000000002</v>
      </c>
      <c r="FG46" s="13">
        <f t="shared" si="47"/>
        <v>52.003257134609832</v>
      </c>
      <c r="FH46" s="20">
        <f t="shared" si="22"/>
        <v>456.86173367611218</v>
      </c>
      <c r="FI46" s="59">
        <f t="shared" si="23"/>
        <v>718.2328746279386</v>
      </c>
      <c r="FJ46" s="59">
        <f ca="1">AVERAGE(OFFSET($FI$3,0,0,'Données projet'!$E$16+1,1))-AVERAGE(OFFSET($H$3,0,0,'Données projet'!$E$16+1,1))</f>
        <v>334.13861979962491</v>
      </c>
      <c r="FK46" s="59">
        <f t="shared" si="48"/>
        <v>416.48635183664305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43.170873620127622</v>
      </c>
      <c r="FR46" s="21">
        <f>EXP(-LN(2)/25)*FR45+(1-EXP(-LN(2)/25))/(LN(2)/25)*Calculateur!FM46*Calculateur!FO46*VLOOKUP('Données projet'!$B$16,Paramètres!$A$1:$I$89,3,0)*0.475*44/12</f>
        <v>19.374953537433367</v>
      </c>
      <c r="FS46" s="21">
        <f>EXP(-LN(2)/2)*FS45+(1-EXP(-LN(2)/2))/(LN(2)/2)*FM46*FP46*VLOOKUP('Données projet'!$B$16,Paramètres!$A$1:$I$89,3,0)*0.475*44/12</f>
        <v>3.0729026090809666</v>
      </c>
      <c r="FT46" s="22">
        <f t="shared" si="24"/>
        <v>65.618729766641962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61.283038441407186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15.618681318681309</v>
      </c>
      <c r="FZ46" s="12">
        <f>IF('Données projet'!$A$244&gt;35,FZ45+FY46-GH45,IF(A46&lt;'Données projet'!$A$244,$FW$205^A46,IF(A46='Données projet'!$A$244,'Données projet'!$B$244,FZ45+FY46-GH45)))</f>
        <v>246.14175824175837</v>
      </c>
      <c r="GA46" s="17">
        <f>FZ46*VLOOKUP('Données projet'!$B$17,Paramètres!$A$1:$I$89,3,0)*VLOOKUP('Données projet'!$B$17,Paramètres!$A$1:$I$89,5,0)</f>
        <v>115.19434285714291</v>
      </c>
      <c r="GB46" s="13">
        <f t="shared" si="49"/>
        <v>30.5515065129288</v>
      </c>
      <c r="GC46" s="20">
        <f t="shared" si="25"/>
        <v>253.84068765287489</v>
      </c>
      <c r="GD46" s="59">
        <f t="shared" si="26"/>
        <v>515.21182860470128</v>
      </c>
      <c r="GE46" s="59">
        <f ca="1">AVERAGE(OFFSET($GD$3,0,0,'Données projet'!$E$17+1,1))-AVERAGE(OFFSET($H$3,0,0,'Données projet'!$E$17+1,1))</f>
        <v>317.79829681023142</v>
      </c>
      <c r="GF46" s="59">
        <f t="shared" si="50"/>
        <v>275.07716943523621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33.31743219572801</v>
      </c>
      <c r="GN46" s="21">
        <f>EXP(-LN(2)/2)*GN45+(1-EXP(-LN(2)/2))/(LN(2)/2)*GH46*GK46*VLOOKUP('Données projet'!$B$17,Paramètres!$A$1:$I$89,3,0)*0.475*44/12</f>
        <v>29.649694673872162</v>
      </c>
      <c r="GO46" s="21">
        <f t="shared" si="27"/>
        <v>62.967126869600172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61.283038441407186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17.519780219780223</v>
      </c>
      <c r="GU46" s="12">
        <f>IF('Données projet'!$A$270&gt;35,GU45+GT46-HC45,IF(A46&lt;'Données projet'!$A$270,$GR$205^A46,IF(A46='Données projet'!$A$270,'Données projet'!$B$270,GU45+GT46-HC45)))</f>
        <v>299.45054945054949</v>
      </c>
      <c r="GV46" s="17">
        <f>GU46*VLOOKUP('Données projet'!$B$18,Paramètres!$A$1:$I$89,3,0)*VLOOKUP('Données projet'!$B$18,Paramètres!$A$1:$I$89,5,0)</f>
        <v>167.3928571428572</v>
      </c>
      <c r="GW46" s="13">
        <f t="shared" si="51"/>
        <v>42.505586135425617</v>
      </c>
      <c r="GX46" s="20">
        <f t="shared" si="28"/>
        <v>365.57312204300916</v>
      </c>
      <c r="GY46" s="59">
        <f t="shared" si="29"/>
        <v>626.94426299483553</v>
      </c>
      <c r="GZ46" s="59">
        <f ca="1">AVERAGE(OFFSET($GY$3,0,0,'Données projet'!$E$18+1,1))-AVERAGE(OFFSET($H$3,0,0,'Données projet'!$E$18+1,1))</f>
        <v>336.21787234885699</v>
      </c>
      <c r="HA46" s="59">
        <f t="shared" si="52"/>
        <v>315.36156736899113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39.757586458836364</v>
      </c>
      <c r="HH46" s="21">
        <f>EXP(-LN(2)/25)*HH45+(1-EXP(-LN(2)/25))/(LN(2)/25)*Calculateur!HC46*Calculateur!HE46*VLOOKUP('Données projet'!$B$18,Paramètres!$A$1:$I$89,3,0)*0.475*44/12</f>
        <v>25.313504149377174</v>
      </c>
      <c r="HI46" s="21">
        <f>EXP(-LN(2)/2)*HI45+(1-EXP(-LN(2)/2))/(LN(2)/2)*HC46*HF46*VLOOKUP('Données projet'!$B$18,Paramètres!$A$1:$I$89,3,0)*0.475*44/12</f>
        <v>5.2295611287315813</v>
      </c>
      <c r="HJ46" s="22">
        <f t="shared" si="30"/>
        <v>70.300651736945113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3.7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13.566666666666668</v>
      </c>
      <c r="H47" s="67">
        <f t="shared" si="1"/>
        <v>202.4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61.434258236242272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146.97161172161179</v>
      </c>
      <c r="O47" s="13">
        <f>N47*VLOOKUP('Données projet'!$B$9,Paramètres!$A$1:$I$89,3,0)*VLOOKUP('Données projet'!$B$9,Paramètres!$A$1:$I$89,5,0)</f>
        <v>132.97991428571436</v>
      </c>
      <c r="P47" s="13">
        <f t="shared" si="33"/>
        <v>34.684019161942608</v>
      </c>
      <c r="Q47" s="20">
        <f t="shared" si="53"/>
        <v>292.01468408800253</v>
      </c>
      <c r="R47" s="59">
        <f t="shared" si="0"/>
        <v>553.94029762089087</v>
      </c>
      <c r="S47" s="59">
        <f ca="1">AVERAGE(OFFSET($R$3,0,0,'Données projet'!$E$9+1,1))-AVERAGE(OFFSET($H$3,0,0,'Données projet'!$E$9+1,1))</f>
        <v>411.64357329340851</v>
      </c>
      <c r="T47" s="59">
        <f t="shared" si="34"/>
        <v>294.07942258675632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61.434258236242272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9.3452380952380913</v>
      </c>
      <c r="AI47" s="13">
        <f>IF('Données projet'!$A$62&gt;35,AI46+AH47-AQ46,IF(A47&lt;'Données projet'!$A$62,$AF$205^A47,IF(A47='Données projet'!$A$62,'Données projet'!$B$62,AI46+AH47-AQ46)))</f>
        <v>146.97161172161179</v>
      </c>
      <c r="AJ47" s="13">
        <f>AI47*VLOOKUP('Données projet'!$B$10,Paramètres!$A$1:$I$89,3,0)*VLOOKUP('Données projet'!$B$10,Paramètres!$A$1:$I$89,5,0)</f>
        <v>149.02921428571437</v>
      </c>
      <c r="AK47" s="13">
        <f t="shared" si="35"/>
        <v>38.357887785185099</v>
      </c>
      <c r="AL47" s="20">
        <f t="shared" si="4"/>
        <v>326.36586944014988</v>
      </c>
      <c r="AM47" s="59">
        <f t="shared" si="5"/>
        <v>588.29148297303823</v>
      </c>
      <c r="AN47" s="59">
        <f ca="1">AVERAGE(OFFSET($AM$3,0,0,'Données projet'!$E$10+1,1))-AVERAGE(OFFSET($H$3,0,0,'Données projet'!$E$10+1,1))</f>
        <v>453.05577105995508</v>
      </c>
      <c r="AO47" s="59">
        <f t="shared" si="36"/>
        <v>322.6839824496758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61.434258236242272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3.5192307692307692</v>
      </c>
      <c r="BD47" s="12">
        <f>IF('Données projet'!$A$88&gt;35,BD46+BC47-BL46,IF(A47&lt;'Données projet'!$A$88,$BA$205^A47,IF(A47='Données projet'!$A$88,'Données projet'!$B$88,BD46+BC47-BL46)))</f>
        <v>106.01282051282055</v>
      </c>
      <c r="BE47" s="13">
        <f>BD47*VLOOKUP('Données projet'!$B$11,Paramètres!$A$1:$I$89,3,0)*VLOOKUP('Données projet'!$B$11,Paramètres!$A$1:$I$89,5,0)</f>
        <v>105.84320000000004</v>
      </c>
      <c r="BF47" s="13">
        <f t="shared" si="37"/>
        <v>28.349425197249612</v>
      </c>
      <c r="BG47" s="20">
        <f t="shared" si="7"/>
        <v>233.7188222185431</v>
      </c>
      <c r="BH47" s="59">
        <f t="shared" si="8"/>
        <v>495.64443575143144</v>
      </c>
      <c r="BI47" s="59">
        <f ca="1">AVERAGE(OFFSET($BH$3,0,0,'Données projet'!$E$11+1,1))-AVERAGE(OFFSET($H$3,0,0,'Données projet'!$E$11+1,1))</f>
        <v>411.38162678377478</v>
      </c>
      <c r="BJ47" s="59">
        <f t="shared" si="38"/>
        <v>177.89903563360403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61.434258236242272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155.60000000000002</v>
      </c>
      <c r="BZ47" s="13">
        <f>BY47*VLOOKUP('Données projet'!$B$12,Paramètres!$A$1:$I$89,3,0)*VLOOKUP('Données projet'!$B$12,Paramètres!$A$1:$I$89,5,0)</f>
        <v>162.63312000000005</v>
      </c>
      <c r="CA47" s="13">
        <f t="shared" si="39"/>
        <v>41.435857583171057</v>
      </c>
      <c r="CB47" s="20">
        <f t="shared" si="10"/>
        <v>355.42013595735625</v>
      </c>
      <c r="CC47" s="59">
        <f t="shared" si="11"/>
        <v>617.34574949024454</v>
      </c>
      <c r="CD47" s="59">
        <f ca="1">AVERAGE(OFFSET($CC$3,0,0,'Données projet'!$E$12+1,1))-AVERAGE(OFFSET($H$3,0,0,'Données projet'!$E$12+1,1))</f>
        <v>374.38550202939507</v>
      </c>
      <c r="CE47" s="59">
        <f t="shared" si="40"/>
        <v>324.37486924296718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4.4293174725268809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4.4293174725268809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61.434258236242272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162.42307692307691</v>
      </c>
      <c r="CR47" s="12">
        <f>VLOOKUP(A47,'Données projet'!$A$139:$I$159,9,0)</f>
        <v>5.3369963369963358</v>
      </c>
      <c r="CS47" s="12">
        <f t="array" ref="CS47">INDEX(CR:CR,MIN(IF(ISNUMBER(CR47:CR243),ROW(CR47:CR243),"")))</f>
        <v>5.3369963369963358</v>
      </c>
      <c r="CT47" s="12">
        <f>IF('Données projet'!$A$140&gt;35,CT46+CS47-DB46,IF(A47&lt;'Données projet'!$A$140,$CQ$205^A47,IF(A47='Données projet'!$A$140,'Données projet'!$B$140,CT46+CS47-DB46)))</f>
        <v>162.42307692307685</v>
      </c>
      <c r="CU47" s="17">
        <f>CT47*VLOOKUP('Données projet'!$B$13,Paramètres!$A$1:$I$89,3,0)*VLOOKUP('Données projet'!$B$13,Paramètres!$A$1:$I$89,5,0)</f>
        <v>154.56179999999995</v>
      </c>
      <c r="CV47" s="13">
        <f t="shared" si="41"/>
        <v>39.613456567777732</v>
      </c>
      <c r="CW47" s="20">
        <f t="shared" si="13"/>
        <v>338.18857185554612</v>
      </c>
      <c r="CX47" s="59">
        <f t="shared" si="14"/>
        <v>600.11418538843441</v>
      </c>
      <c r="CY47" s="59">
        <f ca="1">AVERAGE(OFFSET($CX$3,0,0,'Données projet'!$E$13+1,1))-AVERAGE(OFFSET($H$3,0,0,'Données projet'!$E$13+1,1))</f>
        <v>392.81074187112989</v>
      </c>
      <c r="CZ47" s="59">
        <f t="shared" si="42"/>
        <v>236.19146849073687</v>
      </c>
      <c r="DA47" s="15">
        <f>IF(ISNA(VLOOKUP(A47,'Données projet'!$A$139:$I$159,3,0)),0,VLOOKUP(A47,'Données projet'!$A$139:$I$159,3,0))</f>
        <v>1</v>
      </c>
      <c r="DB47" s="15">
        <f>IF(ISNA(VLOOKUP(A47,'Données projet'!$A$139:$I$159,4,0)),0,VLOOKUP(A47,'Données projet'!$A$139:$I$159,4,0))</f>
        <v>64.416666666666657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61.434258236242272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162.42307692307691</v>
      </c>
      <c r="DM47" s="12">
        <f>VLOOKUP(A47,'Données projet'!$A$165:$I$185,9,0)</f>
        <v>5.3369963369963358</v>
      </c>
      <c r="DN47" s="12">
        <f t="array" ref="DN47">INDEX(DM:DM,MIN(IF(ISNUMBER(DM47:DM243),ROW(DM47:DM243),"")))</f>
        <v>5.3369963369963358</v>
      </c>
      <c r="DO47" s="12">
        <f>IF('Données projet'!$A$166&gt;35,DO46+DN47-DW46,IF(A47&lt;'Données projet'!$A$166,$DL$205^A47,IF(A47='Données projet'!$A$166,'Données projet'!$B$166,DO46+DN47-DW46)))</f>
        <v>162.42307692307685</v>
      </c>
      <c r="DP47" s="17">
        <f>DO47*VLOOKUP('Données projet'!$B$14,Paramètres!$A$1:$I$89,3,0)*VLOOKUP('Données projet'!$B$14,Paramètres!$A$1:$I$89,5,0)</f>
        <v>174.83219999999992</v>
      </c>
      <c r="DQ47" s="13">
        <f t="shared" si="43"/>
        <v>44.17050390859356</v>
      </c>
      <c r="DR47" s="20">
        <f t="shared" si="16"/>
        <v>381.42970930746696</v>
      </c>
      <c r="DS47" s="59">
        <f t="shared" si="17"/>
        <v>643.35532284035526</v>
      </c>
      <c r="DT47" s="59">
        <f ca="1">AVERAGE(OFFSET($DS$3,0,0,'Données projet'!$E$14+1,1))-AVERAGE(OFFSET($H$3,0,0,'Données projet'!$E$14+1,1))</f>
        <v>434.77799524785502</v>
      </c>
      <c r="DU47" s="59">
        <f t="shared" si="44"/>
        <v>259.85949838170006</v>
      </c>
      <c r="DV47" s="15">
        <f>IF(ISNA(VLOOKUP(A47,'Données projet'!$A$165:$I$185,3,0)),0,VLOOKUP(A47,'Données projet'!$A$165:$I$185,3,0))</f>
        <v>1</v>
      </c>
      <c r="DW47" s="15">
        <f>IF(ISNA(VLOOKUP(A47,'Données projet'!$A$165:$I$185,4,0)),0,VLOOKUP(A47,'Données projet'!$A$165:$I$185,4,0))</f>
        <v>64.416666666666657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61.434258236242272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162.42307692307691</v>
      </c>
      <c r="EH47" s="12">
        <f>VLOOKUP(A47,'Données projet'!$A$191:$I$211,9,0)</f>
        <v>5.3369963369963358</v>
      </c>
      <c r="EI47" s="12">
        <f t="array" ref="EI47">INDEX(EH:EH,MIN(IF(ISNUMBER(EH47:EH243),ROW(EH47:EH243),"")))</f>
        <v>5.3369963369963358</v>
      </c>
      <c r="EJ47" s="12">
        <f>IF('Données projet'!$A$192&gt;35,EJ46+EI47-ER46,IF(A47&lt;'Données projet'!$A$192,$EG$205^A47,IF(A47='Données projet'!$A$192,'Données projet'!$B$192,EJ46+EI47-ER46)))</f>
        <v>162.42307692307685</v>
      </c>
      <c r="EK47" s="17">
        <f>EJ47*VLOOKUP('Données projet'!$B$15,Paramètres!$A$1:$I$89,3,0)*VLOOKUP('Données projet'!$B$15,Paramètres!$A$1:$I$89,5,0)</f>
        <v>157.09559999999993</v>
      </c>
      <c r="EL47" s="13">
        <f t="shared" si="45"/>
        <v>40.186723066567019</v>
      </c>
      <c r="EM47" s="20">
        <f t="shared" si="19"/>
        <v>343.60004600760408</v>
      </c>
      <c r="EN47" s="59">
        <f t="shared" si="20"/>
        <v>605.52565954049237</v>
      </c>
      <c r="EO47" s="59">
        <f ca="1">AVERAGE(OFFSET($EN$3,0,0,'Données projet'!$E$15+1,1))-AVERAGE(OFFSET($H$3,0,0,'Données projet'!$E$15+1,1))</f>
        <v>398.06270423055565</v>
      </c>
      <c r="EP47" s="59">
        <f t="shared" si="46"/>
        <v>239.15364562040614</v>
      </c>
      <c r="EQ47" s="15">
        <f>IF(ISNA(VLOOKUP(A47,'Données projet'!$A$191:$I$211,3,0)),0,VLOOKUP(A47,'Données projet'!$A$191:$I$211,3,0))</f>
        <v>1</v>
      </c>
      <c r="ER47" s="15">
        <f>IF(ISNA(VLOOKUP(A47,'Données projet'!$A$191:$I$211,4,0)),0,VLOOKUP(A47,'Données projet'!$A$191:$I$211,4,0))</f>
        <v>64.416666666666657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61.434258236242272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15.21153846153846</v>
      </c>
      <c r="FE47" s="12">
        <f>IF('Données projet'!$A$218&gt;35,FE46+FD47-FM46,IF(A47&lt;'Données projet'!$A$218,$FB$205^A47,IF(A47='Données projet'!$A$218,'Données projet'!$B$218,FE46+FD47-FM46)))</f>
        <v>366.9</v>
      </c>
      <c r="FF47" s="17">
        <f>FE47*VLOOKUP('Données projet'!$B$16,Paramètres!$A$1:$I$89,3,0)*VLOOKUP('Données projet'!$B$16,Paramètres!$A$1:$I$89,5,0)</f>
        <v>219.40620000000001</v>
      </c>
      <c r="FG47" s="13">
        <f t="shared" si="47"/>
        <v>53.985805930473333</v>
      </c>
      <c r="FH47" s="20">
        <f t="shared" si="22"/>
        <v>476.15774366224105</v>
      </c>
      <c r="FI47" s="59">
        <f t="shared" si="23"/>
        <v>738.08335719512934</v>
      </c>
      <c r="FJ47" s="59">
        <f ca="1">AVERAGE(OFFSET($FI$3,0,0,'Données projet'!$E$16+1,1))-AVERAGE(OFFSET($H$3,0,0,'Données projet'!$E$16+1,1))</f>
        <v>334.13861979962491</v>
      </c>
      <c r="FK47" s="59">
        <f t="shared" si="48"/>
        <v>416.48635183664305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42.324319120069795</v>
      </c>
      <c r="FR47" s="21">
        <f>EXP(-LN(2)/25)*FR46+(1-EXP(-LN(2)/25))/(LN(2)/25)*Calculateur!FM47*Calculateur!FO47*VLOOKUP('Données projet'!$B$16,Paramètres!$A$1:$I$89,3,0)*0.475*44/12</f>
        <v>18.845144414067725</v>
      </c>
      <c r="FS47" s="21">
        <f>EXP(-LN(2)/2)*FS46+(1-EXP(-LN(2)/2))/(LN(2)/2)*FM47*FP47*VLOOKUP('Données projet'!$B$16,Paramètres!$A$1:$I$89,3,0)*0.475*44/12</f>
        <v>2.172870272806986</v>
      </c>
      <c r="FT47" s="22">
        <f t="shared" si="24"/>
        <v>63.342333806944509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61.434258236242272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15.618681318681309</v>
      </c>
      <c r="FZ47" s="12">
        <f>IF('Données projet'!$A$244&gt;35,FZ46+FY47-GH46,IF(A47&lt;'Données projet'!$A$244,$FW$205^A47,IF(A47='Données projet'!$A$244,'Données projet'!$B$244,FZ46+FY47-GH46)))</f>
        <v>261.76043956043969</v>
      </c>
      <c r="GA47" s="17">
        <f>FZ47*VLOOKUP('Données projet'!$B$17,Paramètres!$A$1:$I$89,3,0)*VLOOKUP('Données projet'!$B$17,Paramètres!$A$1:$I$89,5,0)</f>
        <v>122.50388571428577</v>
      </c>
      <c r="GB47" s="13">
        <f t="shared" si="49"/>
        <v>32.258285776503719</v>
      </c>
      <c r="GC47" s="20">
        <f t="shared" si="25"/>
        <v>269.54411534645834</v>
      </c>
      <c r="GD47" s="59">
        <f t="shared" si="26"/>
        <v>531.46972887934669</v>
      </c>
      <c r="GE47" s="59">
        <f ca="1">AVERAGE(OFFSET($GD$3,0,0,'Données projet'!$E$17+1,1))-AVERAGE(OFFSET($H$3,0,0,'Données projet'!$E$17+1,1))</f>
        <v>317.79829681023142</v>
      </c>
      <c r="GF47" s="59">
        <f t="shared" si="50"/>
        <v>275.07716943523621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32.406365260248215</v>
      </c>
      <c r="GN47" s="21">
        <f>EXP(-LN(2)/2)*GN46+(1-EXP(-LN(2)/2))/(LN(2)/2)*GH47*GK47*VLOOKUP('Données projet'!$B$17,Paramètres!$A$1:$I$89,3,0)*0.475*44/12</f>
        <v>20.965500164005668</v>
      </c>
      <c r="GO47" s="21">
        <f t="shared" si="27"/>
        <v>53.371865424253883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61.434258236242272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17.519780219780223</v>
      </c>
      <c r="GU47" s="12">
        <f>IF('Données projet'!$A$270&gt;35,GU46+GT47-HC46,IF(A47&lt;'Données projet'!$A$270,$GR$205^A47,IF(A47='Données projet'!$A$270,'Données projet'!$B$270,GU46+GT47-HC46)))</f>
        <v>316.9703296703297</v>
      </c>
      <c r="GV47" s="17">
        <f>GU47*VLOOKUP('Données projet'!$B$18,Paramètres!$A$1:$I$89,3,0)*VLOOKUP('Données projet'!$B$18,Paramètres!$A$1:$I$89,5,0)</f>
        <v>177.18641428571431</v>
      </c>
      <c r="GW47" s="13">
        <f t="shared" si="51"/>
        <v>44.695642380138821</v>
      </c>
      <c r="GX47" s="20">
        <f t="shared" si="28"/>
        <v>386.44458202636088</v>
      </c>
      <c r="GY47" s="59">
        <f t="shared" si="29"/>
        <v>648.37019555924917</v>
      </c>
      <c r="GZ47" s="59">
        <f ca="1">AVERAGE(OFFSET($GY$3,0,0,'Données projet'!$E$18+1,1))-AVERAGE(OFFSET($H$3,0,0,'Données projet'!$E$18+1,1))</f>
        <v>336.21787234885699</v>
      </c>
      <c r="HA47" s="59">
        <f t="shared" si="52"/>
        <v>315.36156736899113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38.977964438111862</v>
      </c>
      <c r="HH47" s="21">
        <f>EXP(-LN(2)/25)*HH46+(1-EXP(-LN(2)/25))/(LN(2)/25)*Calculateur!HC47*Calculateur!HE47*VLOOKUP('Données projet'!$B$18,Paramètres!$A$1:$I$89,3,0)*0.475*44/12</f>
        <v>24.621305047233125</v>
      </c>
      <c r="HI47" s="21">
        <f>EXP(-LN(2)/2)*HI46+(1-EXP(-LN(2)/2))/(LN(2)/2)*HC47*HF47*VLOOKUP('Données projet'!$B$18,Paramètres!$A$1:$I$89,3,0)*0.475*44/12</f>
        <v>3.6978581367556771</v>
      </c>
      <c r="HJ47" s="22">
        <f t="shared" si="30"/>
        <v>67.297127622100675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3.7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13.566666666666668</v>
      </c>
      <c r="H48" s="67">
        <f t="shared" si="1"/>
        <v>202.4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61.582854705713785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156.3168498168499</v>
      </c>
      <c r="O48" s="13">
        <f>N48*VLOOKUP('Données projet'!$B$9,Paramètres!$A$1:$I$89,3,0)*VLOOKUP('Données projet'!$B$9,Paramètres!$A$1:$I$89,5,0)</f>
        <v>141.43548571428576</v>
      </c>
      <c r="P48" s="13">
        <f t="shared" si="33"/>
        <v>36.625659617511197</v>
      </c>
      <c r="Q48" s="20">
        <f t="shared" si="53"/>
        <v>310.12316145287969</v>
      </c>
      <c r="R48" s="59">
        <f t="shared" si="0"/>
        <v>572.59362870716359</v>
      </c>
      <c r="S48" s="59">
        <f ca="1">AVERAGE(OFFSET($R$3,0,0,'Données projet'!$E$9+1,1))-AVERAGE(OFFSET($H$3,0,0,'Données projet'!$E$9+1,1))</f>
        <v>411.64357329340851</v>
      </c>
      <c r="T48" s="59">
        <f t="shared" si="34"/>
        <v>294.07942258675632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61.582854705713785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9.3452380952380913</v>
      </c>
      <c r="AI48" s="13">
        <f>IF('Données projet'!$A$62&gt;35,AI47+AH48-AQ47,IF(A48&lt;'Données projet'!$A$62,$AF$205^A48,IF(A48='Données projet'!$A$62,'Données projet'!$B$62,AI47+AH48-AQ47)))</f>
        <v>156.3168498168499</v>
      </c>
      <c r="AJ48" s="13">
        <f>AI48*VLOOKUP('Données projet'!$B$10,Paramètres!$A$1:$I$89,3,0)*VLOOKUP('Données projet'!$B$10,Paramètres!$A$1:$I$89,5,0)</f>
        <v>158.5052857142858</v>
      </c>
      <c r="AK48" s="13">
        <f t="shared" si="35"/>
        <v>40.505194484738432</v>
      </c>
      <c r="AL48" s="20">
        <f t="shared" si="4"/>
        <v>346.60991967996728</v>
      </c>
      <c r="AM48" s="59">
        <f t="shared" si="5"/>
        <v>609.08038693425112</v>
      </c>
      <c r="AN48" s="59">
        <f ca="1">AVERAGE(OFFSET($AM$3,0,0,'Données projet'!$E$10+1,1))-AVERAGE(OFFSET($H$3,0,0,'Données projet'!$E$10+1,1))</f>
        <v>453.05577105995508</v>
      </c>
      <c r="AO48" s="59">
        <f t="shared" si="36"/>
        <v>322.6839824496758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61.582854705713785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3.5192307692307692</v>
      </c>
      <c r="BD48" s="12">
        <f>IF('Données projet'!$A$88&gt;35,BD47+BC48-BL47,IF(A48&lt;'Données projet'!$A$88,$BA$205^A48,IF(A48='Données projet'!$A$88,'Données projet'!$B$88,BD47+BC48-BL47)))</f>
        <v>109.53205128205133</v>
      </c>
      <c r="BE48" s="13">
        <f>BD48*VLOOKUP('Données projet'!$B$11,Paramètres!$A$1:$I$89,3,0)*VLOOKUP('Données projet'!$B$11,Paramètres!$A$1:$I$89,5,0)</f>
        <v>109.35680000000005</v>
      </c>
      <c r="BF48" s="13">
        <f t="shared" si="37"/>
        <v>29.17938995144781</v>
      </c>
      <c r="BG48" s="20">
        <f t="shared" si="7"/>
        <v>241.28386416543833</v>
      </c>
      <c r="BH48" s="59">
        <f t="shared" si="8"/>
        <v>503.75433141972218</v>
      </c>
      <c r="BI48" s="59">
        <f ca="1">AVERAGE(OFFSET($BH$3,0,0,'Données projet'!$E$11+1,1))-AVERAGE(OFFSET($H$3,0,0,'Données projet'!$E$11+1,1))</f>
        <v>411.38162678377478</v>
      </c>
      <c r="BJ48" s="59">
        <f t="shared" si="38"/>
        <v>177.89903563360403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61.582854705713785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162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162.00000000000003</v>
      </c>
      <c r="BZ48" s="13">
        <f>BY48*VLOOKUP('Données projet'!$B$12,Paramètres!$A$1:$I$89,3,0)*VLOOKUP('Données projet'!$B$12,Paramètres!$A$1:$I$89,5,0)</f>
        <v>169.32240000000004</v>
      </c>
      <c r="CA48" s="13">
        <f t="shared" si="39"/>
        <v>42.938228468783223</v>
      </c>
      <c r="CB48" s="20">
        <f t="shared" si="10"/>
        <v>369.68726124979753</v>
      </c>
      <c r="CC48" s="59">
        <f t="shared" si="11"/>
        <v>632.15772850408143</v>
      </c>
      <c r="CD48" s="59">
        <f ca="1">AVERAGE(OFFSET($CC$3,0,0,'Données projet'!$E$12+1,1))-AVERAGE(OFFSET($H$3,0,0,'Données projet'!$E$12+1,1))</f>
        <v>374.38550202939507</v>
      </c>
      <c r="CE48" s="59">
        <f t="shared" si="40"/>
        <v>324.37486924296718</v>
      </c>
      <c r="CF48" s="15">
        <f>IF(ISNA(VLOOKUP(A48,'Données projet'!$A$113:$I$133,3,0)),0,VLOOKUP(A48,'Données projet'!$A$113:$I$133,3,0))</f>
        <v>6</v>
      </c>
      <c r="CG48" s="15" t="str">
        <f>IF(ISNA(VLOOKUP(A48,'Données projet'!$A$113:$I$133,4,0)),0,VLOOKUP(A48,'Données projet'!$A$113:$I$133,4,0))</f>
        <v>19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0.215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9.0095760236811469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9.0095760236811469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61.582854705713785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6.826007326007324</v>
      </c>
      <c r="CT48" s="12">
        <f>IF('Données projet'!$A$140&gt;35,CT47+CS48-DB47,IF(A48&lt;'Données projet'!$A$140,$CQ$205^A48,IF(A48='Données projet'!$A$140,'Données projet'!$B$140,CT47+CS48-DB47)))</f>
        <v>104.83241758241752</v>
      </c>
      <c r="CU48" s="17">
        <f>CT48*VLOOKUP('Données projet'!$B$13,Paramètres!$A$1:$I$89,3,0)*VLOOKUP('Données projet'!$B$13,Paramètres!$A$1:$I$89,5,0)</f>
        <v>99.758528571428513</v>
      </c>
      <c r="CV48" s="13">
        <f t="shared" si="41"/>
        <v>26.90446221835996</v>
      </c>
      <c r="CW48" s="20">
        <f t="shared" si="13"/>
        <v>220.60470895888159</v>
      </c>
      <c r="CX48" s="59">
        <f t="shared" si="14"/>
        <v>483.07517621316543</v>
      </c>
      <c r="CY48" s="59">
        <f ca="1">AVERAGE(OFFSET($CX$3,0,0,'Données projet'!$E$13+1,1))-AVERAGE(OFFSET($H$3,0,0,'Données projet'!$E$13+1,1))</f>
        <v>392.81074187112989</v>
      </c>
      <c r="CZ48" s="59">
        <f t="shared" si="42"/>
        <v>236.19146849073687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61.582854705713785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6.826007326007324</v>
      </c>
      <c r="DO48" s="12">
        <f>IF('Données projet'!$A$166&gt;35,DO47+DN48-DW47,IF(A48&lt;'Données projet'!$A$166,$DL$205^A48,IF(A48='Données projet'!$A$166,'Données projet'!$B$166,DO47+DN48-DW47)))</f>
        <v>104.83241758241752</v>
      </c>
      <c r="DP48" s="17">
        <f>DO48*VLOOKUP('Données projet'!$B$14,Paramètres!$A$1:$I$89,3,0)*VLOOKUP('Données projet'!$B$14,Paramètres!$A$1:$I$89,5,0)</f>
        <v>112.84161428571423</v>
      </c>
      <c r="DQ48" s="13">
        <f t="shared" si="43"/>
        <v>29.999494023991062</v>
      </c>
      <c r="DR48" s="20">
        <f t="shared" si="16"/>
        <v>248.78159697273676</v>
      </c>
      <c r="DS48" s="59">
        <f t="shared" si="17"/>
        <v>511.25206422702058</v>
      </c>
      <c r="DT48" s="59">
        <f ca="1">AVERAGE(OFFSET($DS$3,0,0,'Données projet'!$E$14+1,1))-AVERAGE(OFFSET($H$3,0,0,'Données projet'!$E$14+1,1))</f>
        <v>434.77799524785502</v>
      </c>
      <c r="DU48" s="59">
        <f t="shared" si="44"/>
        <v>259.85949838170006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61.582854705713785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6.826007326007324</v>
      </c>
      <c r="EJ48" s="12">
        <f>IF('Données projet'!$A$192&gt;35,EJ47+EI48-ER47,IF(A48&lt;'Données projet'!$A$192,$EG$205^A48,IF(A48='Données projet'!$A$192,'Données projet'!$B$192,EJ47+EI48-ER47)))</f>
        <v>104.83241758241752</v>
      </c>
      <c r="EK48" s="17">
        <f>EJ48*VLOOKUP('Données projet'!$B$15,Paramètres!$A$1:$I$89,3,0)*VLOOKUP('Données projet'!$B$15,Paramètres!$A$1:$I$89,5,0)</f>
        <v>101.39391428571423</v>
      </c>
      <c r="EL48" s="13">
        <f t="shared" si="45"/>
        <v>27.293810389260898</v>
      </c>
      <c r="EM48" s="20">
        <f t="shared" si="19"/>
        <v>224.13112047558164</v>
      </c>
      <c r="EN48" s="59">
        <f t="shared" si="20"/>
        <v>486.60158772986551</v>
      </c>
      <c r="EO48" s="59">
        <f ca="1">AVERAGE(OFFSET($EN$3,0,0,'Données projet'!$E$15+1,1))-AVERAGE(OFFSET($H$3,0,0,'Données projet'!$E$15+1,1))</f>
        <v>398.06270423055565</v>
      </c>
      <c r="EP48" s="59">
        <f t="shared" si="46"/>
        <v>239.15364562040614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61.582854705713785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15.21153846153846</v>
      </c>
      <c r="FE48" s="12">
        <f>IF('Données projet'!$A$218&gt;35,FE47+FD48-FM47,IF(A48&lt;'Données projet'!$A$218,$FB$205^A48,IF(A48='Données projet'!$A$218,'Données projet'!$B$218,FE47+FD48-FM47)))</f>
        <v>382.11153846153843</v>
      </c>
      <c r="FF48" s="17">
        <f>FE48*VLOOKUP('Données projet'!$B$16,Paramètres!$A$1:$I$89,3,0)*VLOOKUP('Données projet'!$B$16,Paramètres!$A$1:$I$89,5,0)</f>
        <v>228.5027</v>
      </c>
      <c r="FG48" s="13">
        <f t="shared" si="47"/>
        <v>55.958807302542631</v>
      </c>
      <c r="FH48" s="20">
        <f t="shared" si="22"/>
        <v>495.4371252185951</v>
      </c>
      <c r="FI48" s="59">
        <f t="shared" si="23"/>
        <v>757.90759247287895</v>
      </c>
      <c r="FJ48" s="59">
        <f ca="1">AVERAGE(OFFSET($FI$3,0,0,'Données projet'!$E$16+1,1))-AVERAGE(OFFSET($H$3,0,0,'Données projet'!$E$16+1,1))</f>
        <v>334.13861979962491</v>
      </c>
      <c r="FK48" s="59">
        <f t="shared" si="48"/>
        <v>416.48635183664305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41.494365037410844</v>
      </c>
      <c r="FR48" s="21">
        <f>EXP(-LN(2)/25)*FR47+(1-EXP(-LN(2)/25))/(LN(2)/25)*Calculateur!FM48*Calculateur!FO48*VLOOKUP('Données projet'!$B$16,Paramètres!$A$1:$I$89,3,0)*0.475*44/12</f>
        <v>18.329822949041969</v>
      </c>
      <c r="FS48" s="21">
        <f>EXP(-LN(2)/2)*FS47+(1-EXP(-LN(2)/2))/(LN(2)/2)*FM48*FP48*VLOOKUP('Données projet'!$B$16,Paramètres!$A$1:$I$89,3,0)*0.475*44/12</f>
        <v>1.5364513045404833</v>
      </c>
      <c r="FT48" s="22">
        <f t="shared" si="24"/>
        <v>61.360639290993298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61.582854705713785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15.618681318681309</v>
      </c>
      <c r="FZ48" s="12">
        <f>IF('Données projet'!$A$244&gt;35,FZ47+FY48-GH47,IF(A48&lt;'Données projet'!$A$244,$FW$205^A48,IF(A48='Données projet'!$A$244,'Données projet'!$B$244,FZ47+FY48-GH47)))</f>
        <v>277.37912087912099</v>
      </c>
      <c r="GA48" s="17">
        <f>FZ48*VLOOKUP('Données projet'!$B$17,Paramètres!$A$1:$I$89,3,0)*VLOOKUP('Données projet'!$B$17,Paramètres!$A$1:$I$89,5,0)</f>
        <v>129.81342857142863</v>
      </c>
      <c r="GB48" s="13">
        <f t="shared" si="49"/>
        <v>33.953244550224326</v>
      </c>
      <c r="GC48" s="20">
        <f t="shared" si="25"/>
        <v>285.22695568687891</v>
      </c>
      <c r="GD48" s="59">
        <f t="shared" si="26"/>
        <v>547.69742294116281</v>
      </c>
      <c r="GE48" s="59">
        <f ca="1">AVERAGE(OFFSET($GD$3,0,0,'Données projet'!$E$17+1,1))-AVERAGE(OFFSET($H$3,0,0,'Données projet'!$E$17+1,1))</f>
        <v>317.79829681023142</v>
      </c>
      <c r="GF48" s="59">
        <f t="shared" si="50"/>
        <v>275.07716943523621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31.520211498030044</v>
      </c>
      <c r="GN48" s="21">
        <f>EXP(-LN(2)/2)*GN47+(1-EXP(-LN(2)/2))/(LN(2)/2)*GH48*GK48*VLOOKUP('Données projet'!$B$17,Paramètres!$A$1:$I$89,3,0)*0.475*44/12</f>
        <v>14.824847336936083</v>
      </c>
      <c r="GO48" s="21">
        <f t="shared" si="27"/>
        <v>46.345058834966125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61.582854705713785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17.519780219780223</v>
      </c>
      <c r="GU48" s="12">
        <f>IF('Données projet'!$A$270&gt;35,GU47+GT48-HC47,IF(A48&lt;'Données projet'!$A$270,$GR$205^A48,IF(A48='Données projet'!$A$270,'Données projet'!$B$270,GU47+GT48-HC47)))</f>
        <v>334.49010989010992</v>
      </c>
      <c r="GV48" s="17">
        <f>GU48*VLOOKUP('Données projet'!$B$18,Paramètres!$A$1:$I$89,3,0)*VLOOKUP('Données projet'!$B$18,Paramètres!$A$1:$I$89,5,0)</f>
        <v>186.97997142857147</v>
      </c>
      <c r="GW48" s="13">
        <f t="shared" si="51"/>
        <v>46.871646064498115</v>
      </c>
      <c r="GX48" s="20">
        <f t="shared" si="28"/>
        <v>407.29156713376284</v>
      </c>
      <c r="GY48" s="59">
        <f t="shared" si="29"/>
        <v>669.76203438804669</v>
      </c>
      <c r="GZ48" s="59">
        <f ca="1">AVERAGE(OFFSET($GY$3,0,0,'Données projet'!$E$18+1,1))-AVERAGE(OFFSET($H$3,0,0,'Données projet'!$E$18+1,1))</f>
        <v>336.21787234885699</v>
      </c>
      <c r="HA48" s="59">
        <f t="shared" si="52"/>
        <v>315.36156736899113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38.213630329691284</v>
      </c>
      <c r="HH48" s="21">
        <f>EXP(-LN(2)/25)*HH47+(1-EXP(-LN(2)/25))/(LN(2)/25)*Calculateur!HC48*Calculateur!HE48*VLOOKUP('Données projet'!$B$18,Paramètres!$A$1:$I$89,3,0)*0.475*44/12</f>
        <v>23.948034165938378</v>
      </c>
      <c r="HI48" s="21">
        <f>EXP(-LN(2)/2)*HI47+(1-EXP(-LN(2)/2))/(LN(2)/2)*HC48*HF48*VLOOKUP('Données projet'!$B$18,Paramètres!$A$1:$I$89,3,0)*0.475*44/12</f>
        <v>2.6147805643657911</v>
      </c>
      <c r="HJ48" s="22">
        <f t="shared" si="30"/>
        <v>64.776445059995453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3.7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13.566666666666668</v>
      </c>
      <c r="H49" s="67">
        <f t="shared" si="1"/>
        <v>202.4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61.72887335865191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165.662087912088</v>
      </c>
      <c r="O49" s="13">
        <f>N49*VLOOKUP('Données projet'!$B$9,Paramètres!$A$1:$I$89,3,0)*VLOOKUP('Données projet'!$B$9,Paramètres!$A$1:$I$89,5,0)</f>
        <v>149.89105714285722</v>
      </c>
      <c r="P49" s="13">
        <f t="shared" si="33"/>
        <v>38.553826918856579</v>
      </c>
      <c r="Q49" s="20">
        <f t="shared" si="53"/>
        <v>328.20817307415149</v>
      </c>
      <c r="R49" s="59">
        <f t="shared" si="0"/>
        <v>591.2140420558751</v>
      </c>
      <c r="S49" s="59">
        <f ca="1">AVERAGE(OFFSET($R$3,0,0,'Données projet'!$E$9+1,1))-AVERAGE(OFFSET($H$3,0,0,'Données projet'!$E$9+1,1))</f>
        <v>411.64357329340851</v>
      </c>
      <c r="T49" s="59">
        <f t="shared" si="34"/>
        <v>294.07942258675632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61.72887335865191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9.3452380952380913</v>
      </c>
      <c r="AI49" s="13">
        <f>IF('Données projet'!$A$62&gt;35,AI48+AH49-AQ48,IF(A49&lt;'Données projet'!$A$62,$AF$205^A49,IF(A49='Données projet'!$A$62,'Données projet'!$B$62,AI48+AH49-AQ48)))</f>
        <v>165.662087912088</v>
      </c>
      <c r="AJ49" s="13">
        <f>AI49*VLOOKUP('Données projet'!$B$10,Paramètres!$A$1:$I$89,3,0)*VLOOKUP('Données projet'!$B$10,Paramètres!$A$1:$I$89,5,0)</f>
        <v>167.98135714285723</v>
      </c>
      <c r="AK49" s="13">
        <f t="shared" si="35"/>
        <v>42.637600900233188</v>
      </c>
      <c r="AL49" s="20">
        <f t="shared" si="4"/>
        <v>366.82801859171582</v>
      </c>
      <c r="AM49" s="59">
        <f t="shared" si="5"/>
        <v>629.83388757343948</v>
      </c>
      <c r="AN49" s="59">
        <f ca="1">AVERAGE(OFFSET($AM$3,0,0,'Données projet'!$E$10+1,1))-AVERAGE(OFFSET($H$3,0,0,'Données projet'!$E$10+1,1))</f>
        <v>453.05577105995508</v>
      </c>
      <c r="AO49" s="59">
        <f t="shared" si="36"/>
        <v>322.6839824496758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61.72887335865191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3.5192307692307692</v>
      </c>
      <c r="BD49" s="12">
        <f>IF('Données projet'!$A$88&gt;35,BD48+BC49-BL48,IF(A49&lt;'Données projet'!$A$88,$BA$205^A49,IF(A49='Données projet'!$A$88,'Données projet'!$B$88,BD48+BC49-BL48)))</f>
        <v>113.0512820512821</v>
      </c>
      <c r="BE49" s="13">
        <f>BD49*VLOOKUP('Données projet'!$B$11,Paramètres!$A$1:$I$89,3,0)*VLOOKUP('Données projet'!$B$11,Paramètres!$A$1:$I$89,5,0)</f>
        <v>112.87040000000005</v>
      </c>
      <c r="BF49" s="13">
        <f t="shared" si="37"/>
        <v>30.006255957715933</v>
      </c>
      <c r="BG49" s="20">
        <f t="shared" si="7"/>
        <v>248.84350912635531</v>
      </c>
      <c r="BH49" s="59">
        <f t="shared" si="8"/>
        <v>511.84937810807901</v>
      </c>
      <c r="BI49" s="59">
        <f ca="1">AVERAGE(OFFSET($BH$3,0,0,'Données projet'!$E$11+1,1))-AVERAGE(OFFSET($H$3,0,0,'Données projet'!$E$11+1,1))</f>
        <v>411.38162678377478</v>
      </c>
      <c r="BJ49" s="59">
        <f t="shared" si="38"/>
        <v>177.89903563360403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61.72887335865191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</v>
      </c>
      <c r="BY49" s="12">
        <f>IF('Données projet'!$A$114&gt;35,BY48+BX49-CG48,IF(A49&lt;'Données projet'!$A$114,$BV$205^A49,IF(A49='Données projet'!$A$114,'Données projet'!$B$114,BY48+BX49-CG48)))</f>
        <v>149.00000000000003</v>
      </c>
      <c r="BZ49" s="13">
        <f>BY49*VLOOKUP('Données projet'!$B$12,Paramètres!$A$1:$I$89,3,0)*VLOOKUP('Données projet'!$B$12,Paramètres!$A$1:$I$89,5,0)</f>
        <v>155.73480000000004</v>
      </c>
      <c r="CA49" s="13">
        <f t="shared" si="39"/>
        <v>39.878980068529806</v>
      </c>
      <c r="CB49" s="20">
        <f t="shared" si="10"/>
        <v>340.6940002860228</v>
      </c>
      <c r="CC49" s="59">
        <f t="shared" si="11"/>
        <v>603.69986926774641</v>
      </c>
      <c r="CD49" s="59">
        <f ca="1">AVERAGE(OFFSET($CC$3,0,0,'Données projet'!$E$12+1,1))-AVERAGE(OFFSET($H$3,0,0,'Données projet'!$E$12+1,1))</f>
        <v>374.38550202939507</v>
      </c>
      <c r="CE49" s="59">
        <f t="shared" si="40"/>
        <v>324.37486924296718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8.7632086935205749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8.7632086935205749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61.72887335865191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6.826007326007324</v>
      </c>
      <c r="CT49" s="12">
        <f>IF('Données projet'!$A$140&gt;35,CT48+CS49-DB48,IF(A49&lt;'Données projet'!$A$140,$CQ$205^A49,IF(A49='Données projet'!$A$140,'Données projet'!$B$140,CT48+CS49-DB48)))</f>
        <v>111.65842490842485</v>
      </c>
      <c r="CU49" s="17">
        <f>CT49*VLOOKUP('Données projet'!$B$13,Paramètres!$A$1:$I$89,3,0)*VLOOKUP('Données projet'!$B$13,Paramètres!$A$1:$I$89,5,0)</f>
        <v>106.2541571428571</v>
      </c>
      <c r="CV49" s="13">
        <f t="shared" si="41"/>
        <v>28.446663087682943</v>
      </c>
      <c r="CW49" s="20">
        <f t="shared" si="13"/>
        <v>234.60392856819058</v>
      </c>
      <c r="CX49" s="59">
        <f t="shared" si="14"/>
        <v>497.60979754991422</v>
      </c>
      <c r="CY49" s="59">
        <f ca="1">AVERAGE(OFFSET($CX$3,0,0,'Données projet'!$E$13+1,1))-AVERAGE(OFFSET($H$3,0,0,'Données projet'!$E$13+1,1))</f>
        <v>392.81074187112989</v>
      </c>
      <c r="CZ49" s="59">
        <f t="shared" si="42"/>
        <v>236.19146849073687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61.72887335865191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6.826007326007324</v>
      </c>
      <c r="DO49" s="12">
        <f>IF('Données projet'!$A$166&gt;35,DO48+DN49-DW48,IF(A49&lt;'Données projet'!$A$166,$DL$205^A49,IF(A49='Données projet'!$A$166,'Données projet'!$B$166,DO48+DN49-DW48)))</f>
        <v>111.65842490842485</v>
      </c>
      <c r="DP49" s="17">
        <f>DO49*VLOOKUP('Données projet'!$B$14,Paramètres!$A$1:$I$89,3,0)*VLOOKUP('Données projet'!$B$14,Paramètres!$A$1:$I$89,5,0)</f>
        <v>120.18912857142851</v>
      </c>
      <c r="DQ49" s="13">
        <f t="shared" si="43"/>
        <v>31.719106383738488</v>
      </c>
      <c r="DR49" s="20">
        <f t="shared" si="16"/>
        <v>264.5735092135825</v>
      </c>
      <c r="DS49" s="59">
        <f t="shared" si="17"/>
        <v>527.57937819530616</v>
      </c>
      <c r="DT49" s="59">
        <f ca="1">AVERAGE(OFFSET($DS$3,0,0,'Données projet'!$E$14+1,1))-AVERAGE(OFFSET($H$3,0,0,'Données projet'!$E$14+1,1))</f>
        <v>434.77799524785502</v>
      </c>
      <c r="DU49" s="59">
        <f t="shared" si="44"/>
        <v>259.85949838170006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61.72887335865191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6.826007326007324</v>
      </c>
      <c r="EJ49" s="12">
        <f>IF('Données projet'!$A$192&gt;35,EJ48+EI49-ER48,IF(A49&lt;'Données projet'!$A$192,$EG$205^A49,IF(A49='Données projet'!$A$192,'Données projet'!$B$192,EJ48+EI49-ER48)))</f>
        <v>111.65842490842485</v>
      </c>
      <c r="EK49" s="17">
        <f>EJ49*VLOOKUP('Données projet'!$B$15,Paramètres!$A$1:$I$89,3,0)*VLOOKUP('Données projet'!$B$15,Paramètres!$A$1:$I$89,5,0)</f>
        <v>107.99602857142851</v>
      </c>
      <c r="EL49" s="13">
        <f t="shared" si="45"/>
        <v>28.858329232560074</v>
      </c>
      <c r="EM49" s="20">
        <f t="shared" si="19"/>
        <v>238.35467317528014</v>
      </c>
      <c r="EN49" s="59">
        <f t="shared" si="20"/>
        <v>501.36054215700381</v>
      </c>
      <c r="EO49" s="59">
        <f ca="1">AVERAGE(OFFSET($EN$3,0,0,'Données projet'!$E$15+1,1))-AVERAGE(OFFSET($H$3,0,0,'Données projet'!$E$15+1,1))</f>
        <v>398.06270423055565</v>
      </c>
      <c r="EP49" s="59">
        <f t="shared" si="46"/>
        <v>239.15364562040614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61.72887335865191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15.21153846153846</v>
      </c>
      <c r="FE49" s="12">
        <f>IF('Données projet'!$A$218&gt;35,FE48+FD49-FM48,IF(A49&lt;'Données projet'!$A$218,$FB$205^A49,IF(A49='Données projet'!$A$218,'Données projet'!$B$218,FE48+FD49-FM48)))</f>
        <v>397.32307692307688</v>
      </c>
      <c r="FF49" s="17">
        <f>FE49*VLOOKUP('Données projet'!$B$16,Paramètres!$A$1:$I$89,3,0)*VLOOKUP('Données projet'!$B$16,Paramètres!$A$1:$I$89,5,0)</f>
        <v>237.5992</v>
      </c>
      <c r="FG49" s="13">
        <f t="shared" si="47"/>
        <v>57.922684812819405</v>
      </c>
      <c r="FH49" s="20">
        <f t="shared" si="22"/>
        <v>514.70061604899377</v>
      </c>
      <c r="FI49" s="59">
        <f t="shared" si="23"/>
        <v>777.70648503071743</v>
      </c>
      <c r="FJ49" s="59">
        <f ca="1">AVERAGE(OFFSET($FI$3,0,0,'Données projet'!$E$16+1,1))-AVERAGE(OFFSET($H$3,0,0,'Données projet'!$E$16+1,1))</f>
        <v>334.13861979962491</v>
      </c>
      <c r="FK49" s="59">
        <f t="shared" si="48"/>
        <v>416.48635183664305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40.680685848090825</v>
      </c>
      <c r="FR49" s="21">
        <f>EXP(-LN(2)/25)*FR48+(1-EXP(-LN(2)/25))/(LN(2)/25)*Calculateur!FM49*Calculateur!FO49*VLOOKUP('Données projet'!$B$16,Paramètres!$A$1:$I$89,3,0)*0.475*44/12</f>
        <v>17.828592976576921</v>
      </c>
      <c r="FS49" s="21">
        <f>EXP(-LN(2)/2)*FS48+(1-EXP(-LN(2)/2))/(LN(2)/2)*FM49*FP49*VLOOKUP('Données projet'!$B$16,Paramètres!$A$1:$I$89,3,0)*0.475*44/12</f>
        <v>1.086435136403493</v>
      </c>
      <c r="FT49" s="22">
        <f t="shared" si="24"/>
        <v>59.59571396107124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61.72887335865191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15.618681318681309</v>
      </c>
      <c r="FZ49" s="12">
        <f>IF('Données projet'!$A$244&gt;35,FZ48+FY49-GH48,IF(A49&lt;'Données projet'!$A$244,$FW$205^A49,IF(A49='Données projet'!$A$244,'Données projet'!$B$244,FZ48+FY49-GH48)))</f>
        <v>292.99780219780229</v>
      </c>
      <c r="GA49" s="17">
        <f>FZ49*VLOOKUP('Données projet'!$B$17,Paramètres!$A$1:$I$89,3,0)*VLOOKUP('Données projet'!$B$17,Paramètres!$A$1:$I$89,5,0)</f>
        <v>137.12297142857147</v>
      </c>
      <c r="GB49" s="13">
        <f t="shared" si="49"/>
        <v>35.63712427284996</v>
      </c>
      <c r="GC49" s="20">
        <f t="shared" si="25"/>
        <v>300.89050001330901</v>
      </c>
      <c r="GD49" s="59">
        <f t="shared" si="26"/>
        <v>563.89636899503262</v>
      </c>
      <c r="GE49" s="59">
        <f ca="1">AVERAGE(OFFSET($GD$3,0,0,'Données projet'!$E$17+1,1))-AVERAGE(OFFSET($H$3,0,0,'Données projet'!$E$17+1,1))</f>
        <v>317.79829681023142</v>
      </c>
      <c r="GF49" s="59">
        <f t="shared" si="50"/>
        <v>275.07716943523621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30.65828965704053</v>
      </c>
      <c r="GN49" s="21">
        <f>EXP(-LN(2)/2)*GN48+(1-EXP(-LN(2)/2))/(LN(2)/2)*GH49*GK49*VLOOKUP('Données projet'!$B$17,Paramètres!$A$1:$I$89,3,0)*0.475*44/12</f>
        <v>10.482750082002836</v>
      </c>
      <c r="GO49" s="21">
        <f t="shared" si="27"/>
        <v>41.141039739043364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61.72887335865191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17.519780219780223</v>
      </c>
      <c r="GU49" s="12">
        <f>IF('Données projet'!$A$270&gt;35,GU48+GT49-HC48,IF(A49&lt;'Données projet'!$A$270,$GR$205^A49,IF(A49='Données projet'!$A$270,'Données projet'!$B$270,GU48+GT49-HC48)))</f>
        <v>352.00989010989014</v>
      </c>
      <c r="GV49" s="17">
        <f>GU49*VLOOKUP('Données projet'!$B$18,Paramètres!$A$1:$I$89,3,0)*VLOOKUP('Données projet'!$B$18,Paramètres!$A$1:$I$89,5,0)</f>
        <v>196.77352857142859</v>
      </c>
      <c r="GW49" s="13">
        <f t="shared" si="51"/>
        <v>49.034417171503861</v>
      </c>
      <c r="GX49" s="20">
        <f t="shared" si="28"/>
        <v>428.11550550227395</v>
      </c>
      <c r="GY49" s="59">
        <f t="shared" si="29"/>
        <v>691.12137448399767</v>
      </c>
      <c r="GZ49" s="59">
        <f ca="1">AVERAGE(OFFSET($GY$3,0,0,'Données projet'!$E$18+1,1))-AVERAGE(OFFSET($H$3,0,0,'Données projet'!$E$18+1,1))</f>
        <v>336.21787234885699</v>
      </c>
      <c r="HA49" s="59">
        <f t="shared" si="52"/>
        <v>315.36156736899113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37.464284346939067</v>
      </c>
      <c r="HH49" s="21">
        <f>EXP(-LN(2)/25)*HH48+(1-EXP(-LN(2)/25))/(LN(2)/25)*Calculateur!HC49*Calculateur!HE49*VLOOKUP('Données projet'!$B$18,Paramètres!$A$1:$I$89,3,0)*0.475*44/12</f>
        <v>23.29317391229841</v>
      </c>
      <c r="HI49" s="21">
        <f>EXP(-LN(2)/2)*HI48+(1-EXP(-LN(2)/2))/(LN(2)/2)*HC49*HF49*VLOOKUP('Données projet'!$B$18,Paramètres!$A$1:$I$89,3,0)*0.475*44/12</f>
        <v>1.8489290683778388</v>
      </c>
      <c r="HJ49" s="22">
        <f t="shared" si="30"/>
        <v>62.606387327615323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3.7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13.566666666666668</v>
      </c>
      <c r="H50" s="67">
        <f t="shared" si="1"/>
        <v>202.4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61.872358914410341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175.0073260073261</v>
      </c>
      <c r="O50" s="13">
        <f>N50*VLOOKUP('Données projet'!$B$9,Paramètres!$A$1:$I$89,3,0)*VLOOKUP('Données projet'!$B$9,Paramètres!$A$1:$I$89,5,0)</f>
        <v>158.34662857142865</v>
      </c>
      <c r="P50" s="13">
        <f t="shared" si="33"/>
        <v>40.469367717876509</v>
      </c>
      <c r="Q50" s="20">
        <f t="shared" si="53"/>
        <v>346.2711935372065</v>
      </c>
      <c r="R50" s="59">
        <f t="shared" si="0"/>
        <v>609.8031762233777</v>
      </c>
      <c r="S50" s="59">
        <f ca="1">AVERAGE(OFFSET($R$3,0,0,'Données projet'!$E$9+1,1))-AVERAGE(OFFSET($H$3,0,0,'Données projet'!$E$9+1,1))</f>
        <v>411.64357329340851</v>
      </c>
      <c r="T50" s="59">
        <f t="shared" si="34"/>
        <v>294.07942258675632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61.872358914410341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9.3452380952380913</v>
      </c>
      <c r="AI50" s="13">
        <f>IF('Données projet'!$A$62&gt;35,AI49+AH50-AQ49,IF(A50&lt;'Données projet'!$A$62,$AF$205^A50,IF(A50='Données projet'!$A$62,'Données projet'!$B$62,AI49+AH50-AQ49)))</f>
        <v>175.0073260073261</v>
      </c>
      <c r="AJ50" s="13">
        <f>AI50*VLOOKUP('Données projet'!$B$10,Paramètres!$A$1:$I$89,3,0)*VLOOKUP('Données projet'!$B$10,Paramètres!$A$1:$I$89,5,0)</f>
        <v>177.45742857142866</v>
      </c>
      <c r="AK50" s="13">
        <f t="shared" si="35"/>
        <v>44.75604336428804</v>
      </c>
      <c r="AL50" s="20">
        <f t="shared" si="4"/>
        <v>387.02179695470659</v>
      </c>
      <c r="AM50" s="59">
        <f t="shared" si="5"/>
        <v>650.55377964087779</v>
      </c>
      <c r="AN50" s="59">
        <f ca="1">AVERAGE(OFFSET($AM$3,0,0,'Données projet'!$E$10+1,1))-AVERAGE(OFFSET($H$3,0,0,'Données projet'!$E$10+1,1))</f>
        <v>453.05577105995508</v>
      </c>
      <c r="AO50" s="59">
        <f t="shared" si="36"/>
        <v>322.6839824496758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61.872358914410341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3.5192307692307692</v>
      </c>
      <c r="BD50" s="12">
        <f>IF('Données projet'!$A$88&gt;35,BD49+BC50-BL49,IF(A50&lt;'Données projet'!$A$88,$BA$205^A50,IF(A50='Données projet'!$A$88,'Données projet'!$B$88,BD49+BC50-BL49)))</f>
        <v>116.57051282051287</v>
      </c>
      <c r="BE50" s="13">
        <f>BD50*VLOOKUP('Données projet'!$B$11,Paramètres!$A$1:$I$89,3,0)*VLOOKUP('Données projet'!$B$11,Paramètres!$A$1:$I$89,5,0)</f>
        <v>116.38400000000006</v>
      </c>
      <c r="BF50" s="13">
        <f t="shared" si="37"/>
        <v>30.830130747152328</v>
      </c>
      <c r="BG50" s="20">
        <f t="shared" si="7"/>
        <v>256.39794438462371</v>
      </c>
      <c r="BH50" s="59">
        <f t="shared" si="8"/>
        <v>519.92992707079497</v>
      </c>
      <c r="BI50" s="59">
        <f ca="1">AVERAGE(OFFSET($BH$3,0,0,'Données projet'!$E$11+1,1))-AVERAGE(OFFSET($H$3,0,0,'Données projet'!$E$11+1,1))</f>
        <v>411.38162678377478</v>
      </c>
      <c r="BJ50" s="59">
        <f t="shared" si="38"/>
        <v>177.89903563360403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61.872358914410341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</v>
      </c>
      <c r="BY50" s="12">
        <f>IF('Données projet'!$A$114&gt;35,BY49+BX50-CG49,IF(A50&lt;'Données projet'!$A$114,$BV$205^A50,IF(A50='Données projet'!$A$114,'Données projet'!$B$114,BY49+BX50-CG49)))</f>
        <v>155.00000000000003</v>
      </c>
      <c r="BZ50" s="13">
        <f>BY50*VLOOKUP('Données projet'!$B$12,Paramètres!$A$1:$I$89,3,0)*VLOOKUP('Données projet'!$B$12,Paramètres!$A$1:$I$89,5,0)</f>
        <v>162.00600000000003</v>
      </c>
      <c r="CA50" s="13">
        <f t="shared" si="39"/>
        <v>41.294645684992197</v>
      </c>
      <c r="CB50" s="20">
        <f t="shared" si="10"/>
        <v>354.08195790136142</v>
      </c>
      <c r="CC50" s="59">
        <f t="shared" si="11"/>
        <v>617.61394058753262</v>
      </c>
      <c r="CD50" s="59">
        <f ca="1">AVERAGE(OFFSET($CC$3,0,0,'Données projet'!$E$12+1,1))-AVERAGE(OFFSET($H$3,0,0,'Données projet'!$E$12+1,1))</f>
        <v>374.38550202939507</v>
      </c>
      <c r="CE50" s="59">
        <f t="shared" si="40"/>
        <v>324.37486924296718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8.5235782909591382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8.5235782909591382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61.872358914410341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6.826007326007324</v>
      </c>
      <c r="CT50" s="12">
        <f>IF('Données projet'!$A$140&gt;35,CT49+CS50-DB49,IF(A50&lt;'Données projet'!$A$140,$CQ$205^A50,IF(A50='Données projet'!$A$140,'Données projet'!$B$140,CT49+CS50-DB49)))</f>
        <v>118.48443223443218</v>
      </c>
      <c r="CU50" s="17">
        <f>CT50*VLOOKUP('Données projet'!$B$13,Paramètres!$A$1:$I$89,3,0)*VLOOKUP('Données projet'!$B$13,Paramètres!$A$1:$I$89,5,0)</f>
        <v>112.74978571428566</v>
      </c>
      <c r="CV50" s="13">
        <f t="shared" si="41"/>
        <v>29.977921609827636</v>
      </c>
      <c r="CW50" s="20">
        <f t="shared" si="13"/>
        <v>248.58409025616402</v>
      </c>
      <c r="CX50" s="59">
        <f t="shared" si="14"/>
        <v>512.11607294233522</v>
      </c>
      <c r="CY50" s="59">
        <f ca="1">AVERAGE(OFFSET($CX$3,0,0,'Données projet'!$E$13+1,1))-AVERAGE(OFFSET($H$3,0,0,'Données projet'!$E$13+1,1))</f>
        <v>392.81074187112989</v>
      </c>
      <c r="CZ50" s="59">
        <f t="shared" si="42"/>
        <v>236.19146849073687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61.872358914410341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6.826007326007324</v>
      </c>
      <c r="DO50" s="12">
        <f>IF('Données projet'!$A$166&gt;35,DO49+DN50-DW49,IF(A50&lt;'Données projet'!$A$166,$DL$205^A50,IF(A50='Données projet'!$A$166,'Données projet'!$B$166,DO49+DN50-DW49)))</f>
        <v>118.48443223443218</v>
      </c>
      <c r="DP50" s="17">
        <f>DO50*VLOOKUP('Données projet'!$B$14,Paramètres!$A$1:$I$89,3,0)*VLOOKUP('Données projet'!$B$14,Paramètres!$A$1:$I$89,5,0)</f>
        <v>127.53664285714278</v>
      </c>
      <c r="DQ50" s="13">
        <f t="shared" si="43"/>
        <v>33.426517612085448</v>
      </c>
      <c r="DR50" s="20">
        <f t="shared" si="16"/>
        <v>280.34417115057249</v>
      </c>
      <c r="DS50" s="59">
        <f t="shared" si="17"/>
        <v>543.8761538367437</v>
      </c>
      <c r="DT50" s="59">
        <f ca="1">AVERAGE(OFFSET($DS$3,0,0,'Données projet'!$E$14+1,1))-AVERAGE(OFFSET($H$3,0,0,'Données projet'!$E$14+1,1))</f>
        <v>434.77799524785502</v>
      </c>
      <c r="DU50" s="59">
        <f t="shared" si="44"/>
        <v>259.85949838170006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61.872358914410341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6.826007326007324</v>
      </c>
      <c r="EJ50" s="12">
        <f>IF('Données projet'!$A$192&gt;35,EJ49+EI50-ER49,IF(A50&lt;'Données projet'!$A$192,$EG$205^A50,IF(A50='Données projet'!$A$192,'Données projet'!$B$192,EJ49+EI50-ER49)))</f>
        <v>118.48443223443218</v>
      </c>
      <c r="EK50" s="17">
        <f>EJ50*VLOOKUP('Données projet'!$B$15,Paramètres!$A$1:$I$89,3,0)*VLOOKUP('Données projet'!$B$15,Paramètres!$A$1:$I$89,5,0)</f>
        <v>114.5981428571428</v>
      </c>
      <c r="EL50" s="13">
        <f t="shared" si="45"/>
        <v>30.411747376403749</v>
      </c>
      <c r="EM50" s="20">
        <f t="shared" si="19"/>
        <v>252.55889215676018</v>
      </c>
      <c r="EN50" s="59">
        <f t="shared" si="20"/>
        <v>516.0908748429315</v>
      </c>
      <c r="EO50" s="59">
        <f ca="1">AVERAGE(OFFSET($EN$3,0,0,'Données projet'!$E$15+1,1))-AVERAGE(OFFSET($H$3,0,0,'Données projet'!$E$15+1,1))</f>
        <v>398.06270423055565</v>
      </c>
      <c r="EP50" s="59">
        <f t="shared" si="46"/>
        <v>239.15364562040614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61.872358914410341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15.21153846153846</v>
      </c>
      <c r="FE50" s="12">
        <f>IF('Données projet'!$A$218&gt;35,FE49+FD50-FM49,IF(A50&lt;'Données projet'!$A$218,$FB$205^A50,IF(A50='Données projet'!$A$218,'Données projet'!$B$218,FE49+FD50-FM49)))</f>
        <v>412.53461538461534</v>
      </c>
      <c r="FF50" s="17">
        <f>FE50*VLOOKUP('Données projet'!$B$16,Paramètres!$A$1:$I$89,3,0)*VLOOKUP('Données projet'!$B$16,Paramètres!$A$1:$I$89,5,0)</f>
        <v>246.69569999999999</v>
      </c>
      <c r="FG50" s="13">
        <f t="shared" si="47"/>
        <v>59.877827754324372</v>
      </c>
      <c r="FH50" s="20">
        <f t="shared" si="22"/>
        <v>533.94889417211482</v>
      </c>
      <c r="FI50" s="59">
        <f t="shared" si="23"/>
        <v>797.48087685828614</v>
      </c>
      <c r="FJ50" s="59">
        <f ca="1">AVERAGE(OFFSET($FI$3,0,0,'Données projet'!$E$16+1,1))-AVERAGE(OFFSET($H$3,0,0,'Données projet'!$E$16+1,1))</f>
        <v>334.13861979962491</v>
      </c>
      <c r="FK50" s="59">
        <f t="shared" si="48"/>
        <v>416.48635183664305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39.882962411378074</v>
      </c>
      <c r="FR50" s="21">
        <f>EXP(-LN(2)/25)*FR49+(1-EXP(-LN(2)/25))/(LN(2)/25)*Calculateur!FM50*Calculateur!FO50*VLOOKUP('Données projet'!$B$16,Paramètres!$A$1:$I$89,3,0)*0.475*44/12</f>
        <v>17.34106916406747</v>
      </c>
      <c r="FS50" s="21">
        <f>EXP(-LN(2)/2)*FS49+(1-EXP(-LN(2)/2))/(LN(2)/2)*FM50*FP50*VLOOKUP('Données projet'!$B$16,Paramètres!$A$1:$I$89,3,0)*0.475*44/12</f>
        <v>0.76822565227024164</v>
      </c>
      <c r="FT50" s="22">
        <f t="shared" si="24"/>
        <v>57.992257227715783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61.872358914410341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15.618681318681309</v>
      </c>
      <c r="FZ50" s="12">
        <f>IF('Données projet'!$A$244&gt;35,FZ49+FY50-GH49,IF(A50&lt;'Données projet'!$A$244,$FW$205^A50,IF(A50='Données projet'!$A$244,'Données projet'!$B$244,FZ49+FY50-GH49)))</f>
        <v>308.61648351648358</v>
      </c>
      <c r="GA50" s="17">
        <f>FZ50*VLOOKUP('Données projet'!$B$17,Paramètres!$A$1:$I$89,3,0)*VLOOKUP('Données projet'!$B$17,Paramètres!$A$1:$I$89,5,0)</f>
        <v>144.43251428571432</v>
      </c>
      <c r="GB50" s="13">
        <f t="shared" si="49"/>
        <v>37.310582871696397</v>
      </c>
      <c r="GC50" s="20">
        <f t="shared" si="25"/>
        <v>316.5358942158237</v>
      </c>
      <c r="GD50" s="59">
        <f t="shared" si="26"/>
        <v>580.06787690199496</v>
      </c>
      <c r="GE50" s="59">
        <f ca="1">AVERAGE(OFFSET($GD$3,0,0,'Données projet'!$E$17+1,1))-AVERAGE(OFFSET($H$3,0,0,'Données projet'!$E$17+1,1))</f>
        <v>317.79829681023142</v>
      </c>
      <c r="GF50" s="59">
        <f t="shared" si="50"/>
        <v>275.07716943523621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29.819937114119373</v>
      </c>
      <c r="GN50" s="21">
        <f>EXP(-LN(2)/2)*GN49+(1-EXP(-LN(2)/2))/(LN(2)/2)*GH50*GK50*VLOOKUP('Données projet'!$B$17,Paramètres!$A$1:$I$89,3,0)*0.475*44/12</f>
        <v>7.4124236684680431</v>
      </c>
      <c r="GO50" s="21">
        <f t="shared" si="27"/>
        <v>37.232360782587413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61.872358914410341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17.519780219780223</v>
      </c>
      <c r="GU50" s="12">
        <f>IF('Données projet'!$A$270&gt;35,GU49+GT50-HC49,IF(A50&lt;'Données projet'!$A$270,$GR$205^A50,IF(A50='Données projet'!$A$270,'Données projet'!$B$270,GU49+GT50-HC49)))</f>
        <v>369.52967032967035</v>
      </c>
      <c r="GV50" s="17">
        <f>GU50*VLOOKUP('Données projet'!$B$18,Paramètres!$A$1:$I$89,3,0)*VLOOKUP('Données projet'!$B$18,Paramètres!$A$1:$I$89,5,0)</f>
        <v>206.56708571428572</v>
      </c>
      <c r="GW50" s="13">
        <f t="shared" si="51"/>
        <v>51.184689450990696</v>
      </c>
      <c r="GX50" s="20">
        <f t="shared" si="28"/>
        <v>448.91767507952301</v>
      </c>
      <c r="GY50" s="59">
        <f t="shared" si="29"/>
        <v>712.44965776569427</v>
      </c>
      <c r="GZ50" s="59">
        <f ca="1">AVERAGE(OFFSET($GY$3,0,0,'Données projet'!$E$18+1,1))-AVERAGE(OFFSET($H$3,0,0,'Données projet'!$E$18+1,1))</f>
        <v>336.21787234885699</v>
      </c>
      <c r="HA50" s="59">
        <f t="shared" si="52"/>
        <v>315.36156736899113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36.729632581852698</v>
      </c>
      <c r="HH50" s="21">
        <f>EXP(-LN(2)/25)*HH49+(1-EXP(-LN(2)/25))/(LN(2)/25)*Calculateur!HC50*Calculateur!HE50*VLOOKUP('Données projet'!$B$18,Paramètres!$A$1:$I$89,3,0)*0.475*44/12</f>
        <v>22.656220846731831</v>
      </c>
      <c r="HI50" s="21">
        <f>EXP(-LN(2)/2)*HI49+(1-EXP(-LN(2)/2))/(LN(2)/2)*HC50*HF50*VLOOKUP('Données projet'!$B$18,Paramètres!$A$1:$I$89,3,0)*0.475*44/12</f>
        <v>1.3073902821828958</v>
      </c>
      <c r="HJ50" s="22">
        <f t="shared" si="30"/>
        <v>60.693243710767419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3.7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13.566666666666668</v>
      </c>
      <c r="H51" s="67">
        <f t="shared" si="1"/>
        <v>202.4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62.013355316562027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184.3525641025642</v>
      </c>
      <c r="O51" s="13">
        <f>N51*VLOOKUP('Données projet'!$B$9,Paramètres!$A$1:$I$89,3,0)*VLOOKUP('Données projet'!$B$9,Paramètres!$A$1:$I$89,5,0)</f>
        <v>166.80220000000008</v>
      </c>
      <c r="P51" s="13">
        <f t="shared" si="33"/>
        <v>42.373033138688463</v>
      </c>
      <c r="Q51" s="20">
        <f t="shared" si="53"/>
        <v>364.31353104988256</v>
      </c>
      <c r="R51" s="59">
        <f t="shared" si="0"/>
        <v>628.36250054394327</v>
      </c>
      <c r="S51" s="59">
        <f ca="1">AVERAGE(OFFSET($R$3,0,0,'Données projet'!$E$9+1,1))-AVERAGE(OFFSET($H$3,0,0,'Données projet'!$E$9+1,1))</f>
        <v>411.64357329340851</v>
      </c>
      <c r="T51" s="59">
        <f t="shared" si="34"/>
        <v>294.07942258675632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62.013355316562027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184.35256410256409</v>
      </c>
      <c r="AG51" s="12">
        <f>VLOOKUP(A51,'Données projet'!$A$61:$I$81,9,0)</f>
        <v>9.3452380952380913</v>
      </c>
      <c r="AH51" s="12">
        <f t="array" ref="AH51">INDEX(AG:AG,MIN(IF(ISNUMBER(AG51:AG247),ROW(AG51:AG247),"")))</f>
        <v>9.3452380952380913</v>
      </c>
      <c r="AI51" s="13">
        <f>IF('Données projet'!$A$62&gt;35,AI50+AH51-AQ50,IF(A51&lt;'Données projet'!$A$62,$AF$205^A51,IF(A51='Données projet'!$A$62,'Données projet'!$B$62,AI50+AH51-AQ50)))</f>
        <v>184.3525641025642</v>
      </c>
      <c r="AJ51" s="13">
        <f>AI51*VLOOKUP('Données projet'!$B$10,Paramètres!$A$1:$I$89,3,0)*VLOOKUP('Données projet'!$B$10,Paramètres!$A$1:$I$89,5,0)</f>
        <v>186.93350000000012</v>
      </c>
      <c r="AK51" s="13">
        <f t="shared" si="35"/>
        <v>46.861352563060628</v>
      </c>
      <c r="AL51" s="20">
        <f t="shared" si="4"/>
        <v>407.19270154733073</v>
      </c>
      <c r="AM51" s="59">
        <f t="shared" si="5"/>
        <v>671.24167104139156</v>
      </c>
      <c r="AN51" s="59">
        <f ca="1">AVERAGE(OFFSET($AM$3,0,0,'Données projet'!$E$10+1,1))-AVERAGE(OFFSET($H$3,0,0,'Données projet'!$E$10+1,1))</f>
        <v>453.05577105995508</v>
      </c>
      <c r="AO51" s="59">
        <f t="shared" si="36"/>
        <v>322.6839824496758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48.025641025641022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62.013355316562027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3.5192307692307692</v>
      </c>
      <c r="BD51" s="12">
        <f>IF('Données projet'!$A$88&gt;35,BD50+BC51-BL50,IF(A51&lt;'Données projet'!$A$88,$BA$205^A51,IF(A51='Données projet'!$A$88,'Données projet'!$B$88,BD50+BC51-BL50)))</f>
        <v>120.08974358974365</v>
      </c>
      <c r="BE51" s="13">
        <f>BD51*VLOOKUP('Données projet'!$B$11,Paramètres!$A$1:$I$89,3,0)*VLOOKUP('Données projet'!$B$11,Paramètres!$A$1:$I$89,5,0)</f>
        <v>119.89760000000007</v>
      </c>
      <c r="BF51" s="13">
        <f t="shared" si="37"/>
        <v>31.65111498921393</v>
      </c>
      <c r="BG51" s="20">
        <f t="shared" si="7"/>
        <v>263.94734527288102</v>
      </c>
      <c r="BH51" s="59">
        <f t="shared" si="8"/>
        <v>527.99631476694185</v>
      </c>
      <c r="BI51" s="59">
        <f ca="1">AVERAGE(OFFSET($BH$3,0,0,'Données projet'!$E$11+1,1))-AVERAGE(OFFSET($H$3,0,0,'Données projet'!$E$11+1,1))</f>
        <v>411.38162678377478</v>
      </c>
      <c r="BJ51" s="59">
        <f t="shared" si="38"/>
        <v>177.89903563360403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62.013355316562027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</v>
      </c>
      <c r="BY51" s="12">
        <f>IF('Données projet'!$A$114&gt;35,BY50+BX51-CG50,IF(A51&lt;'Données projet'!$A$114,$BV$205^A51,IF(A51='Données projet'!$A$114,'Données projet'!$B$114,BY50+BX51-CG50)))</f>
        <v>161.00000000000003</v>
      </c>
      <c r="BZ51" s="13">
        <f>BY51*VLOOKUP('Données projet'!$B$12,Paramètres!$A$1:$I$89,3,0)*VLOOKUP('Données projet'!$B$12,Paramètres!$A$1:$I$89,5,0)</f>
        <v>168.27720000000002</v>
      </c>
      <c r="CA51" s="13">
        <f t="shared" si="39"/>
        <v>42.703945256047824</v>
      </c>
      <c r="CB51" s="20">
        <f t="shared" si="10"/>
        <v>367.45882798761664</v>
      </c>
      <c r="CC51" s="59">
        <f t="shared" si="11"/>
        <v>631.50779748167747</v>
      </c>
      <c r="CD51" s="59">
        <f ca="1">AVERAGE(OFFSET($CC$3,0,0,'Données projet'!$E$12+1,1))-AVERAGE(OFFSET($H$3,0,0,'Données projet'!$E$12+1,1))</f>
        <v>374.38550202939507</v>
      </c>
      <c r="CE51" s="59">
        <f t="shared" si="40"/>
        <v>324.37486924296718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8.2905005943573595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8.2905005943573595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62.013355316562027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6.826007326007324</v>
      </c>
      <c r="CT51" s="12">
        <f>IF('Données projet'!$A$140&gt;35,CT50+CS51-DB50,IF(A51&lt;'Données projet'!$A$140,$CQ$205^A51,IF(A51='Données projet'!$A$140,'Données projet'!$B$140,CT50+CS51-DB50)))</f>
        <v>125.31043956043951</v>
      </c>
      <c r="CU51" s="17">
        <f>CT51*VLOOKUP('Données projet'!$B$13,Paramètres!$A$1:$I$89,3,0)*VLOOKUP('Données projet'!$B$13,Paramètres!$A$1:$I$89,5,0)</f>
        <v>119.24541428571423</v>
      </c>
      <c r="CV51" s="13">
        <f t="shared" si="41"/>
        <v>31.498940007238424</v>
      </c>
      <c r="CW51" s="20">
        <f t="shared" si="13"/>
        <v>262.54641706022585</v>
      </c>
      <c r="CX51" s="59">
        <f t="shared" si="14"/>
        <v>526.59538655428662</v>
      </c>
      <c r="CY51" s="59">
        <f ca="1">AVERAGE(OFFSET($CX$3,0,0,'Données projet'!$E$13+1,1))-AVERAGE(OFFSET($H$3,0,0,'Données projet'!$E$13+1,1))</f>
        <v>392.81074187112989</v>
      </c>
      <c r="CZ51" s="59">
        <f t="shared" si="42"/>
        <v>236.19146849073687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62.013355316562027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6.826007326007324</v>
      </c>
      <c r="DO51" s="12">
        <f>IF('Données projet'!$A$166&gt;35,DO50+DN51-DW50,IF(A51&lt;'Données projet'!$A$166,$DL$205^A51,IF(A51='Données projet'!$A$166,'Données projet'!$B$166,DO50+DN51-DW50)))</f>
        <v>125.31043956043951</v>
      </c>
      <c r="DP51" s="17">
        <f>DO51*VLOOKUP('Données projet'!$B$14,Paramètres!$A$1:$I$89,3,0)*VLOOKUP('Données projet'!$B$14,Paramètres!$A$1:$I$89,5,0)</f>
        <v>134.88415714285708</v>
      </c>
      <c r="DQ51" s="13">
        <f t="shared" si="43"/>
        <v>35.1225107136449</v>
      </c>
      <c r="DR51" s="20">
        <f t="shared" si="16"/>
        <v>296.09494651674089</v>
      </c>
      <c r="DS51" s="59">
        <f t="shared" si="17"/>
        <v>560.1439160108016</v>
      </c>
      <c r="DT51" s="59">
        <f ca="1">AVERAGE(OFFSET($DS$3,0,0,'Données projet'!$E$14+1,1))-AVERAGE(OFFSET($H$3,0,0,'Données projet'!$E$14+1,1))</f>
        <v>434.77799524785502</v>
      </c>
      <c r="DU51" s="59">
        <f t="shared" si="44"/>
        <v>259.85949838170006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62.013355316562027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6.826007326007324</v>
      </c>
      <c r="EJ51" s="12">
        <f>IF('Données projet'!$A$192&gt;35,EJ50+EI51-ER50,IF(A51&lt;'Données projet'!$A$192,$EG$205^A51,IF(A51='Données projet'!$A$192,'Données projet'!$B$192,EJ50+EI51-ER50)))</f>
        <v>125.31043956043951</v>
      </c>
      <c r="EK51" s="17">
        <f>EJ51*VLOOKUP('Données projet'!$B$15,Paramètres!$A$1:$I$89,3,0)*VLOOKUP('Données projet'!$B$15,Paramètres!$A$1:$I$89,5,0)</f>
        <v>121.20025714285708</v>
      </c>
      <c r="EL51" s="13">
        <f t="shared" si="45"/>
        <v>31.954777205454842</v>
      </c>
      <c r="EM51" s="20">
        <f t="shared" si="19"/>
        <v>266.7450181566432</v>
      </c>
      <c r="EN51" s="59">
        <f t="shared" si="20"/>
        <v>530.79398765070391</v>
      </c>
      <c r="EO51" s="59">
        <f ca="1">AVERAGE(OFFSET($EN$3,0,0,'Données projet'!$E$15+1,1))-AVERAGE(OFFSET($H$3,0,0,'Données projet'!$E$15+1,1))</f>
        <v>398.06270423055565</v>
      </c>
      <c r="EP51" s="59">
        <f t="shared" si="46"/>
        <v>239.15364562040614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62.013355316562027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>
        <f>VLOOKUP(A51,'Données projet'!$A$217:$I$237,2,0)</f>
        <v>427.74615384615385</v>
      </c>
      <c r="FC51" s="12">
        <f>VLOOKUP(A51,'Données projet'!$A$217:$I$237,9,0)</f>
        <v>15.21153846153846</v>
      </c>
      <c r="FD51" s="12">
        <f t="array" ref="FD51">INDEX(FC:FC,MIN(IF(ISNUMBER(FC51:FC247),ROW(FC51:FC247),"")))</f>
        <v>15.21153846153846</v>
      </c>
      <c r="FE51" s="12">
        <f>IF('Données projet'!$A$218&gt;35,FE50+FD51-FM50,IF(A51&lt;'Données projet'!$A$218,$FB$205^A51,IF(A51='Données projet'!$A$218,'Données projet'!$B$218,FE50+FD51-FM50)))</f>
        <v>427.74615384615379</v>
      </c>
      <c r="FF51" s="17">
        <f>FE51*VLOOKUP('Données projet'!$B$16,Paramètres!$A$1:$I$89,3,0)*VLOOKUP('Données projet'!$B$16,Paramètres!$A$1:$I$89,5,0)</f>
        <v>255.79219999999998</v>
      </c>
      <c r="FG51" s="13">
        <f t="shared" si="47"/>
        <v>61.824595084245523</v>
      </c>
      <c r="FH51" s="20">
        <f t="shared" si="22"/>
        <v>553.18258477172765</v>
      </c>
      <c r="FI51" s="59">
        <f t="shared" si="23"/>
        <v>817.23155426578842</v>
      </c>
      <c r="FJ51" s="59">
        <f ca="1">AVERAGE(OFFSET($FI$3,0,0,'Données projet'!$E$16+1,1))-AVERAGE(OFFSET($H$3,0,0,'Données projet'!$E$16+1,1))</f>
        <v>334.13861979962491</v>
      </c>
      <c r="FK51" s="59">
        <f t="shared" si="48"/>
        <v>416.48635183664305</v>
      </c>
      <c r="FL51" s="15">
        <f>IF(ISNA(VLOOKUP(A51,'Données projet'!$A$217:$I$237,3,0)),0,VLOOKUP(A51,'Données projet'!$A$217:$I$237,3,0))</f>
        <v>6</v>
      </c>
      <c r="FM51" s="15">
        <f>IF(ISNA(VLOOKUP(A51,'Données projet'!$A$217:$I$237,4,0)),0,VLOOKUP(A51,'Données projet'!$A$217:$I$237,4,0))</f>
        <v>83.969230769230762</v>
      </c>
      <c r="FN51" s="16">
        <f>IF(ISNA(VLOOKUP(A51,'Données projet'!$A$217:$I$237,5,0)),0%,VLOOKUP(A51,'Données projet'!$A$217:$I$237,5,0)*VLOOKUP('Données projet'!$B$16,Paramètres!$A$1:$I$89,7,0))</f>
        <v>0.315</v>
      </c>
      <c r="FO51" s="16">
        <f>IF(ISNA(VLOOKUP(A51,'Données projet'!$A$217:$I$237,6,0)),0%,VLOOKUP(A51,'Données projet'!$A$217:$I$237,6,0)*VLOOKUP('Données projet'!$B$16,Paramètres!$A$1:$I$89,7,0))</f>
        <v>7.5600000000000001E-2</v>
      </c>
      <c r="FP51" s="16">
        <f>IF(ISNA(VLOOKUP(A51,'Données projet'!$A$217:$I$237,7,0)),0%,VLOOKUP(A51,'Données projet'!$A$217:$I$237,7,0))</f>
        <v>0.13200000000000001</v>
      </c>
      <c r="FQ51" s="21">
        <f>EXP(-LN(2)/35)*FQ50+(1-EXP(-LN(2)/35))/(LN(2)/35)*FM51*FN51*VLOOKUP('Données projet'!$B$16,Paramètres!$A$1:$I$89,3,0)*0.475*44/12</f>
        <v>60.083528580688551</v>
      </c>
      <c r="FR51" s="21">
        <f>EXP(-LN(2)/25)*FR50+(1-EXP(-LN(2)/25))/(LN(2)/25)*Calculateur!FM51*Calculateur!FO51*VLOOKUP('Données projet'!$B$16,Paramètres!$A$1:$I$89,3,0)*0.475*44/12</f>
        <v>21.882883930435508</v>
      </c>
      <c r="FS51" s="21">
        <f>EXP(-LN(2)/2)*FS50+(1-EXP(-LN(2)/2))/(LN(2)/2)*FM51*FP51*VLOOKUP('Données projet'!$B$16,Paramètres!$A$1:$I$89,3,0)*0.475*44/12</f>
        <v>8.0478742479516399</v>
      </c>
      <c r="FT51" s="22">
        <f t="shared" si="24"/>
        <v>90.014286759075702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62.013355316562027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15.618681318681309</v>
      </c>
      <c r="FZ51" s="12">
        <f>IF('Données projet'!$A$244&gt;35,FZ50+FY51-GH50,IF(A51&lt;'Données projet'!$A$244,$FW$205^A51,IF(A51='Données projet'!$A$244,'Données projet'!$B$244,FZ50+FY51-GH50)))</f>
        <v>324.23516483516488</v>
      </c>
      <c r="GA51" s="17">
        <f>FZ51*VLOOKUP('Données projet'!$B$17,Paramètres!$A$1:$I$89,3,0)*VLOOKUP('Données projet'!$B$17,Paramètres!$A$1:$I$89,5,0)</f>
        <v>151.74205714285716</v>
      </c>
      <c r="GB51" s="13">
        <f t="shared" si="49"/>
        <v>38.974207918733512</v>
      </c>
      <c r="GC51" s="20">
        <f t="shared" si="25"/>
        <v>332.16416164893707</v>
      </c>
      <c r="GD51" s="59">
        <f t="shared" si="26"/>
        <v>596.21313114299778</v>
      </c>
      <c r="GE51" s="59">
        <f ca="1">AVERAGE(OFFSET($GD$3,0,0,'Données projet'!$E$17+1,1))-AVERAGE(OFFSET($H$3,0,0,'Données projet'!$E$17+1,1))</f>
        <v>317.79829681023142</v>
      </c>
      <c r="GF51" s="59">
        <f t="shared" si="50"/>
        <v>275.07716943523621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29.00450936557144</v>
      </c>
      <c r="GN51" s="21">
        <f>EXP(-LN(2)/2)*GN50+(1-EXP(-LN(2)/2))/(LN(2)/2)*GH51*GK51*VLOOKUP('Données projet'!$B$17,Paramètres!$A$1:$I$89,3,0)*0.475*44/12</f>
        <v>5.2413750410014188</v>
      </c>
      <c r="GO51" s="21">
        <f t="shared" si="27"/>
        <v>34.245884406572856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62.013355316562027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17.519780219780223</v>
      </c>
      <c r="GU51" s="12">
        <f>IF('Données projet'!$A$270&gt;35,GU50+GT51-HC50,IF(A51&lt;'Données projet'!$A$270,$GR$205^A51,IF(A51='Données projet'!$A$270,'Données projet'!$B$270,GU50+GT51-HC50)))</f>
        <v>387.04945054945057</v>
      </c>
      <c r="GV51" s="17">
        <f>GU51*VLOOKUP('Données projet'!$B$18,Paramètres!$A$1:$I$89,3,0)*VLOOKUP('Données projet'!$B$18,Paramètres!$A$1:$I$89,5,0)</f>
        <v>216.36064285714286</v>
      </c>
      <c r="GW51" s="13">
        <f t="shared" si="51"/>
        <v>53.323123145592824</v>
      </c>
      <c r="GX51" s="20">
        <f t="shared" si="28"/>
        <v>469.69922578809798</v>
      </c>
      <c r="GY51" s="59">
        <f t="shared" si="29"/>
        <v>733.7481952821588</v>
      </c>
      <c r="GZ51" s="59">
        <f ca="1">AVERAGE(OFFSET($GY$3,0,0,'Données projet'!$E$18+1,1))-AVERAGE(OFFSET($H$3,0,0,'Données projet'!$E$18+1,1))</f>
        <v>336.21787234885699</v>
      </c>
      <c r="HA51" s="59">
        <f t="shared" si="52"/>
        <v>315.36156736899113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36.009386889786342</v>
      </c>
      <c r="HH51" s="21">
        <f>EXP(-LN(2)/25)*HH50+(1-EXP(-LN(2)/25))/(LN(2)/25)*Calculateur!HC51*Calculateur!HE51*VLOOKUP('Données projet'!$B$18,Paramètres!$A$1:$I$89,3,0)*0.475*44/12</f>
        <v>22.036685296239074</v>
      </c>
      <c r="HI51" s="21">
        <f>EXP(-LN(2)/2)*HI50+(1-EXP(-LN(2)/2))/(LN(2)/2)*HC51*HF51*VLOOKUP('Données projet'!$B$18,Paramètres!$A$1:$I$89,3,0)*0.475*44/12</f>
        <v>0.92446453418891961</v>
      </c>
      <c r="HJ51" s="22">
        <f t="shared" si="30"/>
        <v>58.970536720214334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3.7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13.566666666666668</v>
      </c>
      <c r="H52" s="67">
        <f t="shared" si="1"/>
        <v>202.4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62.151905746357102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145.20054945054954</v>
      </c>
      <c r="O52" s="13">
        <f>N52*VLOOKUP('Données projet'!$B$9,Paramètres!$A$1:$I$89,3,0)*VLOOKUP('Données projet'!$B$9,Paramètres!$A$1:$I$89,5,0)</f>
        <v>131.37745714285722</v>
      </c>
      <c r="P52" s="13">
        <f t="shared" si="33"/>
        <v>34.314453722516539</v>
      </c>
      <c r="Q52" s="20">
        <f t="shared" si="53"/>
        <v>288.58007809052594</v>
      </c>
      <c r="R52" s="59">
        <f t="shared" si="0"/>
        <v>553.13706582716873</v>
      </c>
      <c r="S52" s="59">
        <f ca="1">AVERAGE(OFFSET($R$3,0,0,'Données projet'!$E$9+1,1))-AVERAGE(OFFSET($H$3,0,0,'Données projet'!$E$9+1,1))</f>
        <v>411.64357329340851</v>
      </c>
      <c r="T52" s="59">
        <f t="shared" si="34"/>
        <v>294.07942258675632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62.151905746357102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8.8736263736263741</v>
      </c>
      <c r="AI52" s="13">
        <f>IF('Données projet'!$A$62&gt;35,AI51+AH52-AQ51,IF(A52&lt;'Données projet'!$A$62,$AF$205^A52,IF(A52='Données projet'!$A$62,'Données projet'!$B$62,AI51+AH52-AQ51)))</f>
        <v>145.20054945054954</v>
      </c>
      <c r="AJ52" s="13">
        <f>AI52*VLOOKUP('Données projet'!$B$10,Paramètres!$A$1:$I$89,3,0)*VLOOKUP('Données projet'!$B$10,Paramètres!$A$1:$I$89,5,0)</f>
        <v>147.23335714285724</v>
      </c>
      <c r="AK52" s="13">
        <f t="shared" si="35"/>
        <v>37.949176511309943</v>
      </c>
      <c r="AL52" s="20">
        <f t="shared" si="4"/>
        <v>322.52624611434112</v>
      </c>
      <c r="AM52" s="59">
        <f t="shared" si="5"/>
        <v>587.08323385098379</v>
      </c>
      <c r="AN52" s="59">
        <f ca="1">AVERAGE(OFFSET($AM$3,0,0,'Données projet'!$E$10+1,1))-AVERAGE(OFFSET($H$3,0,0,'Données projet'!$E$10+1,1))</f>
        <v>453.05577105995508</v>
      </c>
      <c r="AO52" s="59">
        <f t="shared" si="36"/>
        <v>322.6839824496758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62.151905746357102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3.5192307692307692</v>
      </c>
      <c r="BD52" s="12">
        <f>IF('Données projet'!$A$88&gt;35,BD51+BC52-BL51,IF(A52&lt;'Données projet'!$A$88,$BA$205^A52,IF(A52='Données projet'!$A$88,'Données projet'!$B$88,BD51+BC52-BL51)))</f>
        <v>123.60897435897442</v>
      </c>
      <c r="BE52" s="13">
        <f>BD52*VLOOKUP('Données projet'!$B$11,Paramètres!$A$1:$I$89,3,0)*VLOOKUP('Données projet'!$B$11,Paramètres!$A$1:$I$89,5,0)</f>
        <v>123.41120000000006</v>
      </c>
      <c r="BF52" s="13">
        <f t="shared" si="37"/>
        <v>32.469303117659791</v>
      </c>
      <c r="BG52" s="20">
        <f t="shared" si="7"/>
        <v>271.49187626325755</v>
      </c>
      <c r="BH52" s="59">
        <f t="shared" si="8"/>
        <v>536.04886399990028</v>
      </c>
      <c r="BI52" s="59">
        <f ca="1">AVERAGE(OFFSET($BH$3,0,0,'Données projet'!$E$11+1,1))-AVERAGE(OFFSET($H$3,0,0,'Données projet'!$E$11+1,1))</f>
        <v>411.38162678377478</v>
      </c>
      <c r="BJ52" s="59">
        <f t="shared" si="38"/>
        <v>177.89903563360403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62.151905746357102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</v>
      </c>
      <c r="BY52" s="12">
        <f>IF('Données projet'!$A$114&gt;35,BY51+BX52-CG51,IF(A52&lt;'Données projet'!$A$114,$BV$205^A52,IF(A52='Données projet'!$A$114,'Données projet'!$B$114,BY51+BX52-CG51)))</f>
        <v>167.00000000000003</v>
      </c>
      <c r="BZ52" s="13">
        <f>BY52*VLOOKUP('Données projet'!$B$12,Paramètres!$A$1:$I$89,3,0)*VLOOKUP('Données projet'!$B$12,Paramètres!$A$1:$I$89,5,0)</f>
        <v>174.54840000000004</v>
      </c>
      <c r="CA52" s="13">
        <f t="shared" si="39"/>
        <v>44.107143191738089</v>
      </c>
      <c r="CB52" s="20">
        <f t="shared" si="10"/>
        <v>380.82507105894388</v>
      </c>
      <c r="CC52" s="59">
        <f t="shared" si="11"/>
        <v>645.38205879558654</v>
      </c>
      <c r="CD52" s="59">
        <f ca="1">AVERAGE(OFFSET($CC$3,0,0,'Données projet'!$E$12+1,1))-AVERAGE(OFFSET($H$3,0,0,'Données projet'!$E$12+1,1))</f>
        <v>374.38550202939507</v>
      </c>
      <c r="CE52" s="59">
        <f t="shared" si="40"/>
        <v>324.37486924296718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8.0637964196261791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8.0637964196261791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62.151905746357102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6.826007326007324</v>
      </c>
      <c r="CT52" s="12">
        <f>IF('Données projet'!$A$140&gt;35,CT51+CS52-DB51,IF(A52&lt;'Données projet'!$A$140,$CQ$205^A52,IF(A52='Données projet'!$A$140,'Données projet'!$B$140,CT51+CS52-DB51)))</f>
        <v>132.13644688644683</v>
      </c>
      <c r="CU52" s="17">
        <f>CT52*VLOOKUP('Données projet'!$B$13,Paramètres!$A$1:$I$89,3,0)*VLOOKUP('Données projet'!$B$13,Paramètres!$A$1:$I$89,5,0)</f>
        <v>125.74104285714282</v>
      </c>
      <c r="CV52" s="13">
        <f t="shared" si="41"/>
        <v>33.010339677556644</v>
      </c>
      <c r="CW52" s="20">
        <f t="shared" si="13"/>
        <v>276.49199124793489</v>
      </c>
      <c r="CX52" s="59">
        <f t="shared" si="14"/>
        <v>541.04897898457762</v>
      </c>
      <c r="CY52" s="59">
        <f ca="1">AVERAGE(OFFSET($CX$3,0,0,'Données projet'!$E$13+1,1))-AVERAGE(OFFSET($H$3,0,0,'Données projet'!$E$13+1,1))</f>
        <v>392.81074187112989</v>
      </c>
      <c r="CZ52" s="59">
        <f t="shared" si="42"/>
        <v>236.19146849073687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62.151905746357102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6.826007326007324</v>
      </c>
      <c r="DO52" s="12">
        <f>IF('Données projet'!$A$166&gt;35,DO51+DN52-DW51,IF(A52&lt;'Données projet'!$A$166,$DL$205^A52,IF(A52='Données projet'!$A$166,'Données projet'!$B$166,DO51+DN52-DW51)))</f>
        <v>132.13644688644683</v>
      </c>
      <c r="DP52" s="17">
        <f>DO52*VLOOKUP('Données projet'!$B$14,Paramètres!$A$1:$I$89,3,0)*VLOOKUP('Données projet'!$B$14,Paramètres!$A$1:$I$89,5,0)</f>
        <v>142.23167142857136</v>
      </c>
      <c r="DQ52" s="13">
        <f t="shared" si="43"/>
        <v>36.80777857031412</v>
      </c>
      <c r="DR52" s="20">
        <f t="shared" si="16"/>
        <v>311.82704208139222</v>
      </c>
      <c r="DS52" s="59">
        <f t="shared" si="17"/>
        <v>576.38402981803495</v>
      </c>
      <c r="DT52" s="59">
        <f ca="1">AVERAGE(OFFSET($DS$3,0,0,'Données projet'!$E$14+1,1))-AVERAGE(OFFSET($H$3,0,0,'Données projet'!$E$14+1,1))</f>
        <v>434.77799524785502</v>
      </c>
      <c r="DU52" s="59">
        <f t="shared" si="44"/>
        <v>259.85949838170006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62.151905746357102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6.826007326007324</v>
      </c>
      <c r="EJ52" s="12">
        <f>IF('Données projet'!$A$192&gt;35,EJ51+EI52-ER51,IF(A52&lt;'Données projet'!$A$192,$EG$205^A52,IF(A52='Données projet'!$A$192,'Données projet'!$B$192,EJ51+EI52-ER51)))</f>
        <v>132.13644688644683</v>
      </c>
      <c r="EK52" s="17">
        <f>EJ52*VLOOKUP('Données projet'!$B$15,Paramètres!$A$1:$I$89,3,0)*VLOOKUP('Données projet'!$B$15,Paramètres!$A$1:$I$89,5,0)</f>
        <v>127.80237142857139</v>
      </c>
      <c r="EL52" s="13">
        <f t="shared" si="45"/>
        <v>33.488049109916332</v>
      </c>
      <c r="EM52" s="20">
        <f t="shared" si="19"/>
        <v>280.91414910453278</v>
      </c>
      <c r="EN52" s="59">
        <f t="shared" si="20"/>
        <v>545.47113684117551</v>
      </c>
      <c r="EO52" s="59">
        <f ca="1">AVERAGE(OFFSET($EN$3,0,0,'Données projet'!$E$15+1,1))-AVERAGE(OFFSET($H$3,0,0,'Données projet'!$E$15+1,1))</f>
        <v>398.06270423055565</v>
      </c>
      <c r="EP52" s="59">
        <f t="shared" si="46"/>
        <v>239.15364562040614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62.151905746357102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12.837499999999991</v>
      </c>
      <c r="FE52" s="12">
        <f>IF('Données projet'!$A$218&gt;35,FE51+FD52-FM51,IF(A52&lt;'Données projet'!$A$218,$FB$205^A52,IF(A52='Données projet'!$A$218,'Données projet'!$B$218,FE51+FD52-FM51)))</f>
        <v>356.614423076923</v>
      </c>
      <c r="FF52" s="17">
        <f>FE52*VLOOKUP('Données projet'!$B$16,Paramètres!$A$1:$I$89,3,0)*VLOOKUP('Données projet'!$B$16,Paramètres!$A$1:$I$89,5,0)</f>
        <v>213.25542499999997</v>
      </c>
      <c r="FG52" s="13">
        <f t="shared" si="47"/>
        <v>52.646339807871037</v>
      </c>
      <c r="FH52" s="20">
        <f t="shared" si="22"/>
        <v>463.11224037370863</v>
      </c>
      <c r="FI52" s="59">
        <f t="shared" si="23"/>
        <v>727.66922811035136</v>
      </c>
      <c r="FJ52" s="59">
        <f ca="1">AVERAGE(OFFSET($FI$3,0,0,'Données projet'!$E$16+1,1))-AVERAGE(OFFSET($H$3,0,0,'Données projet'!$E$16+1,1))</f>
        <v>334.13861979962491</v>
      </c>
      <c r="FK52" s="59">
        <f t="shared" si="48"/>
        <v>416.48635183664305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58.905327232555059</v>
      </c>
      <c r="FR52" s="21">
        <f>EXP(-LN(2)/25)*FR51+(1-EXP(-LN(2)/25))/(LN(2)/25)*Calculateur!FM52*Calculateur!FO52*VLOOKUP('Données projet'!$B$16,Paramètres!$A$1:$I$89,3,0)*0.475*44/12</f>
        <v>21.284495318586895</v>
      </c>
      <c r="FS52" s="21">
        <f>EXP(-LN(2)/2)*FS51+(1-EXP(-LN(2)/2))/(LN(2)/2)*FM52*FP52*VLOOKUP('Données projet'!$B$16,Paramètres!$A$1:$I$89,3,0)*0.475*44/12</f>
        <v>5.6907064548631912</v>
      </c>
      <c r="FT52" s="22">
        <f t="shared" si="24"/>
        <v>85.880529006005148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62.151905746357102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>
        <f>VLOOKUP(A52,'Données projet'!$A$243:$I$263,2,0)</f>
        <v>339.85384615384612</v>
      </c>
      <c r="FX52" s="12">
        <f>VLOOKUP(A52,'Données projet'!$A$243:$I$263,9,0)</f>
        <v>15.618681318681309</v>
      </c>
      <c r="FY52" s="12">
        <f t="array" ref="FY52">INDEX(FX:FX,MIN(IF(ISNUMBER(FX52:FX248),ROW(FX52:FX248),"")))</f>
        <v>15.618681318681309</v>
      </c>
      <c r="FZ52" s="12">
        <f>IF('Données projet'!$A$244&gt;35,FZ51+FY52-GH51,IF(A52&lt;'Données projet'!$A$244,$FW$205^A52,IF(A52='Données projet'!$A$244,'Données projet'!$B$244,FZ51+FY52-GH51)))</f>
        <v>339.85384615384618</v>
      </c>
      <c r="GA52" s="17">
        <f>FZ52*VLOOKUP('Données projet'!$B$17,Paramètres!$A$1:$I$89,3,0)*VLOOKUP('Données projet'!$B$17,Paramètres!$A$1:$I$89,5,0)</f>
        <v>159.05160000000001</v>
      </c>
      <c r="GB52" s="13">
        <f t="shared" si="49"/>
        <v>40.628527179850586</v>
      </c>
      <c r="GC52" s="20">
        <f t="shared" si="25"/>
        <v>347.77622150490646</v>
      </c>
      <c r="GD52" s="59">
        <f t="shared" si="26"/>
        <v>612.33320924154918</v>
      </c>
      <c r="GE52" s="59">
        <f ca="1">AVERAGE(OFFSET($GD$3,0,0,'Données projet'!$E$17+1,1))-AVERAGE(OFFSET($H$3,0,0,'Données projet'!$E$17+1,1))</f>
        <v>317.79829681023142</v>
      </c>
      <c r="GF52" s="59">
        <f t="shared" si="50"/>
        <v>275.07716943523621</v>
      </c>
      <c r="GG52" s="15">
        <f>IF(ISNA(VLOOKUP(A52,'Données projet'!$A$243:$I$263,3,0)),0,VLOOKUP(A52,'Données projet'!$A$243:$I$263,3,0))</f>
        <v>2</v>
      </c>
      <c r="GH52" s="15">
        <f>IF(ISNA(VLOOKUP(A52,'Données projet'!$A$243:$I$263,4,0)),0,VLOOKUP(A52,'Données projet'!$A$243:$I$263,4,0))</f>
        <v>94.476923076923072</v>
      </c>
      <c r="GI52" s="16">
        <f>IF(ISNA(VLOOKUP(A52,'Données projet'!$A$243:$I$263,5,0)),0%,VLOOKUP(A52,'Données projet'!$A$243:$I$263,5,0)*VLOOKUP('Données projet'!$B$17,Paramètres!$A$1:$I$89,7,0))</f>
        <v>0.38500000000000001</v>
      </c>
      <c r="GJ52" s="16">
        <f>IF(ISNA(VLOOKUP(A52,'Données projet'!$A$243:$I$263,6,0)),0%,VLOOKUP(A52,'Données projet'!$A$243:$I$263,6,0)*VLOOKUP('Données projet'!$B$17,Paramètres!$A$1:$I$89,7,0))</f>
        <v>9.240000000000001E-2</v>
      </c>
      <c r="GK52" s="16">
        <f>IF(ISNA(VLOOKUP(A52,'Données projet'!$A$243:$I$263,7,0)),0%,VLOOKUP(A52,'Données projet'!$A$243:$I$263,7,0))</f>
        <v>0.13200000000000001</v>
      </c>
      <c r="GL52" s="21">
        <f>EXP(-LN(2)/35)*GL51+(1-EXP(-LN(2)/35))/(LN(2)/35)*GH52*GI52*VLOOKUP('Données projet'!$B$17,Paramètres!$A$1:$I$89,3,0)*0.475*44/12</f>
        <v>22.581910393407885</v>
      </c>
      <c r="GM52" s="21">
        <f>EXP(-LN(2)/25)*GM51+(1-EXP(-LN(2)/25))/(LN(2)/25)*Calculateur!GH52*Calculateur!GJ52*VLOOKUP('Données projet'!$B$17,Paramètres!$A$1:$I$89,3,0)*0.475*44/12</f>
        <v>33.609698765562619</v>
      </c>
      <c r="GN52" s="21">
        <f>EXP(-LN(2)/2)*GN51+(1-EXP(-LN(2)/2))/(LN(2)/2)*GH52*GK52*VLOOKUP('Données projet'!$B$17,Paramètres!$A$1:$I$89,3,0)*0.475*44/12</f>
        <v>10.314379661804189</v>
      </c>
      <c r="GO52" s="21">
        <f t="shared" si="27"/>
        <v>66.505988820774689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62.151905746357102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>
        <f>VLOOKUP(A52,'Données projet'!$A$269:$I$289,2,0)</f>
        <v>404.56923076923078</v>
      </c>
      <c r="GS52" s="12">
        <f>VLOOKUP(A52,'Données projet'!$A$269:$I$289,9,0)</f>
        <v>17.519780219780223</v>
      </c>
      <c r="GT52" s="12">
        <f t="array" ref="GT52">INDEX(GS:GS,MIN(IF(ISNUMBER(GS52:GS248),ROW(GS52:GS248),"")))</f>
        <v>17.519780219780223</v>
      </c>
      <c r="GU52" s="12">
        <f>IF('Données projet'!$A$270&gt;35,GU51+GT52-HC51,IF(A52&lt;'Données projet'!$A$270,$GR$205^A52,IF(A52='Données projet'!$A$270,'Données projet'!$B$270,GU51+GT52-HC51)))</f>
        <v>404.56923076923078</v>
      </c>
      <c r="GV52" s="17">
        <f>GU52*VLOOKUP('Données projet'!$B$18,Paramètres!$A$1:$I$89,3,0)*VLOOKUP('Données projet'!$B$18,Paramètres!$A$1:$I$89,5,0)</f>
        <v>226.1542</v>
      </c>
      <c r="GW52" s="13">
        <f t="shared" si="51"/>
        <v>55.450315347427015</v>
      </c>
      <c r="GX52" s="20">
        <f t="shared" si="28"/>
        <v>490.46119756343541</v>
      </c>
      <c r="GY52" s="59">
        <f t="shared" si="29"/>
        <v>755.01818530007813</v>
      </c>
      <c r="GZ52" s="59">
        <f ca="1">AVERAGE(OFFSET($GY$3,0,0,'Données projet'!$E$18+1,1))-AVERAGE(OFFSET($H$3,0,0,'Données projet'!$E$18+1,1))</f>
        <v>336.21787234885699</v>
      </c>
      <c r="HA52" s="59">
        <f t="shared" si="52"/>
        <v>315.36156736899113</v>
      </c>
      <c r="HB52" s="15">
        <f>IF(ISNA(VLOOKUP(A52,'Données projet'!$A$269:$I$289,3,0)),0,VLOOKUP(A52,'Données projet'!$A$269:$I$289,3,0))</f>
        <v>5</v>
      </c>
      <c r="HC52" s="15">
        <f>IF(ISNA(VLOOKUP(A52,'Données projet'!$A$269:$I$289,4,0)),0,VLOOKUP(A52,'Données projet'!$A$269:$I$289,4,0))</f>
        <v>90.453846153846158</v>
      </c>
      <c r="HD52" s="16">
        <f>IF(ISNA(VLOOKUP(A52,'Données projet'!$A$269:$I$289,5,0)),0%,VLOOKUP(A52,'Données projet'!$A$269:$I$289,5,0)*VLOOKUP('Données projet'!$B$18,Paramètres!$A$1:$I$89,7,0))</f>
        <v>0.38500000000000001</v>
      </c>
      <c r="HE52" s="16">
        <f>IF(ISNA(VLOOKUP(A52,'Données projet'!$A$269:$I$289,6,0)),0%,VLOOKUP(A52,'Données projet'!$A$269:$I$289,6,0)*VLOOKUP('Données projet'!$B$18,Paramètres!$A$1:$I$89,7,0))</f>
        <v>9.240000000000001E-2</v>
      </c>
      <c r="HF52" s="16">
        <f>IF(ISNA(VLOOKUP(A52,'Données projet'!$A$269:$I$289,7,0)),0%,VLOOKUP(A52,'Données projet'!$A$269:$I$289,7,0))</f>
        <v>0.13200000000000001</v>
      </c>
      <c r="HG52" s="21">
        <f>EXP(-LN(2)/35)*HG51+(1-EXP(-LN(2)/35))/(LN(2)/35)*HC52*HD52*VLOOKUP('Données projet'!$B$18,Paramètres!$A$1:$I$89,3,0)*0.475*44/12</f>
        <v>61.127527531305603</v>
      </c>
      <c r="HH52" s="21">
        <f>EXP(-LN(2)/25)*HH51+(1-EXP(-LN(2)/25))/(LN(2)/25)*Calculateur!HC52*Calculateur!HE52*VLOOKUP('Données projet'!$B$18,Paramètres!$A$1:$I$89,3,0)*0.475*44/12</f>
        <v>27.607510848175917</v>
      </c>
      <c r="HI52" s="21">
        <f>EXP(-LN(2)/2)*HI51+(1-EXP(-LN(2)/2))/(LN(2)/2)*HC52*HF52*VLOOKUP('Données projet'!$B$18,Paramètres!$A$1:$I$89,3,0)*0.475*44/12</f>
        <v>8.2106758984533919</v>
      </c>
      <c r="HJ52" s="22">
        <f t="shared" si="30"/>
        <v>96.945714277934911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3.7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13.566666666666668</v>
      </c>
      <c r="H53" s="67">
        <f t="shared" si="1"/>
        <v>202.4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62.288052635947594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154.07417582417591</v>
      </c>
      <c r="O53" s="13">
        <f>N53*VLOOKUP('Données projet'!$B$9,Paramètres!$A$1:$I$89,3,0)*VLOOKUP('Données projet'!$B$9,Paramètres!$A$1:$I$89,5,0)</f>
        <v>139.40631428571436</v>
      </c>
      <c r="P53" s="13">
        <f t="shared" si="33"/>
        <v>36.160966815041384</v>
      </c>
      <c r="Q53" s="20">
        <f t="shared" si="53"/>
        <v>305.77968125048289</v>
      </c>
      <c r="R53" s="59">
        <f t="shared" si="0"/>
        <v>570.83587424895745</v>
      </c>
      <c r="S53" s="59">
        <f ca="1">AVERAGE(OFFSET($R$3,0,0,'Données projet'!$E$9+1,1))-AVERAGE(OFFSET($H$3,0,0,'Données projet'!$E$9+1,1))</f>
        <v>411.64357329340851</v>
      </c>
      <c r="T53" s="59">
        <f t="shared" si="34"/>
        <v>294.07942258675632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62.288052635947594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8.8736263736263741</v>
      </c>
      <c r="AI53" s="13">
        <f>IF('Données projet'!$A$62&gt;35,AI52+AH53-AQ52,IF(A53&lt;'Données projet'!$A$62,$AF$205^A53,IF(A53='Données projet'!$A$62,'Données projet'!$B$62,AI52+AH53-AQ52)))</f>
        <v>154.07417582417591</v>
      </c>
      <c r="AJ53" s="13">
        <f>AI53*VLOOKUP('Données projet'!$B$10,Paramètres!$A$1:$I$89,3,0)*VLOOKUP('Données projet'!$B$10,Paramètres!$A$1:$I$89,5,0)</f>
        <v>156.23121428571437</v>
      </c>
      <c r="AK53" s="13">
        <f t="shared" si="35"/>
        <v>39.991279580917869</v>
      </c>
      <c r="AL53" s="20">
        <f t="shared" si="4"/>
        <v>341.75417681771779</v>
      </c>
      <c r="AM53" s="59">
        <f t="shared" si="5"/>
        <v>606.81036981619229</v>
      </c>
      <c r="AN53" s="59">
        <f ca="1">AVERAGE(OFFSET($AM$3,0,0,'Données projet'!$E$10+1,1))-AVERAGE(OFFSET($H$3,0,0,'Données projet'!$E$10+1,1))</f>
        <v>453.05577105995508</v>
      </c>
      <c r="AO53" s="59">
        <f t="shared" si="36"/>
        <v>322.6839824496758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62.288052635947594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3.5192307692307692</v>
      </c>
      <c r="BD53" s="12">
        <f>IF('Données projet'!$A$88&gt;35,BD52+BC53-BL52,IF(A53&lt;'Données projet'!$A$88,$BA$205^A53,IF(A53='Données projet'!$A$88,'Données projet'!$B$88,BD52+BC53-BL52)))</f>
        <v>127.1282051282052</v>
      </c>
      <c r="BE53" s="13">
        <f>BD53*VLOOKUP('Données projet'!$B$11,Paramètres!$A$1:$I$89,3,0)*VLOOKUP('Données projet'!$B$11,Paramètres!$A$1:$I$89,5,0)</f>
        <v>126.92480000000008</v>
      </c>
      <c r="BF53" s="13">
        <f t="shared" si="37"/>
        <v>33.284783883206451</v>
      </c>
      <c r="BG53" s="20">
        <f t="shared" si="7"/>
        <v>279.03169192991805</v>
      </c>
      <c r="BH53" s="59">
        <f t="shared" si="8"/>
        <v>544.08788492839255</v>
      </c>
      <c r="BI53" s="59">
        <f ca="1">AVERAGE(OFFSET($BH$3,0,0,'Données projet'!$E$11+1,1))-AVERAGE(OFFSET($H$3,0,0,'Données projet'!$E$11+1,1))</f>
        <v>411.38162678377478</v>
      </c>
      <c r="BJ53" s="59">
        <f t="shared" si="38"/>
        <v>177.89903563360403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62.288052635947594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173</v>
      </c>
      <c r="BW53" s="12">
        <f>VLOOKUP(A53,'Données projet'!$A$113:$I$133,9,0)</f>
        <v>6</v>
      </c>
      <c r="BX53" s="12">
        <f t="array" ref="BX53">INDEX(BW:BW,MIN(IF(ISNUMBER(BW53:BW249),ROW(BW53:BW249),"")))</f>
        <v>6</v>
      </c>
      <c r="BY53" s="12">
        <f>IF('Données projet'!$A$114&gt;35,BY52+BX53-CG52,IF(A53&lt;'Données projet'!$A$114,$BV$205^A53,IF(A53='Données projet'!$A$114,'Données projet'!$B$114,BY52+BX53-CG52)))</f>
        <v>173.00000000000003</v>
      </c>
      <c r="BZ53" s="13">
        <f>BY53*VLOOKUP('Données projet'!$B$12,Paramètres!$A$1:$I$89,3,0)*VLOOKUP('Données projet'!$B$12,Paramètres!$A$1:$I$89,5,0)</f>
        <v>180.81960000000004</v>
      </c>
      <c r="CA53" s="13">
        <f t="shared" si="39"/>
        <v>45.504483825620213</v>
      </c>
      <c r="CB53" s="20">
        <f t="shared" si="10"/>
        <v>394.18111266295523</v>
      </c>
      <c r="CC53" s="59">
        <f t="shared" si="11"/>
        <v>659.23730566142967</v>
      </c>
      <c r="CD53" s="59">
        <f ca="1">AVERAGE(OFFSET($CC$3,0,0,'Données projet'!$E$12+1,1))-AVERAGE(OFFSET($H$3,0,0,'Données projet'!$E$12+1,1))</f>
        <v>374.38550202939507</v>
      </c>
      <c r="CE53" s="59">
        <f t="shared" si="40"/>
        <v>324.37486924296718</v>
      </c>
      <c r="CF53" s="15">
        <f>IF(ISNA(VLOOKUP(A53,'Données projet'!$A$113:$I$133,3,0)),0,VLOOKUP(A53,'Données projet'!$A$113:$I$133,3,0))</f>
        <v>7</v>
      </c>
      <c r="CG53" s="15" t="str">
        <f>IF(ISNA(VLOOKUP(A53,'Données projet'!$A$113:$I$133,4,0)),0,VLOOKUP(A53,'Données projet'!$A$113:$I$133,4,0))</f>
        <v>18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0.215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12.297228980718433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12.297228980718433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62.288052635947594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6.826007326007324</v>
      </c>
      <c r="CT53" s="12">
        <f>IF('Données projet'!$A$140&gt;35,CT52+CS53-DB52,IF(A53&lt;'Données projet'!$A$140,$CQ$205^A53,IF(A53='Données projet'!$A$140,'Données projet'!$B$140,CT52+CS53-DB52)))</f>
        <v>138.96245421245416</v>
      </c>
      <c r="CU53" s="17">
        <f>CT53*VLOOKUP('Données projet'!$B$13,Paramètres!$A$1:$I$89,3,0)*VLOOKUP('Données projet'!$B$13,Paramètres!$A$1:$I$89,5,0)</f>
        <v>132.23667142857138</v>
      </c>
      <c r="CV53" s="13">
        <f t="shared" si="41"/>
        <v>34.512674190898878</v>
      </c>
      <c r="CW53" s="20">
        <f t="shared" si="13"/>
        <v>290.42177695391069</v>
      </c>
      <c r="CX53" s="59">
        <f t="shared" si="14"/>
        <v>555.47796995238514</v>
      </c>
      <c r="CY53" s="59">
        <f ca="1">AVERAGE(OFFSET($CX$3,0,0,'Données projet'!$E$13+1,1))-AVERAGE(OFFSET($H$3,0,0,'Données projet'!$E$13+1,1))</f>
        <v>392.81074187112989</v>
      </c>
      <c r="CZ53" s="59">
        <f t="shared" si="42"/>
        <v>236.19146849073687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62.288052635947594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6.826007326007324</v>
      </c>
      <c r="DO53" s="12">
        <f>IF('Données projet'!$A$166&gt;35,DO52+DN53-DW52,IF(A53&lt;'Données projet'!$A$166,$DL$205^A53,IF(A53='Données projet'!$A$166,'Données projet'!$B$166,DO52+DN53-DW52)))</f>
        <v>138.96245421245416</v>
      </c>
      <c r="DP53" s="17">
        <f>DO53*VLOOKUP('Données projet'!$B$14,Paramètres!$A$1:$I$89,3,0)*VLOOKUP('Données projet'!$B$14,Paramètres!$A$1:$I$89,5,0)</f>
        <v>149.57918571428564</v>
      </c>
      <c r="DQ53" s="13">
        <f t="shared" si="43"/>
        <v>38.482938433732244</v>
      </c>
      <c r="DR53" s="20">
        <f t="shared" si="16"/>
        <v>327.54153289113111</v>
      </c>
      <c r="DS53" s="59">
        <f t="shared" si="17"/>
        <v>592.59772588960561</v>
      </c>
      <c r="DT53" s="59">
        <f ca="1">AVERAGE(OFFSET($DS$3,0,0,'Données projet'!$E$14+1,1))-AVERAGE(OFFSET($H$3,0,0,'Données projet'!$E$14+1,1))</f>
        <v>434.77799524785502</v>
      </c>
      <c r="DU53" s="59">
        <f t="shared" si="44"/>
        <v>259.85949838170006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62.288052635947594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6.826007326007324</v>
      </c>
      <c r="EJ53" s="12">
        <f>IF('Données projet'!$A$192&gt;35,EJ52+EI53-ER52,IF(A53&lt;'Données projet'!$A$192,$EG$205^A53,IF(A53='Données projet'!$A$192,'Données projet'!$B$192,EJ52+EI53-ER52)))</f>
        <v>138.96245421245416</v>
      </c>
      <c r="EK53" s="17">
        <f>EJ53*VLOOKUP('Données projet'!$B$15,Paramètres!$A$1:$I$89,3,0)*VLOOKUP('Données projet'!$B$15,Paramètres!$A$1:$I$89,5,0)</f>
        <v>134.40448571428567</v>
      </c>
      <c r="EL53" s="13">
        <f t="shared" si="45"/>
        <v>35.012124670899802</v>
      </c>
      <c r="EM53" s="20">
        <f t="shared" si="19"/>
        <v>295.06726308753133</v>
      </c>
      <c r="EN53" s="59">
        <f t="shared" si="20"/>
        <v>560.12345608600583</v>
      </c>
      <c r="EO53" s="59">
        <f ca="1">AVERAGE(OFFSET($EN$3,0,0,'Données projet'!$E$15+1,1))-AVERAGE(OFFSET($H$3,0,0,'Données projet'!$E$15+1,1))</f>
        <v>398.06270423055565</v>
      </c>
      <c r="EP53" s="59">
        <f t="shared" si="46"/>
        <v>239.15364562040614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62.288052635947594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12.837499999999991</v>
      </c>
      <c r="FE53" s="12">
        <f>IF('Données projet'!$A$218&gt;35,FE52+FD53-FM52,IF(A53&lt;'Données projet'!$A$218,$FB$205^A53,IF(A53='Données projet'!$A$218,'Données projet'!$B$218,FE52+FD53-FM52)))</f>
        <v>369.45192307692298</v>
      </c>
      <c r="FF53" s="17">
        <f>FE53*VLOOKUP('Données projet'!$B$16,Paramètres!$A$1:$I$89,3,0)*VLOOKUP('Données projet'!$B$16,Paramètres!$A$1:$I$89,5,0)</f>
        <v>220.93224999999995</v>
      </c>
      <c r="FG53" s="13">
        <f t="shared" si="47"/>
        <v>54.31745576001893</v>
      </c>
      <c r="FH53" s="20">
        <f t="shared" si="22"/>
        <v>479.3932375320328</v>
      </c>
      <c r="FI53" s="59">
        <f t="shared" si="23"/>
        <v>744.44943053050724</v>
      </c>
      <c r="FJ53" s="59">
        <f ca="1">AVERAGE(OFFSET($FI$3,0,0,'Données projet'!$E$16+1,1))-AVERAGE(OFFSET($H$3,0,0,'Données projet'!$E$16+1,1))</f>
        <v>334.13861979962491</v>
      </c>
      <c r="FK53" s="59">
        <f t="shared" si="48"/>
        <v>416.48635183664305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57.750229694226604</v>
      </c>
      <c r="FR53" s="21">
        <f>EXP(-LN(2)/25)*FR52+(1-EXP(-LN(2)/25))/(LN(2)/25)*Calculateur!FM53*Calculateur!FO53*VLOOKUP('Données projet'!$B$16,Paramètres!$A$1:$I$89,3,0)*0.475*44/12</f>
        <v>20.702469674797175</v>
      </c>
      <c r="FS53" s="21">
        <f>EXP(-LN(2)/2)*FS52+(1-EXP(-LN(2)/2))/(LN(2)/2)*FM53*FP53*VLOOKUP('Données projet'!$B$16,Paramètres!$A$1:$I$89,3,0)*0.475*44/12</f>
        <v>4.0239371239758199</v>
      </c>
      <c r="FT53" s="22">
        <f t="shared" si="24"/>
        <v>82.476636492999603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62.288052635947594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14.668131868131875</v>
      </c>
      <c r="FZ53" s="12">
        <f>IF('Données projet'!$A$244&gt;35,FZ52+FY53-GH52,IF(A53&lt;'Données projet'!$A$244,$FW$205^A53,IF(A53='Données projet'!$A$244,'Données projet'!$B$244,FZ52+FY53-GH52)))</f>
        <v>260.04505494505497</v>
      </c>
      <c r="GA53" s="17">
        <f>FZ53*VLOOKUP('Données projet'!$B$17,Paramètres!$A$1:$I$89,3,0)*VLOOKUP('Données projet'!$B$17,Paramètres!$A$1:$I$89,5,0)</f>
        <v>121.70108571428571</v>
      </c>
      <c r="GB53" s="13">
        <f t="shared" si="49"/>
        <v>32.071423986344442</v>
      </c>
      <c r="GC53" s="20">
        <f t="shared" si="25"/>
        <v>267.82045439526422</v>
      </c>
      <c r="GD53" s="59">
        <f t="shared" si="26"/>
        <v>532.87664739373872</v>
      </c>
      <c r="GE53" s="59">
        <f ca="1">AVERAGE(OFFSET($GD$3,0,0,'Données projet'!$E$17+1,1))-AVERAGE(OFFSET($H$3,0,0,'Données projet'!$E$17+1,1))</f>
        <v>317.79829681023142</v>
      </c>
      <c r="GF53" s="59">
        <f t="shared" si="50"/>
        <v>275.07716943523621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22.139092904198467</v>
      </c>
      <c r="GM53" s="21">
        <f>EXP(-LN(2)/25)*GM52+(1-EXP(-LN(2)/25))/(LN(2)/25)*Calculateur!GH53*Calculateur!GJ53*VLOOKUP('Données projet'!$B$17,Paramètres!$A$1:$I$89,3,0)*0.475*44/12</f>
        <v>32.690639785361064</v>
      </c>
      <c r="GN53" s="21">
        <f>EXP(-LN(2)/2)*GN52+(1-EXP(-LN(2)/2))/(LN(2)/2)*GH53*GK53*VLOOKUP('Données projet'!$B$17,Paramètres!$A$1:$I$89,3,0)*0.475*44/12</f>
        <v>7.2933678025943509</v>
      </c>
      <c r="GO53" s="21">
        <f t="shared" si="27"/>
        <v>62.123100492153888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62.288052635947594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16.227472527472521</v>
      </c>
      <c r="GU53" s="12">
        <f>IF('Données projet'!$A$270&gt;35,GU52+GT53-HC52,IF(A53&lt;'Données projet'!$A$270,$GR$205^A53,IF(A53='Données projet'!$A$270,'Données projet'!$B$270,GU52+GT53-HC52)))</f>
        <v>330.34285714285716</v>
      </c>
      <c r="GV53" s="17">
        <f>GU53*VLOOKUP('Données projet'!$B$18,Paramètres!$A$1:$I$89,3,0)*VLOOKUP('Données projet'!$B$18,Paramètres!$A$1:$I$89,5,0)</f>
        <v>184.66165714285717</v>
      </c>
      <c r="GW53" s="13">
        <f t="shared" si="51"/>
        <v>46.357770619215231</v>
      </c>
      <c r="GX53" s="20">
        <f t="shared" si="28"/>
        <v>402.35883668560945</v>
      </c>
      <c r="GY53" s="59">
        <f t="shared" si="29"/>
        <v>667.41502968408395</v>
      </c>
      <c r="GZ53" s="59">
        <f ca="1">AVERAGE(OFFSET($GY$3,0,0,'Données projet'!$E$18+1,1))-AVERAGE(OFFSET($H$3,0,0,'Données projet'!$E$18+1,1))</f>
        <v>336.21787234885699</v>
      </c>
      <c r="HA53" s="59">
        <f t="shared" si="52"/>
        <v>315.36156736899113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59.928854000526997</v>
      </c>
      <c r="HH53" s="21">
        <f>EXP(-LN(2)/25)*HH52+(1-EXP(-LN(2)/25))/(LN(2)/25)*Calculateur!HC53*Calculateur!HE53*VLOOKUP('Données projet'!$B$18,Paramètres!$A$1:$I$89,3,0)*0.475*44/12</f>
        <v>26.852582012216647</v>
      </c>
      <c r="HI53" s="21">
        <f>EXP(-LN(2)/2)*HI52+(1-EXP(-LN(2)/2))/(LN(2)/2)*HC53*HF53*VLOOKUP('Données projet'!$B$18,Paramètres!$A$1:$I$89,3,0)*0.475*44/12</f>
        <v>5.8058246059213428</v>
      </c>
      <c r="HJ53" s="22">
        <f t="shared" si="30"/>
        <v>92.587260618664985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3.7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13.566666666666668</v>
      </c>
      <c r="H54" s="67">
        <f t="shared" si="1"/>
        <v>202.4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62.421837681382542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162.94780219780228</v>
      </c>
      <c r="O54" s="13">
        <f>N54*VLOOKUP('Données projet'!$B$9,Paramètres!$A$1:$I$89,3,0)*VLOOKUP('Données projet'!$B$9,Paramètres!$A$1:$I$89,5,0)</f>
        <v>147.43517142857149</v>
      </c>
      <c r="P54" s="13">
        <f t="shared" si="33"/>
        <v>37.995135358244994</v>
      </c>
      <c r="Q54" s="20">
        <f t="shared" si="53"/>
        <v>322.95778432037201</v>
      </c>
      <c r="R54" s="59">
        <f t="shared" si="0"/>
        <v>588.50452248544138</v>
      </c>
      <c r="S54" s="59">
        <f ca="1">AVERAGE(OFFSET($R$3,0,0,'Données projet'!$E$9+1,1))-AVERAGE(OFFSET($H$3,0,0,'Données projet'!$E$9+1,1))</f>
        <v>411.64357329340851</v>
      </c>
      <c r="T54" s="59">
        <f t="shared" si="34"/>
        <v>294.07942258675632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62.421837681382542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8.8736263736263741</v>
      </c>
      <c r="AI54" s="13">
        <f>IF('Données projet'!$A$62&gt;35,AI53+AH54-AQ53,IF(A54&lt;'Données projet'!$A$62,$AF$205^A54,IF(A54='Données projet'!$A$62,'Données projet'!$B$62,AI53+AH54-AQ53)))</f>
        <v>162.94780219780228</v>
      </c>
      <c r="AJ54" s="13">
        <f>AI54*VLOOKUP('Données projet'!$B$10,Paramètres!$A$1:$I$89,3,0)*VLOOKUP('Données projet'!$B$10,Paramètres!$A$1:$I$89,5,0)</f>
        <v>165.22907142857153</v>
      </c>
      <c r="AK54" s="13">
        <f t="shared" si="35"/>
        <v>42.019730517668535</v>
      </c>
      <c r="AL54" s="20">
        <f t="shared" si="4"/>
        <v>360.95833005636814</v>
      </c>
      <c r="AM54" s="59">
        <f t="shared" si="5"/>
        <v>626.50506822143745</v>
      </c>
      <c r="AN54" s="59">
        <f ca="1">AVERAGE(OFFSET($AM$3,0,0,'Données projet'!$E$10+1,1))-AVERAGE(OFFSET($H$3,0,0,'Données projet'!$E$10+1,1))</f>
        <v>453.05577105995508</v>
      </c>
      <c r="AO54" s="59">
        <f t="shared" si="36"/>
        <v>322.6839824496758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62.421837681382542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3.5192307692307692</v>
      </c>
      <c r="BD54" s="12">
        <f>IF('Données projet'!$A$88&gt;35,BD53+BC54-BL53,IF(A54&lt;'Données projet'!$A$88,$BA$205^A54,IF(A54='Données projet'!$A$88,'Données projet'!$B$88,BD53+BC54-BL53)))</f>
        <v>130.64743589743597</v>
      </c>
      <c r="BE54" s="13">
        <f>BD54*VLOOKUP('Données projet'!$B$11,Paramètres!$A$1:$I$89,3,0)*VLOOKUP('Données projet'!$B$11,Paramètres!$A$1:$I$89,5,0)</f>
        <v>130.43840000000009</v>
      </c>
      <c r="BF54" s="13">
        <f t="shared" si="37"/>
        <v>34.097640843267641</v>
      </c>
      <c r="BG54" s="20">
        <f t="shared" si="7"/>
        <v>286.5669378020246</v>
      </c>
      <c r="BH54" s="59">
        <f t="shared" si="8"/>
        <v>552.11367596709397</v>
      </c>
      <c r="BI54" s="59">
        <f ca="1">AVERAGE(OFFSET($BH$3,0,0,'Données projet'!$E$11+1,1))-AVERAGE(OFFSET($H$3,0,0,'Données projet'!$E$11+1,1))</f>
        <v>411.38162678377478</v>
      </c>
      <c r="BJ54" s="59">
        <f t="shared" si="38"/>
        <v>177.89903563360403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62.421837681382542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5.2</v>
      </c>
      <c r="BY54" s="12">
        <f>IF('Données projet'!$A$114&gt;35,BY53+BX54-CG53,IF(A54&lt;'Données projet'!$A$114,$BV$205^A54,IF(A54='Données projet'!$A$114,'Données projet'!$B$114,BY53+BX54-CG53)))</f>
        <v>160.20000000000002</v>
      </c>
      <c r="BZ54" s="13">
        <f>BY54*VLOOKUP('Données projet'!$B$12,Paramètres!$A$1:$I$89,3,0)*VLOOKUP('Données projet'!$B$12,Paramètres!$A$1:$I$89,5,0)</f>
        <v>167.44104000000004</v>
      </c>
      <c r="CA54" s="13">
        <f t="shared" si="39"/>
        <v>42.516396742153759</v>
      </c>
      <c r="CB54" s="20">
        <f t="shared" si="10"/>
        <v>365.67586899258453</v>
      </c>
      <c r="CC54" s="59">
        <f t="shared" si="11"/>
        <v>631.22260715765378</v>
      </c>
      <c r="CD54" s="59">
        <f ca="1">AVERAGE(OFFSET($CC$3,0,0,'Données projet'!$E$12+1,1))-AVERAGE(OFFSET($H$3,0,0,'Données projet'!$E$12+1,1))</f>
        <v>374.38550202939507</v>
      </c>
      <c r="CE54" s="59">
        <f t="shared" si="40"/>
        <v>324.37486924296718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11.960960607557521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11.960960607557521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62.421837681382542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>
        <f>VLOOKUP(A54,'Données projet'!$A$139:$I$159,2,0)</f>
        <v>145.78846153846152</v>
      </c>
      <c r="CR54" s="12">
        <f>VLOOKUP(A54,'Données projet'!$A$139:$I$159,9,0)</f>
        <v>6.826007326007324</v>
      </c>
      <c r="CS54" s="12">
        <f t="array" ref="CS54">INDEX(CR:CR,MIN(IF(ISNUMBER(CR54:CR250),ROW(CR54:CR250),"")))</f>
        <v>6.826007326007324</v>
      </c>
      <c r="CT54" s="12">
        <f>IF('Données projet'!$A$140&gt;35,CT53+CS54-DB53,IF(A54&lt;'Données projet'!$A$140,$CQ$205^A54,IF(A54='Données projet'!$A$140,'Données projet'!$B$140,CT53+CS54-DB53)))</f>
        <v>145.78846153846149</v>
      </c>
      <c r="CU54" s="17">
        <f>CT54*VLOOKUP('Données projet'!$B$13,Paramètres!$A$1:$I$89,3,0)*VLOOKUP('Données projet'!$B$13,Paramètres!$A$1:$I$89,5,0)</f>
        <v>138.73229999999995</v>
      </c>
      <c r="CV54" s="13">
        <f t="shared" si="41"/>
        <v>36.006439660876396</v>
      </c>
      <c r="CW54" s="20">
        <f t="shared" si="13"/>
        <v>304.33663824269297</v>
      </c>
      <c r="CX54" s="59">
        <f t="shared" si="14"/>
        <v>569.88337640776228</v>
      </c>
      <c r="CY54" s="59">
        <f ca="1">AVERAGE(OFFSET($CX$3,0,0,'Données projet'!$E$13+1,1))-AVERAGE(OFFSET($H$3,0,0,'Données projet'!$E$13+1,1))</f>
        <v>392.81074187112989</v>
      </c>
      <c r="CZ54" s="59">
        <f t="shared" si="42"/>
        <v>236.19146849073687</v>
      </c>
      <c r="DA54" s="15">
        <f>IF(ISNA(VLOOKUP(A54,'Données projet'!$A$139:$I$159,3,0)),0,VLOOKUP(A54,'Données projet'!$A$139:$I$159,3,0))</f>
        <v>2</v>
      </c>
      <c r="DB54" s="15">
        <f>IF(ISNA(VLOOKUP(A54,'Données projet'!$A$139:$I$159,4,0)),0,VLOOKUP(A54,'Données projet'!$A$139:$I$159,4,0))</f>
        <v>37.685897435897431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62.421837681382542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145.78846153846152</v>
      </c>
      <c r="DM54" s="12">
        <f>VLOOKUP(A54,'Données projet'!$A$165:$I$185,9,0)</f>
        <v>6.826007326007324</v>
      </c>
      <c r="DN54" s="12">
        <f t="array" ref="DN54">INDEX(DM:DM,MIN(IF(ISNUMBER(DM54:DM250),ROW(DM54:DM250),"")))</f>
        <v>6.826007326007324</v>
      </c>
      <c r="DO54" s="12">
        <f>IF('Données projet'!$A$166&gt;35,DO53+DN54-DW53,IF(A54&lt;'Données projet'!$A$166,$DL$205^A54,IF(A54='Données projet'!$A$166,'Données projet'!$B$166,DO53+DN54-DW53)))</f>
        <v>145.78846153846149</v>
      </c>
      <c r="DP54" s="17">
        <f>DO54*VLOOKUP('Données projet'!$B$14,Paramètres!$A$1:$I$89,3,0)*VLOOKUP('Données projet'!$B$14,Paramètres!$A$1:$I$89,5,0)</f>
        <v>156.92669999999993</v>
      </c>
      <c r="DQ54" s="13">
        <f t="shared" si="43"/>
        <v>40.148543489359604</v>
      </c>
      <c r="DR54" s="20">
        <f t="shared" si="16"/>
        <v>343.23938241063451</v>
      </c>
      <c r="DS54" s="59">
        <f t="shared" si="17"/>
        <v>608.78612057570376</v>
      </c>
      <c r="DT54" s="59">
        <f ca="1">AVERAGE(OFFSET($DS$3,0,0,'Données projet'!$E$14+1,1))-AVERAGE(OFFSET($H$3,0,0,'Données projet'!$E$14+1,1))</f>
        <v>434.77799524785502</v>
      </c>
      <c r="DU54" s="59">
        <f t="shared" si="44"/>
        <v>259.85949838170006</v>
      </c>
      <c r="DV54" s="15">
        <f>IF(ISNA(VLOOKUP(A54,'Données projet'!$A$165:$I$185,3,0)),0,VLOOKUP(A54,'Données projet'!$A$165:$I$185,3,0))</f>
        <v>2</v>
      </c>
      <c r="DW54" s="15">
        <f>IF(ISNA(VLOOKUP(A54,'Données projet'!$A$165:$I$185,4,0)),0,VLOOKUP(A54,'Données projet'!$A$165:$I$185,4,0))</f>
        <v>37.685897435897431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62.421837681382542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projet'!$A$191:$I$211,2,0)</f>
        <v>145.78846153846152</v>
      </c>
      <c r="EH54" s="12">
        <f>VLOOKUP(A54,'Données projet'!$A$191:$I$211,9,0)</f>
        <v>6.826007326007324</v>
      </c>
      <c r="EI54" s="12">
        <f t="array" ref="EI54">INDEX(EH:EH,MIN(IF(ISNUMBER(EH54:EH250),ROW(EH54:EH250),"")))</f>
        <v>6.826007326007324</v>
      </c>
      <c r="EJ54" s="12">
        <f>IF('Données projet'!$A$192&gt;35,EJ53+EI54-ER53,IF(A54&lt;'Données projet'!$A$192,$EG$205^A54,IF(A54='Données projet'!$A$192,'Données projet'!$B$192,EJ53+EI54-ER53)))</f>
        <v>145.78846153846149</v>
      </c>
      <c r="EK54" s="17">
        <f>EJ54*VLOOKUP('Données projet'!$B$15,Paramètres!$A$1:$I$89,3,0)*VLOOKUP('Données projet'!$B$15,Paramètres!$A$1:$I$89,5,0)</f>
        <v>141.00659999999993</v>
      </c>
      <c r="EL54" s="13">
        <f t="shared" si="45"/>
        <v>36.527507181529174</v>
      </c>
      <c r="EM54" s="20">
        <f t="shared" si="19"/>
        <v>309.20523667449658</v>
      </c>
      <c r="EN54" s="59">
        <f t="shared" si="20"/>
        <v>574.75197483956595</v>
      </c>
      <c r="EO54" s="59">
        <f ca="1">AVERAGE(OFFSET($EN$3,0,0,'Données projet'!$E$15+1,1))-AVERAGE(OFFSET($H$3,0,0,'Données projet'!$E$15+1,1))</f>
        <v>398.06270423055565</v>
      </c>
      <c r="EP54" s="59">
        <f t="shared" si="46"/>
        <v>239.15364562040614</v>
      </c>
      <c r="EQ54" s="15">
        <f>IF(ISNA(VLOOKUP(A54,'Données projet'!$A$191:$I$211,3,0)),0,VLOOKUP(A54,'Données projet'!$A$191:$I$211,3,0))</f>
        <v>2</v>
      </c>
      <c r="ER54" s="15">
        <f>IF(ISNA(VLOOKUP(A54,'Données projet'!$A$191:$I$211,4,0)),0,VLOOKUP(A54,'Données projet'!$A$191:$I$211,4,0))</f>
        <v>37.685897435897431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62.421837681382542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12.837499999999991</v>
      </c>
      <c r="FE54" s="12">
        <f>IF('Données projet'!$A$218&gt;35,FE53+FD54-FM53,IF(A54&lt;'Données projet'!$A$218,$FB$205^A54,IF(A54='Données projet'!$A$218,'Données projet'!$B$218,FE53+FD54-FM53)))</f>
        <v>382.28942307692296</v>
      </c>
      <c r="FF54" s="17">
        <f>FE54*VLOOKUP('Données projet'!$B$16,Paramètres!$A$1:$I$89,3,0)*VLOOKUP('Données projet'!$B$16,Paramètres!$A$1:$I$89,5,0)</f>
        <v>228.60907499999993</v>
      </c>
      <c r="FG54" s="13">
        <f t="shared" si="47"/>
        <v>55.981824933821947</v>
      </c>
      <c r="FH54" s="20">
        <f t="shared" si="22"/>
        <v>495.66248405140641</v>
      </c>
      <c r="FI54" s="59">
        <f t="shared" si="23"/>
        <v>761.20922221647572</v>
      </c>
      <c r="FJ54" s="59">
        <f ca="1">AVERAGE(OFFSET($FI$3,0,0,'Données projet'!$E$16+1,1))-AVERAGE(OFFSET($H$3,0,0,'Données projet'!$E$16+1,1))</f>
        <v>334.13861979962491</v>
      </c>
      <c r="FK54" s="59">
        <f t="shared" si="48"/>
        <v>416.48635183664305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56.617782914084835</v>
      </c>
      <c r="FR54" s="21">
        <f>EXP(-LN(2)/25)*FR53+(1-EXP(-LN(2)/25))/(LN(2)/25)*Calculateur!FM54*Calculateur!FO54*VLOOKUP('Données projet'!$B$16,Paramètres!$A$1:$I$89,3,0)*0.475*44/12</f>
        <v>20.136359552844283</v>
      </c>
      <c r="FS54" s="21">
        <f>EXP(-LN(2)/2)*FS53+(1-EXP(-LN(2)/2))/(LN(2)/2)*FM54*FP54*VLOOKUP('Données projet'!$B$16,Paramètres!$A$1:$I$89,3,0)*0.475*44/12</f>
        <v>2.8453532274315956</v>
      </c>
      <c r="FT54" s="22">
        <f t="shared" si="24"/>
        <v>79.599495694360726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62.421837681382542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14.668131868131875</v>
      </c>
      <c r="FZ54" s="12">
        <f>IF('Données projet'!$A$244&gt;35,FZ53+FY54-GH53,IF(A54&lt;'Données projet'!$A$244,$FW$205^A54,IF(A54='Données projet'!$A$244,'Données projet'!$B$244,FZ53+FY54-GH53)))</f>
        <v>274.71318681318684</v>
      </c>
      <c r="GA54" s="17">
        <f>FZ54*VLOOKUP('Données projet'!$B$17,Paramètres!$A$1:$I$89,3,0)*VLOOKUP('Données projet'!$B$17,Paramètres!$A$1:$I$89,5,0)</f>
        <v>128.56577142857145</v>
      </c>
      <c r="GB54" s="13">
        <f t="shared" si="49"/>
        <v>33.664737545838108</v>
      </c>
      <c r="GC54" s="20">
        <f t="shared" si="25"/>
        <v>282.55146979709662</v>
      </c>
      <c r="GD54" s="59">
        <f t="shared" si="26"/>
        <v>548.09820796216593</v>
      </c>
      <c r="GE54" s="59">
        <f ca="1">AVERAGE(OFFSET($GD$3,0,0,'Données projet'!$E$17+1,1))-AVERAGE(OFFSET($H$3,0,0,'Données projet'!$E$17+1,1))</f>
        <v>317.79829681023142</v>
      </c>
      <c r="GF54" s="59">
        <f t="shared" si="50"/>
        <v>275.07716943523621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21.704958795860446</v>
      </c>
      <c r="GM54" s="21">
        <f>EXP(-LN(2)/25)*GM53+(1-EXP(-LN(2)/25))/(LN(2)/25)*Calculateur!GH54*Calculateur!GJ54*VLOOKUP('Données projet'!$B$17,Paramètres!$A$1:$I$89,3,0)*0.475*44/12</f>
        <v>31.796712521304336</v>
      </c>
      <c r="GN54" s="21">
        <f>EXP(-LN(2)/2)*GN53+(1-EXP(-LN(2)/2))/(LN(2)/2)*GH54*GK54*VLOOKUP('Données projet'!$B$17,Paramètres!$A$1:$I$89,3,0)*0.475*44/12</f>
        <v>5.1571898309020954</v>
      </c>
      <c r="GO54" s="21">
        <f t="shared" si="27"/>
        <v>58.658861148066876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62.421837681382542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16.227472527472521</v>
      </c>
      <c r="GU54" s="12">
        <f>IF('Données projet'!$A$270&gt;35,GU53+GT54-HC53,IF(A54&lt;'Données projet'!$A$270,$GR$205^A54,IF(A54='Données projet'!$A$270,'Données projet'!$B$270,GU53+GT54-HC53)))</f>
        <v>346.57032967032967</v>
      </c>
      <c r="GV54" s="17">
        <f>GU54*VLOOKUP('Données projet'!$B$18,Paramètres!$A$1:$I$89,3,0)*VLOOKUP('Données projet'!$B$18,Paramètres!$A$1:$I$89,5,0)</f>
        <v>193.73281428571428</v>
      </c>
      <c r="GW54" s="13">
        <f t="shared" si="51"/>
        <v>48.364288285880846</v>
      </c>
      <c r="GX54" s="20">
        <f t="shared" si="28"/>
        <v>421.65245364552817</v>
      </c>
      <c r="GY54" s="59">
        <f t="shared" si="29"/>
        <v>687.19919181059754</v>
      </c>
      <c r="GZ54" s="59">
        <f ca="1">AVERAGE(OFFSET($GY$3,0,0,'Données projet'!$E$18+1,1))-AVERAGE(OFFSET($H$3,0,0,'Données projet'!$E$18+1,1))</f>
        <v>336.21787234885699</v>
      </c>
      <c r="HA54" s="59">
        <f t="shared" si="52"/>
        <v>315.36156736899113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58.753685726568293</v>
      </c>
      <c r="HH54" s="21">
        <f>EXP(-LN(2)/25)*HH53+(1-EXP(-LN(2)/25))/(LN(2)/25)*Calculateur!HC54*Calculateur!HE54*VLOOKUP('Données projet'!$B$18,Paramètres!$A$1:$I$89,3,0)*0.475*44/12</f>
        <v>26.118296744976668</v>
      </c>
      <c r="HI54" s="21">
        <f>EXP(-LN(2)/2)*HI53+(1-EXP(-LN(2)/2))/(LN(2)/2)*HC54*HF54*VLOOKUP('Données projet'!$B$18,Paramètres!$A$1:$I$89,3,0)*0.475*44/12</f>
        <v>4.1053379492266968</v>
      </c>
      <c r="HJ54" s="22">
        <f t="shared" si="30"/>
        <v>88.977320420771647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3.7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13.566666666666668</v>
      </c>
      <c r="H55" s="67">
        <f t="shared" si="1"/>
        <v>202.4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62.55330185537774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171.82142857142864</v>
      </c>
      <c r="O55" s="13">
        <f>N55*VLOOKUP('Données projet'!$B$9,Paramètres!$A$1:$I$89,3,0)*VLOOKUP('Données projet'!$B$9,Paramètres!$A$1:$I$89,5,0)</f>
        <v>155.46402857142863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606.14446507115429</v>
      </c>
      <c r="S55" s="59">
        <f ca="1">AVERAGE(OFFSET($R$3,0,0,'Données projet'!$E$9+1,1))-AVERAGE(OFFSET($H$3,0,0,'Données projet'!$E$9+1,1))</f>
        <v>411.64357329340851</v>
      </c>
      <c r="T55" s="59">
        <f t="shared" si="34"/>
        <v>294.07942258675632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62.55330185537774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8.8736263736263741</v>
      </c>
      <c r="AI55" s="13">
        <f>IF('Données projet'!$A$62&gt;35,AI54+AH55-AQ54,IF(A55&lt;'Données projet'!$A$62,$AF$205^A55,IF(A55='Données projet'!$A$62,'Données projet'!$B$62,AI54+AH55-AQ54)))</f>
        <v>171.82142857142864</v>
      </c>
      <c r="AJ55" s="13">
        <f>AI55*VLOOKUP('Données projet'!$B$10,Paramètres!$A$1:$I$89,3,0)*VLOOKUP('Données projet'!$B$10,Paramètres!$A$1:$I$89,5,0)</f>
        <v>174.22692857142866</v>
      </c>
      <c r="AK55" s="13">
        <f t="shared" si="35"/>
        <v>44.035357527108694</v>
      </c>
      <c r="AL55" s="20">
        <f t="shared" si="4"/>
        <v>380.1401482882859</v>
      </c>
      <c r="AM55" s="59">
        <f t="shared" si="5"/>
        <v>646.16892175800422</v>
      </c>
      <c r="AN55" s="59">
        <f ca="1">AVERAGE(OFFSET($AM$3,0,0,'Données projet'!$E$10+1,1))-AVERAGE(OFFSET($H$3,0,0,'Données projet'!$E$10+1,1))</f>
        <v>453.05577105995508</v>
      </c>
      <c r="AO55" s="59">
        <f t="shared" si="36"/>
        <v>322.6839824496758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62.55330185537774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3.5192307692307692</v>
      </c>
      <c r="BD55" s="12">
        <f>IF('Données projet'!$A$88&gt;35,BD54+BC55-BL54,IF(A55&lt;'Données projet'!$A$88,$BA$205^A55,IF(A55='Données projet'!$A$88,'Données projet'!$B$88,BD54+BC55-BL54)))</f>
        <v>134.16666666666674</v>
      </c>
      <c r="BE55" s="13">
        <f>BD55*VLOOKUP('Données projet'!$B$11,Paramètres!$A$1:$I$89,3,0)*VLOOKUP('Données projet'!$B$11,Paramètres!$A$1:$I$89,5,0)</f>
        <v>133.95200000000008</v>
      </c>
      <c r="BF55" s="13">
        <f t="shared" si="37"/>
        <v>34.907952797441666</v>
      </c>
      <c r="BG55" s="20">
        <f t="shared" si="7"/>
        <v>294.09775112221104</v>
      </c>
      <c r="BH55" s="59">
        <f t="shared" si="8"/>
        <v>560.12652459192941</v>
      </c>
      <c r="BI55" s="59">
        <f ca="1">AVERAGE(OFFSET($BH$3,0,0,'Données projet'!$E$11+1,1))-AVERAGE(OFFSET($H$3,0,0,'Données projet'!$E$11+1,1))</f>
        <v>411.38162678377478</v>
      </c>
      <c r="BJ55" s="59">
        <f t="shared" si="38"/>
        <v>177.89903563360403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62.55330185537774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5.2</v>
      </c>
      <c r="BY55" s="12">
        <f>IF('Données projet'!$A$114&gt;35,BY54+BX55-CG54,IF(A55&lt;'Données projet'!$A$114,$BV$205^A55,IF(A55='Données projet'!$A$114,'Données projet'!$B$114,BY54+BX55-CG54)))</f>
        <v>165.4</v>
      </c>
      <c r="BZ55" s="13">
        <f>BY55*VLOOKUP('Données projet'!$B$12,Paramètres!$A$1:$I$89,3,0)*VLOOKUP('Données projet'!$B$12,Paramètres!$A$1:$I$89,5,0)</f>
        <v>172.87608000000003</v>
      </c>
      <c r="CA55" s="13">
        <f t="shared" si="39"/>
        <v>43.733539539795771</v>
      </c>
      <c r="CB55" s="20">
        <f t="shared" si="10"/>
        <v>377.26175403181099</v>
      </c>
      <c r="CC55" s="59">
        <f t="shared" si="11"/>
        <v>643.29052750152937</v>
      </c>
      <c r="CD55" s="59">
        <f ca="1">AVERAGE(OFFSET($CC$3,0,0,'Données projet'!$E$12+1,1))-AVERAGE(OFFSET($H$3,0,0,'Données projet'!$E$12+1,1))</f>
        <v>374.38550202939507</v>
      </c>
      <c r="CE55" s="59">
        <f t="shared" si="40"/>
        <v>324.37486924296718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11.633887510744279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11.633887510744279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62.55330185537774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6.3942307692307701</v>
      </c>
      <c r="CT55" s="12">
        <f>IF('Données projet'!$A$140&gt;35,CT54+CS55-DB54,IF(A55&lt;'Données projet'!$A$140,$CQ$205^A55,IF(A55='Données projet'!$A$140,'Données projet'!$B$140,CT54+CS55-DB54)))</f>
        <v>114.49679487179483</v>
      </c>
      <c r="CU55" s="17">
        <f>CT55*VLOOKUP('Données projet'!$B$13,Paramètres!$A$1:$I$89,3,0)*VLOOKUP('Données projet'!$B$13,Paramètres!$A$1:$I$89,5,0)</f>
        <v>108.95514999999996</v>
      </c>
      <c r="CV55" s="13">
        <f t="shared" si="41"/>
        <v>29.084673189035946</v>
      </c>
      <c r="CW55" s="20">
        <f t="shared" si="13"/>
        <v>240.41935872090417</v>
      </c>
      <c r="CX55" s="59">
        <f t="shared" si="14"/>
        <v>506.44813219062257</v>
      </c>
      <c r="CY55" s="59">
        <f ca="1">AVERAGE(OFFSET($CX$3,0,0,'Données projet'!$E$13+1,1))-AVERAGE(OFFSET($H$3,0,0,'Données projet'!$E$13+1,1))</f>
        <v>392.81074187112989</v>
      </c>
      <c r="CZ55" s="59">
        <f t="shared" si="42"/>
        <v>236.19146849073687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62.55330185537774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6.3942307692307701</v>
      </c>
      <c r="DO55" s="12">
        <f>IF('Données projet'!$A$166&gt;35,DO54+DN55-DW54,IF(A55&lt;'Données projet'!$A$166,$DL$205^A55,IF(A55='Données projet'!$A$166,'Données projet'!$B$166,DO54+DN55-DW54)))</f>
        <v>114.49679487179483</v>
      </c>
      <c r="DP55" s="17">
        <f>DO55*VLOOKUP('Données projet'!$B$14,Paramètres!$A$1:$I$89,3,0)*VLOOKUP('Données projet'!$B$14,Paramètres!$A$1:$I$89,5,0)</f>
        <v>123.24434999999995</v>
      </c>
      <c r="DQ55" s="13">
        <f t="shared" si="43"/>
        <v>32.430511802937779</v>
      </c>
      <c r="DR55" s="20">
        <f t="shared" si="16"/>
        <v>271.13371764011657</v>
      </c>
      <c r="DS55" s="59">
        <f t="shared" si="17"/>
        <v>537.16249110983495</v>
      </c>
      <c r="DT55" s="59">
        <f ca="1">AVERAGE(OFFSET($DS$3,0,0,'Données projet'!$E$14+1,1))-AVERAGE(OFFSET($H$3,0,0,'Données projet'!$E$14+1,1))</f>
        <v>434.77799524785502</v>
      </c>
      <c r="DU55" s="59">
        <f t="shared" si="44"/>
        <v>259.85949838170006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62.55330185537774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6.3942307692307701</v>
      </c>
      <c r="EJ55" s="12">
        <f>IF('Données projet'!$A$192&gt;35,EJ54+EI55-ER54,IF(A55&lt;'Données projet'!$A$192,$EG$205^A55,IF(A55='Données projet'!$A$192,'Données projet'!$B$192,EJ54+EI55-ER54)))</f>
        <v>114.49679487179483</v>
      </c>
      <c r="EK55" s="17">
        <f>EJ55*VLOOKUP('Données projet'!$B$15,Paramètres!$A$1:$I$89,3,0)*VLOOKUP('Données projet'!$B$15,Paramètres!$A$1:$I$89,5,0)</f>
        <v>110.74129999999997</v>
      </c>
      <c r="EL55" s="13">
        <f t="shared" si="45"/>
        <v>29.505572302926247</v>
      </c>
      <c r="EM55" s="20">
        <f t="shared" si="19"/>
        <v>244.26330259426319</v>
      </c>
      <c r="EN55" s="59">
        <f t="shared" si="20"/>
        <v>510.29207606398154</v>
      </c>
      <c r="EO55" s="59">
        <f ca="1">AVERAGE(OFFSET($EN$3,0,0,'Données projet'!$E$15+1,1))-AVERAGE(OFFSET($H$3,0,0,'Données projet'!$E$15+1,1))</f>
        <v>398.06270423055565</v>
      </c>
      <c r="EP55" s="59">
        <f t="shared" si="46"/>
        <v>239.15364562040614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62.55330185537774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12.837499999999991</v>
      </c>
      <c r="FE55" s="12">
        <f>IF('Données projet'!$A$218&gt;35,FE54+FD55-FM54,IF(A55&lt;'Données projet'!$A$218,$FB$205^A55,IF(A55='Données projet'!$A$218,'Données projet'!$B$218,FE54+FD55-FM54)))</f>
        <v>395.12692307692294</v>
      </c>
      <c r="FF55" s="17">
        <f>FE55*VLOOKUP('Données projet'!$B$16,Paramètres!$A$1:$I$89,3,0)*VLOOKUP('Données projet'!$B$16,Paramètres!$A$1:$I$89,5,0)</f>
        <v>236.28589999999994</v>
      </c>
      <c r="FG55" s="13">
        <f t="shared" si="47"/>
        <v>57.639699864397812</v>
      </c>
      <c r="FH55" s="20">
        <f t="shared" si="22"/>
        <v>511.92041976382615</v>
      </c>
      <c r="FI55" s="59">
        <f t="shared" si="23"/>
        <v>777.94919323354452</v>
      </c>
      <c r="FJ55" s="59">
        <f ca="1">AVERAGE(OFFSET($FI$3,0,0,'Données projet'!$E$16+1,1))-AVERAGE(OFFSET($H$3,0,0,'Données projet'!$E$16+1,1))</f>
        <v>334.13861979962491</v>
      </c>
      <c r="FK55" s="59">
        <f t="shared" si="48"/>
        <v>416.48635183664305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55.507542724577313</v>
      </c>
      <c r="FR55" s="21">
        <f>EXP(-LN(2)/25)*FR54+(1-EXP(-LN(2)/25))/(LN(2)/25)*Calculateur!FM55*Calculateur!FO55*VLOOKUP('Données projet'!$B$16,Paramètres!$A$1:$I$89,3,0)*0.475*44/12</f>
        <v>19.585729741946629</v>
      </c>
      <c r="FS55" s="21">
        <f>EXP(-LN(2)/2)*FS54+(1-EXP(-LN(2)/2))/(LN(2)/2)*FM55*FP55*VLOOKUP('Données projet'!$B$16,Paramètres!$A$1:$I$89,3,0)*0.475*44/12</f>
        <v>2.01196856198791</v>
      </c>
      <c r="FT55" s="22">
        <f t="shared" si="24"/>
        <v>77.105241028511855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62.55330185537774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14.668131868131875</v>
      </c>
      <c r="FZ55" s="12">
        <f>IF('Données projet'!$A$244&gt;35,FZ54+FY55-GH54,IF(A55&lt;'Données projet'!$A$244,$FW$205^A55,IF(A55='Données projet'!$A$244,'Données projet'!$B$244,FZ54+FY55-GH54)))</f>
        <v>289.3813186813187</v>
      </c>
      <c r="GA55" s="17">
        <f>FZ55*VLOOKUP('Données projet'!$B$17,Paramètres!$A$1:$I$89,3,0)*VLOOKUP('Données projet'!$B$17,Paramètres!$A$1:$I$89,5,0)</f>
        <v>135.43045714285716</v>
      </c>
      <c r="GB55" s="13">
        <f t="shared" si="49"/>
        <v>35.248174253598229</v>
      </c>
      <c r="GC55" s="20">
        <f t="shared" si="25"/>
        <v>297.26528301549314</v>
      </c>
      <c r="GD55" s="59">
        <f t="shared" si="26"/>
        <v>563.29405648521151</v>
      </c>
      <c r="GE55" s="59">
        <f ca="1">AVERAGE(OFFSET($GD$3,0,0,'Données projet'!$E$17+1,1))-AVERAGE(OFFSET($H$3,0,0,'Données projet'!$E$17+1,1))</f>
        <v>317.79829681023142</v>
      </c>
      <c r="GF55" s="59">
        <f t="shared" si="50"/>
        <v>275.07716943523621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21.279337792591274</v>
      </c>
      <c r="GM55" s="21">
        <f>EXP(-LN(2)/25)*GM54+(1-EXP(-LN(2)/25))/(LN(2)/25)*Calculateur!GH55*Calculateur!GJ55*VLOOKUP('Données projet'!$B$17,Paramètres!$A$1:$I$89,3,0)*0.475*44/12</f>
        <v>30.927229745292831</v>
      </c>
      <c r="GN55" s="21">
        <f>EXP(-LN(2)/2)*GN54+(1-EXP(-LN(2)/2))/(LN(2)/2)*GH55*GK55*VLOOKUP('Données projet'!$B$17,Paramètres!$A$1:$I$89,3,0)*0.475*44/12</f>
        <v>3.6466839012971763</v>
      </c>
      <c r="GO55" s="21">
        <f t="shared" si="27"/>
        <v>55.853251439181278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62.55330185537774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16.227472527472521</v>
      </c>
      <c r="GU55" s="12">
        <f>IF('Données projet'!$A$270&gt;35,GU54+GT55-HC54,IF(A55&lt;'Données projet'!$A$270,$GR$205^A55,IF(A55='Données projet'!$A$270,'Données projet'!$B$270,GU54+GT55-HC54)))</f>
        <v>362.79780219780218</v>
      </c>
      <c r="GV55" s="17">
        <f>GU55*VLOOKUP('Données projet'!$B$18,Paramètres!$A$1:$I$89,3,0)*VLOOKUP('Données projet'!$B$18,Paramètres!$A$1:$I$89,5,0)</f>
        <v>202.80397142857143</v>
      </c>
      <c r="GW55" s="13">
        <f t="shared" si="51"/>
        <v>50.359895566849602</v>
      </c>
      <c r="GX55" s="20">
        <f t="shared" si="28"/>
        <v>440.92706835035824</v>
      </c>
      <c r="GY55" s="59">
        <f t="shared" si="29"/>
        <v>706.95584182007656</v>
      </c>
      <c r="GZ55" s="59">
        <f ca="1">AVERAGE(OFFSET($GY$3,0,0,'Données projet'!$E$18+1,1))-AVERAGE(OFFSET($H$3,0,0,'Données projet'!$E$18+1,1))</f>
        <v>336.21787234885699</v>
      </c>
      <c r="HA55" s="59">
        <f t="shared" si="52"/>
        <v>315.36156736899113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57.601561785680047</v>
      </c>
      <c r="HH55" s="21">
        <f>EXP(-LN(2)/25)*HH54+(1-EXP(-LN(2)/25))/(LN(2)/25)*Calculateur!HC55*Calculateur!HE55*VLOOKUP('Données projet'!$B$18,Paramètres!$A$1:$I$89,3,0)*0.475*44/12</f>
        <v>25.404090546983749</v>
      </c>
      <c r="HI55" s="21">
        <f>EXP(-LN(2)/2)*HI54+(1-EXP(-LN(2)/2))/(LN(2)/2)*HC55*HF55*VLOOKUP('Données projet'!$B$18,Paramètres!$A$1:$I$89,3,0)*0.475*44/12</f>
        <v>2.9029123029606718</v>
      </c>
      <c r="HJ55" s="22">
        <f t="shared" si="30"/>
        <v>85.908564635624472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3.7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13.566666666666668</v>
      </c>
      <c r="H56" s="67">
        <f t="shared" si="1"/>
        <v>202.4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62.68248541986398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180.69505494505501</v>
      </c>
      <c r="O56" s="13">
        <f>N56*VLOOKUP('Données projet'!$B$9,Paramètres!$A$1:$I$89,3,0)*VLOOKUP('Données projet'!$B$9,Paramètres!$A$1:$I$89,5,0)</f>
        <v>163.49288571428576</v>
      </c>
      <c r="P56" s="13">
        <f t="shared" si="33"/>
        <v>41.629352600963465</v>
      </c>
      <c r="Q56" s="20">
        <f t="shared" si="53"/>
        <v>357.25456506572573</v>
      </c>
      <c r="R56" s="59">
        <f t="shared" si="0"/>
        <v>623.75701160522704</v>
      </c>
      <c r="S56" s="59">
        <f ca="1">AVERAGE(OFFSET($R$3,0,0,'Données projet'!$E$9+1,1))-AVERAGE(OFFSET($H$3,0,0,'Données projet'!$E$9+1,1))</f>
        <v>411.64357329340851</v>
      </c>
      <c r="T56" s="59">
        <f t="shared" si="34"/>
        <v>294.07942258675632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62.68248541986398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8.8736263736263741</v>
      </c>
      <c r="AI56" s="13">
        <f>IF('Données projet'!$A$62&gt;35,AI55+AH56-AQ55,IF(A56&lt;'Données projet'!$A$62,$AF$205^A56,IF(A56='Données projet'!$A$62,'Données projet'!$B$62,AI55+AH56-AQ55)))</f>
        <v>180.69505494505501</v>
      </c>
      <c r="AJ56" s="13">
        <f>AI56*VLOOKUP('Données projet'!$B$10,Paramètres!$A$1:$I$89,3,0)*VLOOKUP('Données projet'!$B$10,Paramètres!$A$1:$I$89,5,0)</f>
        <v>183.22478571428579</v>
      </c>
      <c r="AK56" s="13">
        <f t="shared" si="35"/>
        <v>46.038898438557553</v>
      </c>
      <c r="AL56" s="20">
        <f t="shared" si="4"/>
        <v>399.30091656620215</v>
      </c>
      <c r="AM56" s="59">
        <f t="shared" si="5"/>
        <v>665.8033631057034</v>
      </c>
      <c r="AN56" s="59">
        <f ca="1">AVERAGE(OFFSET($AM$3,0,0,'Données projet'!$E$10+1,1))-AVERAGE(OFFSET($H$3,0,0,'Données projet'!$E$10+1,1))</f>
        <v>453.05577105995508</v>
      </c>
      <c r="AO56" s="59">
        <f t="shared" si="36"/>
        <v>322.6839824496758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62.68248541986398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3.5192307692307692</v>
      </c>
      <c r="BD56" s="12">
        <f>IF('Données projet'!$A$88&gt;35,BD55+BC56-BL55,IF(A56&lt;'Données projet'!$A$88,$BA$205^A56,IF(A56='Données projet'!$A$88,'Données projet'!$B$88,BD55+BC56-BL55)))</f>
        <v>137.68589743589752</v>
      </c>
      <c r="BE56" s="13">
        <f>BD56*VLOOKUP('Données projet'!$B$11,Paramètres!$A$1:$I$89,3,0)*VLOOKUP('Données projet'!$B$11,Paramètres!$A$1:$I$89,5,0)</f>
        <v>137.46560000000008</v>
      </c>
      <c r="BF56" s="13">
        <f t="shared" si="37"/>
        <v>35.715794176021404</v>
      </c>
      <c r="BG56" s="20">
        <f t="shared" si="7"/>
        <v>301.62426152323741</v>
      </c>
      <c r="BH56" s="59">
        <f t="shared" si="8"/>
        <v>568.12670806273866</v>
      </c>
      <c r="BI56" s="59">
        <f ca="1">AVERAGE(OFFSET($BH$3,0,0,'Données projet'!$E$11+1,1))-AVERAGE(OFFSET($H$3,0,0,'Données projet'!$E$11+1,1))</f>
        <v>411.38162678377478</v>
      </c>
      <c r="BJ56" s="59">
        <f t="shared" si="38"/>
        <v>177.89903563360403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62.68248541986398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5.2</v>
      </c>
      <c r="BY56" s="12">
        <f>IF('Données projet'!$A$114&gt;35,BY55+BX56-CG55,IF(A56&lt;'Données projet'!$A$114,$BV$205^A56,IF(A56='Données projet'!$A$114,'Données projet'!$B$114,BY55+BX56-CG55)))</f>
        <v>170.6</v>
      </c>
      <c r="BZ56" s="13">
        <f>BY56*VLOOKUP('Données projet'!$B$12,Paramètres!$A$1:$I$89,3,0)*VLOOKUP('Données projet'!$B$12,Paramètres!$A$1:$I$89,5,0)</f>
        <v>178.31112000000002</v>
      </c>
      <c r="CA56" s="13">
        <f t="shared" si="39"/>
        <v>44.946235578984805</v>
      </c>
      <c r="CB56" s="20">
        <f t="shared" si="10"/>
        <v>388.83989430006523</v>
      </c>
      <c r="CC56" s="59">
        <f t="shared" si="11"/>
        <v>655.34234083956653</v>
      </c>
      <c r="CD56" s="59">
        <f ca="1">AVERAGE(OFFSET($CC$3,0,0,'Données projet'!$E$12+1,1))-AVERAGE(OFFSET($H$3,0,0,'Données projet'!$E$12+1,1))</f>
        <v>374.38550202939507</v>
      </c>
      <c r="CE56" s="59">
        <f t="shared" si="40"/>
        <v>324.37486924296718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11.315758244963421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11.315758244963421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62.68248541986398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6.3942307692307701</v>
      </c>
      <c r="CT56" s="12">
        <f>IF('Données projet'!$A$140&gt;35,CT55+CS56-DB55,IF(A56&lt;'Données projet'!$A$140,$CQ$205^A56,IF(A56='Données projet'!$A$140,'Données projet'!$B$140,CT55+CS56-DB55)))</f>
        <v>120.89102564102561</v>
      </c>
      <c r="CU56" s="17">
        <f>CT56*VLOOKUP('Données projet'!$B$13,Paramètres!$A$1:$I$89,3,0)*VLOOKUP('Données projet'!$B$13,Paramètres!$A$1:$I$89,5,0)</f>
        <v>115.03989999999996</v>
      </c>
      <c r="CV56" s="13">
        <f t="shared" si="41"/>
        <v>30.515310651508731</v>
      </c>
      <c r="CW56" s="20">
        <f t="shared" si="13"/>
        <v>253.50865855137769</v>
      </c>
      <c r="CX56" s="59">
        <f t="shared" si="14"/>
        <v>520.01110509087891</v>
      </c>
      <c r="CY56" s="59">
        <f ca="1">AVERAGE(OFFSET($CX$3,0,0,'Données projet'!$E$13+1,1))-AVERAGE(OFFSET($H$3,0,0,'Données projet'!$E$13+1,1))</f>
        <v>392.81074187112989</v>
      </c>
      <c r="CZ56" s="59">
        <f t="shared" si="42"/>
        <v>236.19146849073687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62.68248541986398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6.3942307692307701</v>
      </c>
      <c r="DO56" s="12">
        <f>IF('Données projet'!$A$166&gt;35,DO55+DN56-DW55,IF(A56&lt;'Données projet'!$A$166,$DL$205^A56,IF(A56='Données projet'!$A$166,'Données projet'!$B$166,DO55+DN56-DW55)))</f>
        <v>120.89102564102561</v>
      </c>
      <c r="DP56" s="17">
        <f>DO56*VLOOKUP('Données projet'!$B$14,Paramètres!$A$1:$I$89,3,0)*VLOOKUP('Données projet'!$B$14,Paramètres!$A$1:$I$89,5,0)</f>
        <v>130.12709999999996</v>
      </c>
      <c r="DQ56" s="13">
        <f t="shared" si="43"/>
        <v>34.025726740059355</v>
      </c>
      <c r="DR56" s="20">
        <f t="shared" si="16"/>
        <v>285.89950657226996</v>
      </c>
      <c r="DS56" s="59">
        <f t="shared" si="17"/>
        <v>552.40195311177126</v>
      </c>
      <c r="DT56" s="59">
        <f ca="1">AVERAGE(OFFSET($DS$3,0,0,'Données projet'!$E$14+1,1))-AVERAGE(OFFSET($H$3,0,0,'Données projet'!$E$14+1,1))</f>
        <v>434.77799524785502</v>
      </c>
      <c r="DU56" s="59">
        <f t="shared" si="44"/>
        <v>259.85949838170006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62.68248541986398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6.3942307692307701</v>
      </c>
      <c r="EJ56" s="12">
        <f>IF('Données projet'!$A$192&gt;35,EJ55+EI56-ER55,IF(A56&lt;'Données projet'!$A$192,$EG$205^A56,IF(A56='Données projet'!$A$192,'Données projet'!$B$192,EJ55+EI56-ER55)))</f>
        <v>120.89102564102561</v>
      </c>
      <c r="EK56" s="17">
        <f>EJ56*VLOOKUP('Données projet'!$B$15,Paramètres!$A$1:$I$89,3,0)*VLOOKUP('Données projet'!$B$15,Paramètres!$A$1:$I$89,5,0)</f>
        <v>116.92579999999997</v>
      </c>
      <c r="EL56" s="13">
        <f t="shared" si="45"/>
        <v>30.956913248513292</v>
      </c>
      <c r="EM56" s="20">
        <f t="shared" si="19"/>
        <v>257.56239224116058</v>
      </c>
      <c r="EN56" s="59">
        <f t="shared" si="20"/>
        <v>524.06483878066183</v>
      </c>
      <c r="EO56" s="59">
        <f ca="1">AVERAGE(OFFSET($EN$3,0,0,'Données projet'!$E$15+1,1))-AVERAGE(OFFSET($H$3,0,0,'Données projet'!$E$15+1,1))</f>
        <v>398.06270423055565</v>
      </c>
      <c r="EP56" s="59">
        <f t="shared" si="46"/>
        <v>239.15364562040614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62.68248541986398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12.837499999999991</v>
      </c>
      <c r="FE56" s="12">
        <f>IF('Données projet'!$A$218&gt;35,FE55+FD56-FM55,IF(A56&lt;'Données projet'!$A$218,$FB$205^A56,IF(A56='Données projet'!$A$218,'Données projet'!$B$218,FE55+FD56-FM55)))</f>
        <v>407.96442307692291</v>
      </c>
      <c r="FF56" s="17">
        <f>FE56*VLOOKUP('Données projet'!$B$16,Paramètres!$A$1:$I$89,3,0)*VLOOKUP('Données projet'!$B$16,Paramètres!$A$1:$I$89,5,0)</f>
        <v>243.96272499999992</v>
      </c>
      <c r="FG56" s="13">
        <f t="shared" si="47"/>
        <v>59.291315745845196</v>
      </c>
      <c r="FH56" s="20">
        <f t="shared" si="22"/>
        <v>528.16745429901368</v>
      </c>
      <c r="FI56" s="59">
        <f t="shared" si="23"/>
        <v>794.66990083851488</v>
      </c>
      <c r="FJ56" s="59">
        <f ca="1">AVERAGE(OFFSET($FI$3,0,0,'Données projet'!$E$16+1,1))-AVERAGE(OFFSET($H$3,0,0,'Données projet'!$E$16+1,1))</f>
        <v>334.13861979962491</v>
      </c>
      <c r="FK56" s="59">
        <f t="shared" si="48"/>
        <v>416.48635183664305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54.419073668006384</v>
      </c>
      <c r="FR56" s="21">
        <f>EXP(-LN(2)/25)*FR55+(1-EXP(-LN(2)/25))/(LN(2)/25)*Calculateur!FM56*Calculateur!FO56*VLOOKUP('Données projet'!$B$16,Paramètres!$A$1:$I$89,3,0)*0.475*44/12</f>
        <v>19.050156932184336</v>
      </c>
      <c r="FS56" s="21">
        <f>EXP(-LN(2)/2)*FS55+(1-EXP(-LN(2)/2))/(LN(2)/2)*FM56*FP56*VLOOKUP('Données projet'!$B$16,Paramètres!$A$1:$I$89,3,0)*0.475*44/12</f>
        <v>1.4226766137157978</v>
      </c>
      <c r="FT56" s="22">
        <f t="shared" si="24"/>
        <v>74.891907213906507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62.68248541986398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14.668131868131875</v>
      </c>
      <c r="FZ56" s="12">
        <f>IF('Données projet'!$A$244&gt;35,FZ55+FY56-GH55,IF(A56&lt;'Données projet'!$A$244,$FW$205^A56,IF(A56='Données projet'!$A$244,'Données projet'!$B$244,FZ55+FY56-GH55)))</f>
        <v>304.04945054945057</v>
      </c>
      <c r="GA56" s="17">
        <f>FZ56*VLOOKUP('Données projet'!$B$17,Paramètres!$A$1:$I$89,3,0)*VLOOKUP('Données projet'!$B$17,Paramètres!$A$1:$I$89,5,0)</f>
        <v>142.29514285714285</v>
      </c>
      <c r="GB56" s="13">
        <f t="shared" si="49"/>
        <v>36.822291864436032</v>
      </c>
      <c r="GC56" s="20">
        <f t="shared" si="25"/>
        <v>311.96286547341651</v>
      </c>
      <c r="GD56" s="59">
        <f t="shared" si="26"/>
        <v>578.46531201291782</v>
      </c>
      <c r="GE56" s="59">
        <f ca="1">AVERAGE(OFFSET($GD$3,0,0,'Données projet'!$E$17+1,1))-AVERAGE(OFFSET($H$3,0,0,'Données projet'!$E$17+1,1))</f>
        <v>317.79829681023142</v>
      </c>
      <c r="GF56" s="59">
        <f t="shared" si="50"/>
        <v>275.07716943523621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20.862062957593032</v>
      </c>
      <c r="GM56" s="21">
        <f>EXP(-LN(2)/25)*GM55+(1-EXP(-LN(2)/25))/(LN(2)/25)*Calculateur!GH56*Calculateur!GJ56*VLOOKUP('Données projet'!$B$17,Paramètres!$A$1:$I$89,3,0)*0.475*44/12</f>
        <v>30.081523021515473</v>
      </c>
      <c r="GN56" s="21">
        <f>EXP(-LN(2)/2)*GN55+(1-EXP(-LN(2)/2))/(LN(2)/2)*GH56*GK56*VLOOKUP('Données projet'!$B$17,Paramètres!$A$1:$I$89,3,0)*0.475*44/12</f>
        <v>2.5785949154510481</v>
      </c>
      <c r="GO56" s="21">
        <f t="shared" si="27"/>
        <v>53.522180894559554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62.68248541986398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16.227472527472521</v>
      </c>
      <c r="GU56" s="12">
        <f>IF('Données projet'!$A$270&gt;35,GU55+GT56-HC55,IF(A56&lt;'Données projet'!$A$270,$GR$205^A56,IF(A56='Données projet'!$A$270,'Données projet'!$B$270,GU55+GT56-HC55)))</f>
        <v>379.0252747252747</v>
      </c>
      <c r="GV56" s="17">
        <f>GU56*VLOOKUP('Données projet'!$B$18,Paramètres!$A$1:$I$89,3,0)*VLOOKUP('Données projet'!$B$18,Paramètres!$A$1:$I$89,5,0)</f>
        <v>211.87512857142855</v>
      </c>
      <c r="GW56" s="13">
        <f t="shared" si="51"/>
        <v>52.345136228066686</v>
      </c>
      <c r="GX56" s="20">
        <f t="shared" si="28"/>
        <v>460.18362785912086</v>
      </c>
      <c r="GY56" s="59">
        <f t="shared" si="29"/>
        <v>726.68607439862217</v>
      </c>
      <c r="GZ56" s="59">
        <f ca="1">AVERAGE(OFFSET($GY$3,0,0,'Données projet'!$E$18+1,1))-AVERAGE(OFFSET($H$3,0,0,'Données projet'!$E$18+1,1))</f>
        <v>336.21787234885699</v>
      </c>
      <c r="HA56" s="59">
        <f t="shared" si="52"/>
        <v>315.36156736899113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56.472030292546407</v>
      </c>
      <c r="HH56" s="21">
        <f>EXP(-LN(2)/25)*HH55+(1-EXP(-LN(2)/25))/(LN(2)/25)*Calculateur!HC56*Calculateur!HE56*VLOOKUP('Données projet'!$B$18,Paramètres!$A$1:$I$89,3,0)*0.475*44/12</f>
        <v>24.709414355033417</v>
      </c>
      <c r="HI56" s="21">
        <f>EXP(-LN(2)/2)*HI55+(1-EXP(-LN(2)/2))/(LN(2)/2)*HC56*HF56*VLOOKUP('Données projet'!$B$18,Paramètres!$A$1:$I$89,3,0)*0.475*44/12</f>
        <v>2.0526689746133489</v>
      </c>
      <c r="HJ56" s="22">
        <f t="shared" si="30"/>
        <v>83.234113622193178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3.7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13.566666666666668</v>
      </c>
      <c r="H57" s="67">
        <f t="shared" si="1"/>
        <v>202.4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62.809427938317569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189.56868131868137</v>
      </c>
      <c r="O57" s="13">
        <f>N57*VLOOKUP('Données projet'!$B$9,Paramètres!$A$1:$I$89,3,0)*VLOOKUP('Données projet'!$B$9,Paramètres!$A$1:$I$89,5,0)</f>
        <v>171.5217428571429</v>
      </c>
      <c r="P57" s="13">
        <f t="shared" si="33"/>
        <v>43.430666394282092</v>
      </c>
      <c r="Q57" s="20">
        <f t="shared" si="53"/>
        <v>374.37544611289854</v>
      </c>
      <c r="R57" s="59">
        <f t="shared" si="0"/>
        <v>641.34334855339625</v>
      </c>
      <c r="S57" s="59">
        <f ca="1">AVERAGE(OFFSET($R$3,0,0,'Données projet'!$E$9+1,1))-AVERAGE(OFFSET($H$3,0,0,'Données projet'!$E$9+1,1))</f>
        <v>411.64357329340851</v>
      </c>
      <c r="T57" s="59">
        <f t="shared" si="34"/>
        <v>294.07942258675632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62.809427938317569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8.8736263736263741</v>
      </c>
      <c r="AI57" s="13">
        <f>IF('Données projet'!$A$62&gt;35,AI56+AH57-AQ56,IF(A57&lt;'Données projet'!$A$62,$AF$205^A57,IF(A57='Données projet'!$A$62,'Données projet'!$B$62,AI56+AH57-AQ56)))</f>
        <v>189.56868131868137</v>
      </c>
      <c r="AJ57" s="13">
        <f>AI57*VLOOKUP('Données projet'!$B$10,Paramètres!$A$1:$I$89,3,0)*VLOOKUP('Données projet'!$B$10,Paramètres!$A$1:$I$89,5,0)</f>
        <v>192.22264285714294</v>
      </c>
      <c r="AK57" s="13">
        <f t="shared" si="35"/>
        <v>48.031014520243914</v>
      </c>
      <c r="AL57" s="20">
        <f t="shared" si="4"/>
        <v>418.44178659894874</v>
      </c>
      <c r="AM57" s="59">
        <f t="shared" si="5"/>
        <v>685.40968903944645</v>
      </c>
      <c r="AN57" s="59">
        <f ca="1">AVERAGE(OFFSET($AM$3,0,0,'Données projet'!$E$10+1,1))-AVERAGE(OFFSET($H$3,0,0,'Données projet'!$E$10+1,1))</f>
        <v>453.05577105995508</v>
      </c>
      <c r="AO57" s="59">
        <f t="shared" si="36"/>
        <v>322.6839824496758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62.809427938317569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3.5192307692307692</v>
      </c>
      <c r="BD57" s="12">
        <f>IF('Données projet'!$A$88&gt;35,BD56+BC57-BL56,IF(A57&lt;'Données projet'!$A$88,$BA$205^A57,IF(A57='Données projet'!$A$88,'Données projet'!$B$88,BD56+BC57-BL56)))</f>
        <v>141.20512820512829</v>
      </c>
      <c r="BE57" s="13">
        <f>BD57*VLOOKUP('Données projet'!$B$11,Paramètres!$A$1:$I$89,3,0)*VLOOKUP('Données projet'!$B$11,Paramètres!$A$1:$I$89,5,0)</f>
        <v>140.97920000000011</v>
      </c>
      <c r="BF57" s="13">
        <f t="shared" si="37"/>
        <v>36.521235387665797</v>
      </c>
      <c r="BG57" s="20">
        <f t="shared" si="7"/>
        <v>309.14659163351809</v>
      </c>
      <c r="BH57" s="59">
        <f t="shared" si="8"/>
        <v>576.11449407401585</v>
      </c>
      <c r="BI57" s="59">
        <f ca="1">AVERAGE(OFFSET($BH$3,0,0,'Données projet'!$E$11+1,1))-AVERAGE(OFFSET($H$3,0,0,'Données projet'!$E$11+1,1))</f>
        <v>411.38162678377478</v>
      </c>
      <c r="BJ57" s="59">
        <f t="shared" si="38"/>
        <v>177.89903563360403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62.809427938317569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5.2</v>
      </c>
      <c r="BY57" s="12">
        <f>IF('Données projet'!$A$114&gt;35,BY56+BX57-CG56,IF(A57&lt;'Données projet'!$A$114,$BV$205^A57,IF(A57='Données projet'!$A$114,'Données projet'!$B$114,BY56+BX57-CG56)))</f>
        <v>175.79999999999998</v>
      </c>
      <c r="BZ57" s="13">
        <f>BY57*VLOOKUP('Données projet'!$B$12,Paramètres!$A$1:$I$89,3,0)*VLOOKUP('Données projet'!$B$12,Paramètres!$A$1:$I$89,5,0)</f>
        <v>183.74616</v>
      </c>
      <c r="CA57" s="13">
        <f t="shared" si="39"/>
        <v>46.154635956048509</v>
      </c>
      <c r="CB57" s="20">
        <f t="shared" si="10"/>
        <v>400.41055295678444</v>
      </c>
      <c r="CC57" s="59">
        <f t="shared" si="11"/>
        <v>667.37845539728221</v>
      </c>
      <c r="CD57" s="59">
        <f ca="1">AVERAGE(OFFSET($CC$3,0,0,'Données projet'!$E$12+1,1))-AVERAGE(OFFSET($H$3,0,0,'Données projet'!$E$12+1,1))</f>
        <v>374.38550202939507</v>
      </c>
      <c r="CE57" s="59">
        <f t="shared" si="40"/>
        <v>324.37486924296718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11.006328240685033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11.006328240685033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62.809427938317569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6.3942307692307701</v>
      </c>
      <c r="CT57" s="12">
        <f>IF('Données projet'!$A$140&gt;35,CT56+CS57-DB56,IF(A57&lt;'Données projet'!$A$140,$CQ$205^A57,IF(A57='Données projet'!$A$140,'Données projet'!$B$140,CT56+CS57-DB56)))</f>
        <v>127.28525641025638</v>
      </c>
      <c r="CU57" s="17">
        <f>CT57*VLOOKUP('Données projet'!$B$13,Paramètres!$A$1:$I$89,3,0)*VLOOKUP('Données projet'!$B$13,Paramètres!$A$1:$I$89,5,0)</f>
        <v>121.12464999999997</v>
      </c>
      <c r="CV57" s="13">
        <f t="shared" si="41"/>
        <v>31.937162858052172</v>
      </c>
      <c r="CW57" s="20">
        <f t="shared" si="13"/>
        <v>266.58265739444079</v>
      </c>
      <c r="CX57" s="59">
        <f t="shared" si="14"/>
        <v>533.55055983493855</v>
      </c>
      <c r="CY57" s="59">
        <f ca="1">AVERAGE(OFFSET($CX$3,0,0,'Données projet'!$E$13+1,1))-AVERAGE(OFFSET($H$3,0,0,'Données projet'!$E$13+1,1))</f>
        <v>392.81074187112989</v>
      </c>
      <c r="CZ57" s="59">
        <f t="shared" si="42"/>
        <v>236.19146849073687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62.809427938317569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6.3942307692307701</v>
      </c>
      <c r="DO57" s="12">
        <f>IF('Données projet'!$A$166&gt;35,DO56+DN57-DW56,IF(A57&lt;'Données projet'!$A$166,$DL$205^A57,IF(A57='Données projet'!$A$166,'Données projet'!$B$166,DO56+DN57-DW56)))</f>
        <v>127.28525641025638</v>
      </c>
      <c r="DP57" s="17">
        <f>DO57*VLOOKUP('Données projet'!$B$14,Paramètres!$A$1:$I$89,3,0)*VLOOKUP('Données projet'!$B$14,Paramètres!$A$1:$I$89,5,0)</f>
        <v>137.00984999999997</v>
      </c>
      <c r="DQ57" s="13">
        <f t="shared" si="43"/>
        <v>35.611145784194349</v>
      </c>
      <c r="DR57" s="20">
        <f t="shared" si="16"/>
        <v>300.6482343241384</v>
      </c>
      <c r="DS57" s="59">
        <f t="shared" si="17"/>
        <v>567.61613676463617</v>
      </c>
      <c r="DT57" s="59">
        <f ca="1">AVERAGE(OFFSET($DS$3,0,0,'Données projet'!$E$14+1,1))-AVERAGE(OFFSET($H$3,0,0,'Données projet'!$E$14+1,1))</f>
        <v>434.77799524785502</v>
      </c>
      <c r="DU57" s="59">
        <f t="shared" si="44"/>
        <v>259.85949838170006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62.809427938317569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6.3942307692307701</v>
      </c>
      <c r="EJ57" s="12">
        <f>IF('Données projet'!$A$192&gt;35,EJ56+EI57-ER56,IF(A57&lt;'Données projet'!$A$192,$EG$205^A57,IF(A57='Données projet'!$A$192,'Données projet'!$B$192,EJ56+EI57-ER56)))</f>
        <v>127.28525641025638</v>
      </c>
      <c r="EK57" s="17">
        <f>EJ57*VLOOKUP('Données projet'!$B$15,Paramètres!$A$1:$I$89,3,0)*VLOOKUP('Données projet'!$B$15,Paramètres!$A$1:$I$89,5,0)</f>
        <v>123.11029999999998</v>
      </c>
      <c r="EL57" s="13">
        <f t="shared" si="45"/>
        <v>32.399341802259549</v>
      </c>
      <c r="EM57" s="20">
        <f t="shared" si="19"/>
        <v>270.8459594722687</v>
      </c>
      <c r="EN57" s="59">
        <f t="shared" si="20"/>
        <v>537.81386191276647</v>
      </c>
      <c r="EO57" s="59">
        <f ca="1">AVERAGE(OFFSET($EN$3,0,0,'Données projet'!$E$15+1,1))-AVERAGE(OFFSET($H$3,0,0,'Données projet'!$E$15+1,1))</f>
        <v>398.06270423055565</v>
      </c>
      <c r="EP57" s="59">
        <f t="shared" si="46"/>
        <v>239.15364562040614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62.809427938317569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12.837499999999991</v>
      </c>
      <c r="FE57" s="12">
        <f>IF('Données projet'!$A$218&gt;35,FE56+FD57-FM56,IF(A57&lt;'Données projet'!$A$218,$FB$205^A57,IF(A57='Données projet'!$A$218,'Données projet'!$B$218,FE56+FD57-FM56)))</f>
        <v>420.80192307692289</v>
      </c>
      <c r="FF57" s="17">
        <f>FE57*VLOOKUP('Données projet'!$B$16,Paramètres!$A$1:$I$89,3,0)*VLOOKUP('Données projet'!$B$16,Paramètres!$A$1:$I$89,5,0)</f>
        <v>251.63954999999993</v>
      </c>
      <c r="FG57" s="13">
        <f t="shared" si="47"/>
        <v>60.936892129812684</v>
      </c>
      <c r="FH57" s="20">
        <f t="shared" si="22"/>
        <v>544.4039700427569</v>
      </c>
      <c r="FI57" s="59">
        <f t="shared" si="23"/>
        <v>811.37187248325472</v>
      </c>
      <c r="FJ57" s="59">
        <f ca="1">AVERAGE(OFFSET($FI$3,0,0,'Données projet'!$E$16+1,1))-AVERAGE(OFFSET($H$3,0,0,'Données projet'!$E$16+1,1))</f>
        <v>334.13861979962491</v>
      </c>
      <c r="FK57" s="59">
        <f t="shared" si="48"/>
        <v>416.48635183664305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53.35194882573424</v>
      </c>
      <c r="FR57" s="21">
        <f>EXP(-LN(2)/25)*FR56+(1-EXP(-LN(2)/25))/(LN(2)/25)*Calculateur!FM57*Calculateur!FO57*VLOOKUP('Données projet'!$B$16,Paramètres!$A$1:$I$89,3,0)*0.475*44/12</f>
        <v>18.529229389069542</v>
      </c>
      <c r="FS57" s="21">
        <f>EXP(-LN(2)/2)*FS56+(1-EXP(-LN(2)/2))/(LN(2)/2)*FM57*FP57*VLOOKUP('Données projet'!$B$16,Paramètres!$A$1:$I$89,3,0)*0.475*44/12</f>
        <v>1.005984280993955</v>
      </c>
      <c r="FT57" s="22">
        <f t="shared" si="24"/>
        <v>72.887162495797739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62.809427938317569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14.668131868131875</v>
      </c>
      <c r="FZ57" s="12">
        <f>IF('Données projet'!$A$244&gt;35,FZ56+FY57-GH56,IF(A57&lt;'Données projet'!$A$244,$FW$205^A57,IF(A57='Données projet'!$A$244,'Données projet'!$B$244,FZ56+FY57-GH56)))</f>
        <v>318.71758241758243</v>
      </c>
      <c r="GA57" s="17">
        <f>FZ57*VLOOKUP('Données projet'!$B$17,Paramètres!$A$1:$I$89,3,0)*VLOOKUP('Données projet'!$B$17,Paramètres!$A$1:$I$89,5,0)</f>
        <v>149.15982857142859</v>
      </c>
      <c r="GB57" s="13">
        <f t="shared" si="49"/>
        <v>38.387591277502224</v>
      </c>
      <c r="GC57" s="20">
        <f t="shared" si="25"/>
        <v>326.64508957022116</v>
      </c>
      <c r="GD57" s="59">
        <f t="shared" si="26"/>
        <v>593.61299201071893</v>
      </c>
      <c r="GE57" s="59">
        <f ca="1">AVERAGE(OFFSET($GD$3,0,0,'Données projet'!$E$17+1,1))-AVERAGE(OFFSET($H$3,0,0,'Données projet'!$E$17+1,1))</f>
        <v>317.79829681023142</v>
      </c>
      <c r="GF57" s="59">
        <f t="shared" si="50"/>
        <v>275.07716943523621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20.452970627596589</v>
      </c>
      <c r="GM57" s="21">
        <f>EXP(-LN(2)/25)*GM56+(1-EXP(-LN(2)/25))/(LN(2)/25)*Calculateur!GH57*Calculateur!GJ57*VLOOKUP('Données projet'!$B$17,Paramètres!$A$1:$I$89,3,0)*0.475*44/12</f>
        <v>29.258942192573588</v>
      </c>
      <c r="GN57" s="21">
        <f>EXP(-LN(2)/2)*GN56+(1-EXP(-LN(2)/2))/(LN(2)/2)*GH57*GK57*VLOOKUP('Données projet'!$B$17,Paramètres!$A$1:$I$89,3,0)*0.475*44/12</f>
        <v>1.8233419506485884</v>
      </c>
      <c r="GO57" s="21">
        <f t="shared" si="27"/>
        <v>51.535254770818767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62.809427938317569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16.227472527472521</v>
      </c>
      <c r="GU57" s="12">
        <f>IF('Données projet'!$A$270&gt;35,GU56+GT57-HC56,IF(A57&lt;'Données projet'!$A$270,$GR$205^A57,IF(A57='Données projet'!$A$270,'Données projet'!$B$270,GU56+GT57-HC56)))</f>
        <v>395.25274725274721</v>
      </c>
      <c r="GV57" s="17">
        <f>GU57*VLOOKUP('Données projet'!$B$18,Paramètres!$A$1:$I$89,3,0)*VLOOKUP('Données projet'!$B$18,Paramètres!$A$1:$I$89,5,0)</f>
        <v>220.94628571428569</v>
      </c>
      <c r="GW57" s="13">
        <f t="shared" si="51"/>
        <v>54.320504840756463</v>
      </c>
      <c r="GX57" s="20">
        <f t="shared" si="28"/>
        <v>479.42299355003178</v>
      </c>
      <c r="GY57" s="59">
        <f t="shared" si="29"/>
        <v>746.39089599052954</v>
      </c>
      <c r="GZ57" s="59">
        <f ca="1">AVERAGE(OFFSET($GY$3,0,0,'Données projet'!$E$18+1,1))-AVERAGE(OFFSET($H$3,0,0,'Données projet'!$E$18+1,1))</f>
        <v>336.21787234885699</v>
      </c>
      <c r="HA57" s="59">
        <f t="shared" si="52"/>
        <v>315.36156736899113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55.364648223046935</v>
      </c>
      <c r="HH57" s="21">
        <f>EXP(-LN(2)/25)*HH56+(1-EXP(-LN(2)/25))/(LN(2)/25)*Calculateur!HC57*Calculateur!HE57*VLOOKUP('Données projet'!$B$18,Paramètres!$A$1:$I$89,3,0)*0.475*44/12</f>
        <v>24.033734120083402</v>
      </c>
      <c r="HI57" s="21">
        <f>EXP(-LN(2)/2)*HI56+(1-EXP(-LN(2)/2))/(LN(2)/2)*HC57*HF57*VLOOKUP('Données projet'!$B$18,Paramètres!$A$1:$I$89,3,0)*0.475*44/12</f>
        <v>1.4514561514803361</v>
      </c>
      <c r="HJ57" s="22">
        <f t="shared" si="30"/>
        <v>80.84983849461068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3.7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13.566666666666668</v>
      </c>
      <c r="H58" s="67">
        <f t="shared" si="1"/>
        <v>202.4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62.934168287876943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198.44230769230774</v>
      </c>
      <c r="O58" s="13">
        <f>N58*VLOOKUP('Données projet'!$B$9,Paramètres!$A$1:$I$89,3,0)*VLOOKUP('Données projet'!$B$9,Paramètres!$A$1:$I$89,5,0)</f>
        <v>179.55060000000003</v>
      </c>
      <c r="P58" s="13">
        <f t="shared" si="33"/>
        <v>45.22218840459005</v>
      </c>
      <c r="Q58" s="20">
        <f t="shared" si="53"/>
        <v>391.47927313799437</v>
      </c>
      <c r="R58" s="59">
        <f t="shared" si="0"/>
        <v>658.90455686020982</v>
      </c>
      <c r="S58" s="59">
        <f ca="1">AVERAGE(OFFSET($R$3,0,0,'Données projet'!$E$9+1,1))-AVERAGE(OFFSET($H$3,0,0,'Données projet'!$E$9+1,1))</f>
        <v>411.64357329340851</v>
      </c>
      <c r="T58" s="59">
        <f t="shared" si="34"/>
        <v>294.07942258675632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62.934168287876943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198.44230769230768</v>
      </c>
      <c r="AG58" s="12">
        <f>VLOOKUP(A58,'Données projet'!$A$61:$I$81,9,0)</f>
        <v>8.8736263736263741</v>
      </c>
      <c r="AH58" s="12">
        <f t="array" ref="AH58">INDEX(AG:AG,MIN(IF(ISNUMBER(AG58:AG254),ROW(AG58:AG254),"")))</f>
        <v>8.8736263736263741</v>
      </c>
      <c r="AI58" s="13">
        <f>IF('Données projet'!$A$62&gt;35,AI57+AH58-AQ57,IF(A58&lt;'Données projet'!$A$62,$AF$205^A58,IF(A58='Données projet'!$A$62,'Données projet'!$B$62,AI57+AH58-AQ57)))</f>
        <v>198.44230769230774</v>
      </c>
      <c r="AJ58" s="13">
        <f>AI58*VLOOKUP('Données projet'!$B$10,Paramètres!$A$1:$I$89,3,0)*VLOOKUP('Données projet'!$B$10,Paramètres!$A$1:$I$89,5,0)</f>
        <v>201.22050000000007</v>
      </c>
      <c r="AK58" s="13">
        <f t="shared" si="35"/>
        <v>50.012301634497518</v>
      </c>
      <c r="AL58" s="20">
        <f t="shared" si="4"/>
        <v>437.56379618008327</v>
      </c>
      <c r="AM58" s="59">
        <f t="shared" si="5"/>
        <v>704.98907990229873</v>
      </c>
      <c r="AN58" s="59">
        <f ca="1">AVERAGE(OFFSET($AM$3,0,0,'Données projet'!$E$10+1,1))-AVERAGE(OFFSET($H$3,0,0,'Données projet'!$E$10+1,1))</f>
        <v>453.05577105995508</v>
      </c>
      <c r="AO58" s="59">
        <f t="shared" si="36"/>
        <v>322.6839824496758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45.147435897435898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62.934168287876943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3.5192307692307692</v>
      </c>
      <c r="BD58" s="12">
        <f>IF('Données projet'!$A$88&gt;35,BD57+BC58-BL57,IF(A58&lt;'Données projet'!$A$88,$BA$205^A58,IF(A58='Données projet'!$A$88,'Données projet'!$B$88,BD57+BC58-BL57)))</f>
        <v>144.72435897435906</v>
      </c>
      <c r="BE58" s="13">
        <f>BD58*VLOOKUP('Données projet'!$B$11,Paramètres!$A$1:$I$89,3,0)*VLOOKUP('Données projet'!$B$11,Paramètres!$A$1:$I$89,5,0)</f>
        <v>144.4928000000001</v>
      </c>
      <c r="BF58" s="13">
        <f t="shared" si="37"/>
        <v>37.324343131435604</v>
      </c>
      <c r="BG58" s="20">
        <f t="shared" si="7"/>
        <v>316.66485762058386</v>
      </c>
      <c r="BH58" s="59">
        <f t="shared" si="8"/>
        <v>584.09014134279937</v>
      </c>
      <c r="BI58" s="59">
        <f ca="1">AVERAGE(OFFSET($BH$3,0,0,'Données projet'!$E$11+1,1))-AVERAGE(OFFSET($H$3,0,0,'Données projet'!$E$11+1,1))</f>
        <v>411.38162678377478</v>
      </c>
      <c r="BJ58" s="59">
        <f t="shared" si="38"/>
        <v>177.89903563360403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62.934168287876943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181</v>
      </c>
      <c r="BW58" s="12">
        <f>VLOOKUP(A58,'Données projet'!$A$113:$I$133,9,0)</f>
        <v>5.2</v>
      </c>
      <c r="BX58" s="12">
        <f t="array" ref="BX58">INDEX(BW:BW,MIN(IF(ISNUMBER(BW58:BW254),ROW(BW58:BW254),"")))</f>
        <v>5.2</v>
      </c>
      <c r="BY58" s="12">
        <f>IF('Données projet'!$A$114&gt;35,BY57+BX58-CG57,IF(A58&lt;'Données projet'!$A$114,$BV$205^A58,IF(A58='Données projet'!$A$114,'Données projet'!$B$114,BY57+BX58-CG57)))</f>
        <v>180.99999999999997</v>
      </c>
      <c r="BZ58" s="13">
        <f>BY58*VLOOKUP('Données projet'!$B$12,Paramètres!$A$1:$I$89,3,0)*VLOOKUP('Données projet'!$B$12,Paramètres!$A$1:$I$89,5,0)</f>
        <v>189.18119999999999</v>
      </c>
      <c r="CA58" s="13">
        <f t="shared" si="39"/>
        <v>47.358882320604579</v>
      </c>
      <c r="CB58" s="20">
        <f t="shared" si="10"/>
        <v>411.97397670838626</v>
      </c>
      <c r="CC58" s="59">
        <f t="shared" si="11"/>
        <v>679.39926043060177</v>
      </c>
      <c r="CD58" s="59">
        <f ca="1">AVERAGE(OFFSET($CC$3,0,0,'Données projet'!$E$12+1,1))-AVERAGE(OFFSET($H$3,0,0,'Données projet'!$E$12+1,1))</f>
        <v>374.38550202939507</v>
      </c>
      <c r="CE58" s="59">
        <f t="shared" si="40"/>
        <v>324.37486924296718</v>
      </c>
      <c r="CF58" s="15">
        <f>IF(ISNA(VLOOKUP(A58,'Données projet'!$A$113:$I$133,3,0)),0,VLOOKUP(A58,'Données projet'!$A$113:$I$133,3,0))</f>
        <v>8</v>
      </c>
      <c r="CG58" s="15" t="str">
        <f>IF(ISNA(VLOOKUP(A58,'Données projet'!$A$113:$I$133,4,0)),0,VLOOKUP(A58,'Données projet'!$A$113:$I$133,4,0))</f>
        <v>17</v>
      </c>
      <c r="CH58" s="16">
        <f>IF(ISNA(VLOOKUP(A58,'Données projet'!$A$113:$I$133,5,0)),0%,VLOOKUP(A58,'Données projet'!$A$113:$I$133,5,0)*VLOOKUP('Données projet'!$B$12,Paramètres!$A$1:$I$89,7,0))</f>
        <v>0.17200000000000001</v>
      </c>
      <c r="CI58" s="16">
        <f>IF(ISNA(VLOOKUP(A58,'Données projet'!$A$113:$I$133,6,0)),0%,VLOOKUP(A58,'Données projet'!$A$113:$I$133,6,0)*VLOOKUP('Données projet'!$B$12,Paramètres!$A$1:$I$89,7,0))</f>
        <v>0.17200000000000001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3.3784996613712432</v>
      </c>
      <c r="CL58" s="21">
        <f>EXP(-LN(2)/25)*CL57+(1-EXP(-LN(2)/25))/(LN(2)/25)*Calculateur!CG58*Calculateur!CI58*VLOOKUP('Données projet'!$B$12,Paramètres!$A$1:$I$89,3,0)*0.475*44/12</f>
        <v>14.070556837040984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17.449056498412226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62.934168287876943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6.3942307692307701</v>
      </c>
      <c r="CT58" s="12">
        <f>IF('Données projet'!$A$140&gt;35,CT57+CS58-DB57,IF(A58&lt;'Données projet'!$A$140,$CQ$205^A58,IF(A58='Données projet'!$A$140,'Données projet'!$B$140,CT57+CS58-DB57)))</f>
        <v>133.67948717948715</v>
      </c>
      <c r="CU58" s="17">
        <f>CT58*VLOOKUP('Données projet'!$B$13,Paramètres!$A$1:$I$89,3,0)*VLOOKUP('Données projet'!$B$13,Paramètres!$A$1:$I$89,5,0)</f>
        <v>127.20939999999997</v>
      </c>
      <c r="CV58" s="13">
        <f t="shared" si="41"/>
        <v>33.350721496721917</v>
      </c>
      <c r="CW58" s="20">
        <f t="shared" si="13"/>
        <v>279.64221160679057</v>
      </c>
      <c r="CX58" s="59">
        <f t="shared" si="14"/>
        <v>547.06749532900608</v>
      </c>
      <c r="CY58" s="59">
        <f ca="1">AVERAGE(OFFSET($CX$3,0,0,'Données projet'!$E$13+1,1))-AVERAGE(OFFSET($H$3,0,0,'Données projet'!$E$13+1,1))</f>
        <v>392.81074187112989</v>
      </c>
      <c r="CZ58" s="59">
        <f t="shared" si="42"/>
        <v>236.19146849073687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62.934168287876943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6.3942307692307701</v>
      </c>
      <c r="DO58" s="12">
        <f>IF('Données projet'!$A$166&gt;35,DO57+DN58-DW57,IF(A58&lt;'Données projet'!$A$166,$DL$205^A58,IF(A58='Données projet'!$A$166,'Données projet'!$B$166,DO57+DN58-DW57)))</f>
        <v>133.67948717948715</v>
      </c>
      <c r="DP58" s="17">
        <f>DO58*VLOOKUP('Données projet'!$B$14,Paramètres!$A$1:$I$89,3,0)*VLOOKUP('Données projet'!$B$14,Paramètres!$A$1:$I$89,5,0)</f>
        <v>143.89259999999996</v>
      </c>
      <c r="DQ58" s="13">
        <f t="shared" si="43"/>
        <v>37.187317186141065</v>
      </c>
      <c r="DR58" s="20">
        <f t="shared" si="16"/>
        <v>315.38085576586224</v>
      </c>
      <c r="DS58" s="59">
        <f t="shared" si="17"/>
        <v>582.80613948807763</v>
      </c>
      <c r="DT58" s="59">
        <f ca="1">AVERAGE(OFFSET($DS$3,0,0,'Données projet'!$E$14+1,1))-AVERAGE(OFFSET($H$3,0,0,'Données projet'!$E$14+1,1))</f>
        <v>434.77799524785502</v>
      </c>
      <c r="DU58" s="59">
        <f t="shared" si="44"/>
        <v>259.85949838170006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62.934168287876943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6.3942307692307701</v>
      </c>
      <c r="EJ58" s="12">
        <f>IF('Données projet'!$A$192&gt;35,EJ57+EI58-ER57,IF(A58&lt;'Données projet'!$A$192,$EG$205^A58,IF(A58='Données projet'!$A$192,'Données projet'!$B$192,EJ57+EI58-ER57)))</f>
        <v>133.67948717948715</v>
      </c>
      <c r="EK58" s="17">
        <f>EJ58*VLOOKUP('Données projet'!$B$15,Paramètres!$A$1:$I$89,3,0)*VLOOKUP('Données projet'!$B$15,Paramètres!$A$1:$I$89,5,0)</f>
        <v>129.29479999999998</v>
      </c>
      <c r="EL58" s="13">
        <f t="shared" si="45"/>
        <v>33.833356767688763</v>
      </c>
      <c r="EM58" s="20">
        <f t="shared" si="19"/>
        <v>284.11487303705792</v>
      </c>
      <c r="EN58" s="59">
        <f t="shared" si="20"/>
        <v>551.54015675927337</v>
      </c>
      <c r="EO58" s="59">
        <f ca="1">AVERAGE(OFFSET($EN$3,0,0,'Données projet'!$E$15+1,1))-AVERAGE(OFFSET($H$3,0,0,'Données projet'!$E$15+1,1))</f>
        <v>398.06270423055565</v>
      </c>
      <c r="EP58" s="59">
        <f t="shared" si="46"/>
        <v>239.15364562040614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62.934168287876943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12.837499999999991</v>
      </c>
      <c r="FE58" s="12">
        <f>IF('Données projet'!$A$218&gt;35,FE57+FD58-FM57,IF(A58&lt;'Données projet'!$A$218,$FB$205^A58,IF(A58='Données projet'!$A$218,'Données projet'!$B$218,FE57+FD58-FM57)))</f>
        <v>433.63942307692287</v>
      </c>
      <c r="FF58" s="17">
        <f>FE58*VLOOKUP('Données projet'!$B$16,Paramètres!$A$1:$I$89,3,0)*VLOOKUP('Données projet'!$B$16,Paramètres!$A$1:$I$89,5,0)</f>
        <v>259.31637499999988</v>
      </c>
      <c r="FG58" s="13">
        <f t="shared" si="47"/>
        <v>62.576634410968637</v>
      </c>
      <c r="FH58" s="20">
        <f t="shared" si="22"/>
        <v>560.63032472410339</v>
      </c>
      <c r="FI58" s="59">
        <f t="shared" si="23"/>
        <v>828.05560844631884</v>
      </c>
      <c r="FJ58" s="59">
        <f ca="1">AVERAGE(OFFSET($FI$3,0,0,'Données projet'!$E$16+1,1))-AVERAGE(OFFSET($H$3,0,0,'Données projet'!$E$16+1,1))</f>
        <v>334.13861979962491</v>
      </c>
      <c r="FK58" s="59">
        <f t="shared" si="48"/>
        <v>416.48635183664305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52.30574965073717</v>
      </c>
      <c r="FR58" s="21">
        <f>EXP(-LN(2)/25)*FR57+(1-EXP(-LN(2)/25))/(LN(2)/25)*Calculateur!FM58*Calculateur!FO58*VLOOKUP('Données projet'!$B$16,Paramètres!$A$1:$I$89,3,0)*0.475*44/12</f>
        <v>18.022546637015612</v>
      </c>
      <c r="FS58" s="21">
        <f>EXP(-LN(2)/2)*FS57+(1-EXP(-LN(2)/2))/(LN(2)/2)*FM58*FP58*VLOOKUP('Données projet'!$B$16,Paramètres!$A$1:$I$89,3,0)*0.475*44/12</f>
        <v>0.71133830685789889</v>
      </c>
      <c r="FT58" s="22">
        <f t="shared" si="24"/>
        <v>71.039634594610675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62.934168287876943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14.668131868131875</v>
      </c>
      <c r="FZ58" s="12">
        <f>IF('Données projet'!$A$244&gt;35,FZ57+FY58-GH57,IF(A58&lt;'Données projet'!$A$244,$FW$205^A58,IF(A58='Données projet'!$A$244,'Données projet'!$B$244,FZ57+FY58-GH57)))</f>
        <v>333.3857142857143</v>
      </c>
      <c r="GA58" s="17">
        <f>FZ58*VLOOKUP('Données projet'!$B$17,Paramètres!$A$1:$I$89,3,0)*VLOOKUP('Données projet'!$B$17,Paramètres!$A$1:$I$89,5,0)</f>
        <v>156.0245142857143</v>
      </c>
      <c r="GB58" s="13">
        <f t="shared" si="49"/>
        <v>39.944524680961258</v>
      </c>
      <c r="GC58" s="20">
        <f t="shared" si="25"/>
        <v>341.31274286695992</v>
      </c>
      <c r="GD58" s="59">
        <f t="shared" si="26"/>
        <v>608.73802658917543</v>
      </c>
      <c r="GE58" s="59">
        <f ca="1">AVERAGE(OFFSET($GD$3,0,0,'Données projet'!$E$17+1,1))-AVERAGE(OFFSET($H$3,0,0,'Données projet'!$E$17+1,1))</f>
        <v>317.79829681023142</v>
      </c>
      <c r="GF58" s="59">
        <f t="shared" si="50"/>
        <v>275.07716943523621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20.05190034866969</v>
      </c>
      <c r="GM58" s="21">
        <f>EXP(-LN(2)/25)*GM57+(1-EXP(-LN(2)/25))/(LN(2)/25)*Calculateur!GH58*Calculateur!GJ58*VLOOKUP('Données projet'!$B$17,Paramètres!$A$1:$I$89,3,0)*0.475*44/12</f>
        <v>28.458854879656766</v>
      </c>
      <c r="GN58" s="21">
        <f>EXP(-LN(2)/2)*GN57+(1-EXP(-LN(2)/2))/(LN(2)/2)*GH58*GK58*VLOOKUP('Données projet'!$B$17,Paramètres!$A$1:$I$89,3,0)*0.475*44/12</f>
        <v>1.2892974577255243</v>
      </c>
      <c r="GO58" s="21">
        <f t="shared" si="27"/>
        <v>49.800052686051984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62.934168287876943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16.227472527472521</v>
      </c>
      <c r="GU58" s="12">
        <f>IF('Données projet'!$A$270&gt;35,GU57+GT58-HC57,IF(A58&lt;'Données projet'!$A$270,$GR$205^A58,IF(A58='Données projet'!$A$270,'Données projet'!$B$270,GU57+GT58-HC57)))</f>
        <v>411.48021978021973</v>
      </c>
      <c r="GV58" s="17">
        <f>GU58*VLOOKUP('Données projet'!$B$18,Paramètres!$A$1:$I$89,3,0)*VLOOKUP('Données projet'!$B$18,Paramètres!$A$1:$I$89,5,0)</f>
        <v>230.01744285714284</v>
      </c>
      <c r="GW58" s="13">
        <f t="shared" si="51"/>
        <v>56.286453068022915</v>
      </c>
      <c r="GX58" s="20">
        <f t="shared" si="28"/>
        <v>498.64595206966368</v>
      </c>
      <c r="GY58" s="59">
        <f t="shared" si="29"/>
        <v>766.07123579187919</v>
      </c>
      <c r="GZ58" s="59">
        <f ca="1">AVERAGE(OFFSET($GY$3,0,0,'Données projet'!$E$18+1,1))-AVERAGE(OFFSET($H$3,0,0,'Données projet'!$E$18+1,1))</f>
        <v>336.21787234885699</v>
      </c>
      <c r="HA58" s="59">
        <f t="shared" si="52"/>
        <v>315.36156736899113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54.278981240493977</v>
      </c>
      <c r="HH58" s="21">
        <f>EXP(-LN(2)/25)*HH57+(1-EXP(-LN(2)/25))/(LN(2)/25)*Calculateur!HC58*Calculateur!HE58*VLOOKUP('Données projet'!$B$18,Paramètres!$A$1:$I$89,3,0)*0.475*44/12</f>
        <v>23.376530396690573</v>
      </c>
      <c r="HI58" s="21">
        <f>EXP(-LN(2)/2)*HI57+(1-EXP(-LN(2)/2))/(LN(2)/2)*HC58*HF58*VLOOKUP('Données projet'!$B$18,Paramètres!$A$1:$I$89,3,0)*0.475*44/12</f>
        <v>1.0263344873066744</v>
      </c>
      <c r="HJ58" s="22">
        <f t="shared" si="30"/>
        <v>78.681846124491216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3.7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13.566666666666668</v>
      </c>
      <c r="H59" s="67">
        <f t="shared" si="1"/>
        <v>202.4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63.056744671249106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161.66907051282055</v>
      </c>
      <c r="O59" s="13">
        <f>N59*VLOOKUP('Données projet'!$B$9,Paramètres!$A$1:$I$89,3,0)*VLOOKUP('Données projet'!$B$9,Paramètres!$A$1:$I$89,5,0)</f>
        <v>146.27817500000003</v>
      </c>
      <c r="P59" s="13">
        <f t="shared" si="33"/>
        <v>37.731554716297467</v>
      </c>
      <c r="Q59" s="20">
        <f t="shared" si="53"/>
        <v>320.48361258921813</v>
      </c>
      <c r="R59" s="59">
        <f t="shared" si="0"/>
        <v>588.35834305046478</v>
      </c>
      <c r="S59" s="59">
        <f ca="1">AVERAGE(OFFSET($R$3,0,0,'Données projet'!$E$9+1,1))-AVERAGE(OFFSET($H$3,0,0,'Données projet'!$E$9+1,1))</f>
        <v>411.64357329340851</v>
      </c>
      <c r="T59" s="59">
        <f t="shared" si="34"/>
        <v>294.07942258675632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63.056744671249106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8.374198717948719</v>
      </c>
      <c r="AI59" s="13">
        <f>IF('Données projet'!$A$62&gt;35,AI58+AH59-AQ58,IF(A59&lt;'Données projet'!$A$62,$AF$205^A59,IF(A59='Données projet'!$A$62,'Données projet'!$B$62,AI58+AH59-AQ58)))</f>
        <v>161.66907051282055</v>
      </c>
      <c r="AJ59" s="13">
        <f>AI59*VLOOKUP('Données projet'!$B$10,Paramètres!$A$1:$I$89,3,0)*VLOOKUP('Données projet'!$B$10,Paramètres!$A$1:$I$89,5,0)</f>
        <v>163.93243750000005</v>
      </c>
      <c r="AK59" s="13">
        <f t="shared" si="35"/>
        <v>41.728230370613375</v>
      </c>
      <c r="AL59" s="20">
        <f t="shared" si="4"/>
        <v>358.1923298746517</v>
      </c>
      <c r="AM59" s="59">
        <f t="shared" si="5"/>
        <v>626.06706033589842</v>
      </c>
      <c r="AN59" s="59">
        <f ca="1">AVERAGE(OFFSET($AM$3,0,0,'Données projet'!$E$10+1,1))-AVERAGE(OFFSET($H$3,0,0,'Données projet'!$E$10+1,1))</f>
        <v>453.05577105995508</v>
      </c>
      <c r="AO59" s="59">
        <f t="shared" si="36"/>
        <v>322.6839824496758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63.056744671249106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3.5192307692307692</v>
      </c>
      <c r="BD59" s="12">
        <f>IF('Données projet'!$A$88&gt;35,BD58+BC59-BL58,IF(A59&lt;'Données projet'!$A$88,$BA$205^A59,IF(A59='Données projet'!$A$88,'Données projet'!$B$88,BD58+BC59-BL58)))</f>
        <v>148.24358974358984</v>
      </c>
      <c r="BE59" s="13">
        <f>BD59*VLOOKUP('Données projet'!$B$11,Paramètres!$A$1:$I$89,3,0)*VLOOKUP('Données projet'!$B$11,Paramètres!$A$1:$I$89,5,0)</f>
        <v>148.0064000000001</v>
      </c>
      <c r="BF59" s="13">
        <f t="shared" si="37"/>
        <v>38.125180677624165</v>
      </c>
      <c r="BG59" s="20">
        <f t="shared" si="7"/>
        <v>324.17916968019557</v>
      </c>
      <c r="BH59" s="59">
        <f t="shared" si="8"/>
        <v>592.05390014144223</v>
      </c>
      <c r="BI59" s="59">
        <f ca="1">AVERAGE(OFFSET($BH$3,0,0,'Données projet'!$E$11+1,1))-AVERAGE(OFFSET($H$3,0,0,'Données projet'!$E$11+1,1))</f>
        <v>411.38162678377478</v>
      </c>
      <c r="BJ59" s="59">
        <f t="shared" si="38"/>
        <v>177.89903563360403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63.056744671249106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</v>
      </c>
      <c r="BY59" s="12">
        <f>IF('Données projet'!$A$114&gt;35,BY58+BX59-CG58,IF(A59&lt;'Données projet'!$A$114,$BV$205^A59,IF(A59='Données projet'!$A$114,'Données projet'!$B$114,BY58+BX59-CG58)))</f>
        <v>168.99999999999997</v>
      </c>
      <c r="BZ59" s="13">
        <f>BY59*VLOOKUP('Données projet'!$B$12,Paramètres!$A$1:$I$89,3,0)*VLOOKUP('Données projet'!$B$12,Paramètres!$A$1:$I$89,5,0)</f>
        <v>176.6388</v>
      </c>
      <c r="CA59" s="13">
        <f t="shared" si="39"/>
        <v>44.573562683497578</v>
      </c>
      <c r="CB59" s="20">
        <f t="shared" si="10"/>
        <v>385.27819834042498</v>
      </c>
      <c r="CC59" s="59">
        <f t="shared" si="11"/>
        <v>653.15292880167169</v>
      </c>
      <c r="CD59" s="59">
        <f ca="1">AVERAGE(OFFSET($CC$3,0,0,'Données projet'!$E$12+1,1))-AVERAGE(OFFSET($H$3,0,0,'Données projet'!$E$12+1,1))</f>
        <v>374.38550202939507</v>
      </c>
      <c r="CE59" s="59">
        <f t="shared" si="40"/>
        <v>324.37486924296718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3.3122493436930713</v>
      </c>
      <c r="CL59" s="21">
        <f>EXP(-LN(2)/25)*CL58+(1-EXP(-LN(2)/25))/(LN(2)/25)*Calculateur!CG59*Calculateur!CI59*VLOOKUP('Données projet'!$B$12,Paramètres!$A$1:$I$89,3,0)*0.475*44/12</f>
        <v>13.685796720393673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16.998046064086743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63.056744671249106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6.3942307692307701</v>
      </c>
      <c r="CT59" s="12">
        <f>IF('Données projet'!$A$140&gt;35,CT58+CS59-DB58,IF(A59&lt;'Données projet'!$A$140,$CQ$205^A59,IF(A59='Données projet'!$A$140,'Données projet'!$B$140,CT58+CS59-DB58)))</f>
        <v>140.07371794871793</v>
      </c>
      <c r="CU59" s="17">
        <f>CT59*VLOOKUP('Données projet'!$B$13,Paramètres!$A$1:$I$89,3,0)*VLOOKUP('Données projet'!$B$13,Paramètres!$A$1:$I$89,5,0)</f>
        <v>133.29414999999997</v>
      </c>
      <c r="CV59" s="13">
        <f t="shared" si="41"/>
        <v>34.756428560390589</v>
      </c>
      <c r="CW59" s="20">
        <f t="shared" si="13"/>
        <v>292.6880909926802</v>
      </c>
      <c r="CX59" s="59">
        <f t="shared" si="14"/>
        <v>560.56282145392697</v>
      </c>
      <c r="CY59" s="59">
        <f ca="1">AVERAGE(OFFSET($CX$3,0,0,'Données projet'!$E$13+1,1))-AVERAGE(OFFSET($H$3,0,0,'Données projet'!$E$13+1,1))</f>
        <v>392.81074187112989</v>
      </c>
      <c r="CZ59" s="59">
        <f t="shared" si="42"/>
        <v>236.19146849073687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63.056744671249106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6.3942307692307701</v>
      </c>
      <c r="DO59" s="12">
        <f>IF('Données projet'!$A$166&gt;35,DO58+DN59-DW58,IF(A59&lt;'Données projet'!$A$166,$DL$205^A59,IF(A59='Données projet'!$A$166,'Données projet'!$B$166,DO58+DN59-DW58)))</f>
        <v>140.07371794871793</v>
      </c>
      <c r="DP59" s="17">
        <f>DO59*VLOOKUP('Données projet'!$B$14,Paramètres!$A$1:$I$89,3,0)*VLOOKUP('Données projet'!$B$14,Paramètres!$A$1:$I$89,5,0)</f>
        <v>150.77534999999997</v>
      </c>
      <c r="DQ59" s="13">
        <f t="shared" si="43"/>
        <v>38.754733784687033</v>
      </c>
      <c r="DR59" s="20">
        <f t="shared" si="16"/>
        <v>330.09822925832987</v>
      </c>
      <c r="DS59" s="59">
        <f t="shared" si="17"/>
        <v>597.97295971957658</v>
      </c>
      <c r="DT59" s="59">
        <f ca="1">AVERAGE(OFFSET($DS$3,0,0,'Données projet'!$E$14+1,1))-AVERAGE(OFFSET($H$3,0,0,'Données projet'!$E$14+1,1))</f>
        <v>434.77799524785502</v>
      </c>
      <c r="DU59" s="59">
        <f t="shared" si="44"/>
        <v>259.85949838170006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63.056744671249106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6.3942307692307701</v>
      </c>
      <c r="EJ59" s="12">
        <f>IF('Données projet'!$A$192&gt;35,EJ58+EI59-ER58,IF(A59&lt;'Données projet'!$A$192,$EG$205^A59,IF(A59='Données projet'!$A$192,'Données projet'!$B$192,EJ58+EI59-ER58)))</f>
        <v>140.07371794871793</v>
      </c>
      <c r="EK59" s="17">
        <f>EJ59*VLOOKUP('Données projet'!$B$15,Paramètres!$A$1:$I$89,3,0)*VLOOKUP('Données projet'!$B$15,Paramètres!$A$1:$I$89,5,0)</f>
        <v>135.47929999999997</v>
      </c>
      <c r="EL59" s="13">
        <f t="shared" si="45"/>
        <v>35.259406533977533</v>
      </c>
      <c r="EM59" s="20">
        <f t="shared" si="19"/>
        <v>297.36991388001081</v>
      </c>
      <c r="EN59" s="59">
        <f t="shared" si="20"/>
        <v>565.24464434125753</v>
      </c>
      <c r="EO59" s="59">
        <f ca="1">AVERAGE(OFFSET($EN$3,0,0,'Données projet'!$E$15+1,1))-AVERAGE(OFFSET($H$3,0,0,'Données projet'!$E$15+1,1))</f>
        <v>398.06270423055565</v>
      </c>
      <c r="EP59" s="59">
        <f t="shared" si="46"/>
        <v>239.15364562040614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63.056744671249106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>
        <f>VLOOKUP(A59,'Données projet'!$A$217:$I$237,2,0)</f>
        <v>446.47692307692301</v>
      </c>
      <c r="FC59" s="12">
        <f>VLOOKUP(A59,'Données projet'!$A$217:$I$237,9,0)</f>
        <v>12.837499999999991</v>
      </c>
      <c r="FD59" s="12">
        <f t="array" ref="FD59">INDEX(FC:FC,MIN(IF(ISNUMBER(FC59:FC255),ROW(FC59:FC255),"")))</f>
        <v>12.837499999999991</v>
      </c>
      <c r="FE59" s="12">
        <f>IF('Données projet'!$A$218&gt;35,FE58+FD59-FM58,IF(A59&lt;'Données projet'!$A$218,$FB$205^A59,IF(A59='Données projet'!$A$218,'Données projet'!$B$218,FE58+FD59-FM58)))</f>
        <v>446.47692307692284</v>
      </c>
      <c r="FF59" s="17">
        <f>FE59*VLOOKUP('Données projet'!$B$16,Paramètres!$A$1:$I$89,3,0)*VLOOKUP('Données projet'!$B$16,Paramètres!$A$1:$I$89,5,0)</f>
        <v>266.99319999999989</v>
      </c>
      <c r="FG59" s="13">
        <f t="shared" si="47"/>
        <v>64.210735131625498</v>
      </c>
      <c r="FH59" s="20">
        <f t="shared" si="22"/>
        <v>576.84685368758085</v>
      </c>
      <c r="FI59" s="59">
        <f t="shared" si="23"/>
        <v>844.72158414882756</v>
      </c>
      <c r="FJ59" s="59">
        <f ca="1">AVERAGE(OFFSET($FI$3,0,0,'Données projet'!$E$16+1,1))-AVERAGE(OFFSET($H$3,0,0,'Données projet'!$E$16+1,1))</f>
        <v>334.13861979962491</v>
      </c>
      <c r="FK59" s="59">
        <f t="shared" si="48"/>
        <v>416.48635183664305</v>
      </c>
      <c r="FL59" s="15">
        <f>IF(ISNA(VLOOKUP(A59,'Données projet'!$A$217:$I$237,3,0)),0,VLOOKUP(A59,'Données projet'!$A$217:$I$237,3,0))</f>
        <v>7</v>
      </c>
      <c r="FM59" s="15">
        <f>IF(ISNA(VLOOKUP(A59,'Données projet'!$A$217:$I$237,4,0)),0,VLOOKUP(A59,'Données projet'!$A$217:$I$237,4,0))</f>
        <v>446.47692307692301</v>
      </c>
      <c r="FN59" s="16">
        <f>IF(ISNA(VLOOKUP(A59,'Données projet'!$A$217:$I$237,5,0)),0%,VLOOKUP(A59,'Données projet'!$A$217:$I$237,5,0)*VLOOKUP('Données projet'!$B$16,Paramètres!$A$1:$I$89,7,0))</f>
        <v>0.315</v>
      </c>
      <c r="FO59" s="16">
        <f>IF(ISNA(VLOOKUP(A59,'Données projet'!$A$217:$I$237,6,0)),0%,VLOOKUP(A59,'Données projet'!$A$217:$I$237,6,0)*VLOOKUP('Données projet'!$B$16,Paramètres!$A$1:$I$89,7,0))</f>
        <v>7.5600000000000001E-2</v>
      </c>
      <c r="FP59" s="16">
        <f>IF(ISNA(VLOOKUP(A59,'Données projet'!$A$217:$I$237,7,0)),0%,VLOOKUP(A59,'Données projet'!$A$217:$I$237,7,0))</f>
        <v>0.13200000000000001</v>
      </c>
      <c r="FQ59" s="21">
        <f>EXP(-LN(2)/35)*FQ58+(1-EXP(-LN(2)/35))/(LN(2)/35)*FM59*FN59*VLOOKUP('Données projet'!$B$16,Paramètres!$A$1:$I$89,3,0)*0.475*44/12</f>
        <v>162.84792782712228</v>
      </c>
      <c r="FR59" s="21">
        <f>EXP(-LN(2)/25)*FR58+(1-EXP(-LN(2)/25))/(LN(2)/25)*Calculateur!FM59*Calculateur!FO59*VLOOKUP('Données projet'!$B$16,Paramètres!$A$1:$I$89,3,0)*0.475*44/12</f>
        <v>44.200577593110729</v>
      </c>
      <c r="FS59" s="21">
        <f>EXP(-LN(2)/2)*FS58+(1-EXP(-LN(2)/2))/(LN(2)/2)*FM59*FP59*VLOOKUP('Données projet'!$B$16,Paramètres!$A$1:$I$89,3,0)*0.475*44/12</f>
        <v>40.406370942809481</v>
      </c>
      <c r="FT59" s="22">
        <f t="shared" si="24"/>
        <v>247.45487636304247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63.056744671249106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>
        <f>VLOOKUP(A59,'Données projet'!$A$243:$I$263,2,0)</f>
        <v>348.05384615384617</v>
      </c>
      <c r="FX59" s="12">
        <f>VLOOKUP(A59,'Données projet'!$A$243:$I$263,9,0)</f>
        <v>14.668131868131875</v>
      </c>
      <c r="FY59" s="12">
        <f t="array" ref="FY59">INDEX(FX:FX,MIN(IF(ISNUMBER(FX59:FX255),ROW(FX59:FX255),"")))</f>
        <v>14.668131868131875</v>
      </c>
      <c r="FZ59" s="12">
        <f>IF('Données projet'!$A$244&gt;35,FZ58+FY59-GH58,IF(A59&lt;'Données projet'!$A$244,$FW$205^A59,IF(A59='Données projet'!$A$244,'Données projet'!$B$244,FZ58+FY59-GH58)))</f>
        <v>348.05384615384617</v>
      </c>
      <c r="GA59" s="17">
        <f>FZ59*VLOOKUP('Données projet'!$B$17,Paramètres!$A$1:$I$89,3,0)*VLOOKUP('Données projet'!$B$17,Paramètres!$A$1:$I$89,5,0)</f>
        <v>162.88919999999999</v>
      </c>
      <c r="GB59" s="13">
        <f t="shared" si="49"/>
        <v>41.493502222820894</v>
      </c>
      <c r="GC59" s="20">
        <f t="shared" si="25"/>
        <v>355.96653970474637</v>
      </c>
      <c r="GD59" s="59">
        <f t="shared" si="26"/>
        <v>623.84127016599314</v>
      </c>
      <c r="GE59" s="59">
        <f ca="1">AVERAGE(OFFSET($GD$3,0,0,'Données projet'!$E$17+1,1))-AVERAGE(OFFSET($H$3,0,0,'Données projet'!$E$17+1,1))</f>
        <v>317.79829681023142</v>
      </c>
      <c r="GF59" s="59">
        <f t="shared" si="50"/>
        <v>275.07716943523621</v>
      </c>
      <c r="GG59" s="15">
        <f>IF(ISNA(VLOOKUP(A59,'Données projet'!$A$243:$I$263,3,0)),0,VLOOKUP(A59,'Données projet'!$A$243:$I$263,3,0))</f>
        <v>3</v>
      </c>
      <c r="GH59" s="15">
        <f>IF(ISNA(VLOOKUP(A59,'Données projet'!$A$243:$I$263,4,0)),0,VLOOKUP(A59,'Données projet'!$A$243:$I$263,4,0))</f>
        <v>72.769230769230759</v>
      </c>
      <c r="GI59" s="16">
        <f>IF(ISNA(VLOOKUP(A59,'Données projet'!$A$243:$I$263,5,0)),0%,VLOOKUP(A59,'Données projet'!$A$243:$I$263,5,0)*VLOOKUP('Données projet'!$B$17,Paramètres!$A$1:$I$89,7,0))</f>
        <v>0.38500000000000001</v>
      </c>
      <c r="GJ59" s="16">
        <f>IF(ISNA(VLOOKUP(A59,'Données projet'!$A$243:$I$263,6,0)),0%,VLOOKUP(A59,'Données projet'!$A$243:$I$263,6,0)*VLOOKUP('Données projet'!$B$17,Paramètres!$A$1:$I$89,7,0))</f>
        <v>9.240000000000001E-2</v>
      </c>
      <c r="GK59" s="16">
        <f>IF(ISNA(VLOOKUP(A59,'Données projet'!$A$243:$I$263,7,0)),0%,VLOOKUP(A59,'Données projet'!$A$243:$I$263,7,0))</f>
        <v>0.13200000000000001</v>
      </c>
      <c r="GL59" s="21">
        <f>EXP(-LN(2)/35)*GL58+(1-EXP(-LN(2)/35))/(LN(2)/35)*GH59*GI59*VLOOKUP('Données projet'!$B$17,Paramètres!$A$1:$I$89,3,0)*0.475*44/12</f>
        <v>37.05202426464669</v>
      </c>
      <c r="GM59" s="21">
        <f>EXP(-LN(2)/25)*GM58+(1-EXP(-LN(2)/25))/(LN(2)/25)*Calculateur!GH59*Calculateur!GJ59*VLOOKUP('Données projet'!$B$17,Paramètres!$A$1:$I$89,3,0)*0.475*44/12</f>
        <v>31.838608865010755</v>
      </c>
      <c r="GN59" s="21">
        <f>EXP(-LN(2)/2)*GN58+(1-EXP(-LN(2)/2))/(LN(2)/2)*GH59*GK59*VLOOKUP('Données projet'!$B$17,Paramètres!$A$1:$I$89,3,0)*0.475*44/12</f>
        <v>6.0014989877663876</v>
      </c>
      <c r="GO59" s="21">
        <f t="shared" si="27"/>
        <v>74.892132117423827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63.056744671249106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>
        <f>VLOOKUP(A59,'Données projet'!$A$269:$I$289,2,0)</f>
        <v>427.7076923076923</v>
      </c>
      <c r="GS59" s="12">
        <f>VLOOKUP(A59,'Données projet'!$A$269:$I$289,9,0)</f>
        <v>16.227472527472521</v>
      </c>
      <c r="GT59" s="12">
        <f t="array" ref="GT59">INDEX(GS:GS,MIN(IF(ISNUMBER(GS59:GS255),ROW(GS59:GS255),"")))</f>
        <v>16.227472527472521</v>
      </c>
      <c r="GU59" s="12">
        <f>IF('Données projet'!$A$270&gt;35,GU58+GT59-HC58,IF(A59&lt;'Données projet'!$A$270,$GR$205^A59,IF(A59='Données projet'!$A$270,'Données projet'!$B$270,GU58+GT59-HC58)))</f>
        <v>427.70769230769224</v>
      </c>
      <c r="GV59" s="17">
        <f>GU59*VLOOKUP('Données projet'!$B$18,Paramètres!$A$1:$I$89,3,0)*VLOOKUP('Données projet'!$B$18,Paramètres!$A$1:$I$89,5,0)</f>
        <v>239.08859999999996</v>
      </c>
      <c r="GW59" s="13">
        <f t="shared" si="51"/>
        <v>58.243394931850105</v>
      </c>
      <c r="GX59" s="20">
        <f t="shared" si="28"/>
        <v>517.85322450630554</v>
      </c>
      <c r="GY59" s="59">
        <f t="shared" si="29"/>
        <v>785.72795496755225</v>
      </c>
      <c r="GZ59" s="59">
        <f ca="1">AVERAGE(OFFSET($GY$3,0,0,'Données projet'!$E$18+1,1))-AVERAGE(OFFSET($H$3,0,0,'Données projet'!$E$18+1,1))</f>
        <v>336.21787234885699</v>
      </c>
      <c r="HA59" s="59">
        <f t="shared" si="52"/>
        <v>315.36156736899113</v>
      </c>
      <c r="HB59" s="15">
        <f>IF(ISNA(VLOOKUP(A59,'Données projet'!$A$269:$I$289,3,0)),0,VLOOKUP(A59,'Données projet'!$A$269:$I$289,3,0))</f>
        <v>6</v>
      </c>
      <c r="HC59" s="15">
        <f>IF(ISNA(VLOOKUP(A59,'Données projet'!$A$269:$I$289,4,0)),0,VLOOKUP(A59,'Données projet'!$A$269:$I$289,4,0))</f>
        <v>75.869230769230768</v>
      </c>
      <c r="HD59" s="16">
        <f>IF(ISNA(VLOOKUP(A59,'Données projet'!$A$269:$I$289,5,0)),0%,VLOOKUP(A59,'Données projet'!$A$269:$I$289,5,0)*VLOOKUP('Données projet'!$B$18,Paramètres!$A$1:$I$89,7,0))</f>
        <v>0.38500000000000001</v>
      </c>
      <c r="HE59" s="16">
        <f>IF(ISNA(VLOOKUP(A59,'Données projet'!$A$269:$I$289,6,0)),0%,VLOOKUP(A59,'Données projet'!$A$269:$I$289,6,0)*VLOOKUP('Données projet'!$B$18,Paramètres!$A$1:$I$89,7,0))</f>
        <v>9.240000000000001E-2</v>
      </c>
      <c r="HF59" s="16">
        <f>IF(ISNA(VLOOKUP(A59,'Données projet'!$A$269:$I$289,7,0)),0%,VLOOKUP(A59,'Données projet'!$A$269:$I$289,7,0))</f>
        <v>0.13200000000000001</v>
      </c>
      <c r="HG59" s="21">
        <f>EXP(-LN(2)/35)*HG58+(1-EXP(-LN(2)/35))/(LN(2)/35)*HC59*HD59*VLOOKUP('Données projet'!$B$18,Paramètres!$A$1:$I$89,3,0)*0.475*44/12</f>
        <v>74.875008623609716</v>
      </c>
      <c r="HH59" s="21">
        <f>EXP(-LN(2)/25)*HH58+(1-EXP(-LN(2)/25))/(LN(2)/25)*Calculateur!HC59*Calculateur!HE59*VLOOKUP('Données projet'!$B$18,Paramètres!$A$1:$I$89,3,0)*0.475*44/12</f>
        <v>27.915326702922474</v>
      </c>
      <c r="HI59" s="21">
        <f>EXP(-LN(2)/2)*HI58+(1-EXP(-LN(2)/2))/(LN(2)/2)*HC59*HF59*VLOOKUP('Données projet'!$B$18,Paramètres!$A$1:$I$89,3,0)*0.475*44/12</f>
        <v>7.0642348543659716</v>
      </c>
      <c r="HJ59" s="22">
        <f t="shared" si="30"/>
        <v>109.85457018089816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3.7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13.566666666666668</v>
      </c>
      <c r="H60" s="67">
        <f t="shared" si="1"/>
        <v>202.4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63.177194628409495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170.04326923076928</v>
      </c>
      <c r="O60" s="13">
        <f>N60*VLOOKUP('Données projet'!$B$9,Paramètres!$A$1:$I$89,3,0)*VLOOKUP('Données projet'!$B$9,Paramètres!$A$1:$I$89,5,0)</f>
        <v>153.85515000000004</v>
      </c>
      <c r="P60" s="13">
        <f t="shared" si="33"/>
        <v>39.453384193994481</v>
      </c>
      <c r="Q60" s="20">
        <f t="shared" si="53"/>
        <v>336.67903038787375</v>
      </c>
      <c r="R60" s="59">
        <f t="shared" si="0"/>
        <v>604.9954106920419</v>
      </c>
      <c r="S60" s="59">
        <f ca="1">AVERAGE(OFFSET($R$3,0,0,'Données projet'!$E$9+1,1))-AVERAGE(OFFSET($H$3,0,0,'Données projet'!$E$9+1,1))</f>
        <v>411.64357329340851</v>
      </c>
      <c r="T60" s="59">
        <f t="shared" si="34"/>
        <v>294.07942258675632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63.177194628409495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8.374198717948719</v>
      </c>
      <c r="AI60" s="13">
        <f>IF('Données projet'!$A$62&gt;35,AI59+AH60-AQ59,IF(A60&lt;'Données projet'!$A$62,$AF$205^A60,IF(A60='Données projet'!$A$62,'Données projet'!$B$62,AI59+AH60-AQ59)))</f>
        <v>170.04326923076928</v>
      </c>
      <c r="AJ60" s="13">
        <f>AI60*VLOOKUP('Données projet'!$B$10,Paramètres!$A$1:$I$89,3,0)*VLOOKUP('Données projet'!$B$10,Paramètres!$A$1:$I$89,5,0)</f>
        <v>172.42387500000007</v>
      </c>
      <c r="AK60" s="13">
        <f t="shared" si="35"/>
        <v>43.632442843290029</v>
      </c>
      <c r="AL60" s="20">
        <f t="shared" si="4"/>
        <v>376.29808691039688</v>
      </c>
      <c r="AM60" s="59">
        <f t="shared" si="5"/>
        <v>644.61446721456502</v>
      </c>
      <c r="AN60" s="59">
        <f ca="1">AVERAGE(OFFSET($AM$3,0,0,'Données projet'!$E$10+1,1))-AVERAGE(OFFSET($H$3,0,0,'Données projet'!$E$10+1,1))</f>
        <v>453.05577105995508</v>
      </c>
      <c r="AO60" s="59">
        <f t="shared" si="36"/>
        <v>322.6839824496758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63.177194628409495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3.5192307692307692</v>
      </c>
      <c r="BD60" s="12">
        <f>IF('Données projet'!$A$88&gt;35,BD59+BC60-BL59,IF(A60&lt;'Données projet'!$A$88,$BA$205^A60,IF(A60='Données projet'!$A$88,'Données projet'!$B$88,BD59+BC60-BL59)))</f>
        <v>151.76282051282061</v>
      </c>
      <c r="BE60" s="13">
        <f>BD60*VLOOKUP('Données projet'!$B$11,Paramètres!$A$1:$I$89,3,0)*VLOOKUP('Données projet'!$B$11,Paramètres!$A$1:$I$89,5,0)</f>
        <v>151.52000000000012</v>
      </c>
      <c r="BF60" s="13">
        <f t="shared" si="37"/>
        <v>38.923808121168989</v>
      </c>
      <c r="BG60" s="20">
        <f t="shared" si="7"/>
        <v>331.6896324777029</v>
      </c>
      <c r="BH60" s="59">
        <f t="shared" si="8"/>
        <v>600.00601278187105</v>
      </c>
      <c r="BI60" s="59">
        <f ca="1">AVERAGE(OFFSET($BH$3,0,0,'Données projet'!$E$11+1,1))-AVERAGE(OFFSET($H$3,0,0,'Données projet'!$E$11+1,1))</f>
        <v>411.38162678377478</v>
      </c>
      <c r="BJ60" s="59">
        <f t="shared" si="38"/>
        <v>177.89903563360403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63.177194628409495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</v>
      </c>
      <c r="BY60" s="12">
        <f>IF('Données projet'!$A$114&gt;35,BY59+BX60-CG59,IF(A60&lt;'Données projet'!$A$114,$BV$205^A60,IF(A60='Données projet'!$A$114,'Données projet'!$B$114,BY59+BX60-CG59)))</f>
        <v>173.99999999999997</v>
      </c>
      <c r="BZ60" s="13">
        <f>BY60*VLOOKUP('Données projet'!$B$12,Paramètres!$A$1:$I$89,3,0)*VLOOKUP('Données projet'!$B$12,Paramètres!$A$1:$I$89,5,0)</f>
        <v>181.86479999999997</v>
      </c>
      <c r="CA60" s="13">
        <f t="shared" si="39"/>
        <v>45.73682061391029</v>
      </c>
      <c r="CB60" s="20">
        <f t="shared" si="10"/>
        <v>396.40615590256039</v>
      </c>
      <c r="CC60" s="59">
        <f t="shared" si="11"/>
        <v>664.72253620672859</v>
      </c>
      <c r="CD60" s="59">
        <f ca="1">AVERAGE(OFFSET($CC$3,0,0,'Données projet'!$E$12+1,1))-AVERAGE(OFFSET($H$3,0,0,'Données projet'!$E$12+1,1))</f>
        <v>374.38550202939507</v>
      </c>
      <c r="CE60" s="59">
        <f t="shared" si="40"/>
        <v>324.37486924296718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3.2472981543358643</v>
      </c>
      <c r="CL60" s="21">
        <f>EXP(-LN(2)/25)*CL59+(1-EXP(-LN(2)/25))/(LN(2)/25)*Calculateur!CG60*Calculateur!CI60*VLOOKUP('Données projet'!$B$12,Paramètres!$A$1:$I$89,3,0)*0.475*44/12</f>
        <v>13.311557889369737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16.558856043705603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63.177194628409495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6.3942307692307701</v>
      </c>
      <c r="CT60" s="12">
        <f>IF('Données projet'!$A$140&gt;35,CT59+CS60-DB59,IF(A60&lt;'Données projet'!$A$140,$CQ$205^A60,IF(A60='Données projet'!$A$140,'Données projet'!$B$140,CT59+CS60-DB59)))</f>
        <v>146.4679487179487</v>
      </c>
      <c r="CU60" s="17">
        <f>CT60*VLOOKUP('Données projet'!$B$13,Paramètres!$A$1:$I$89,3,0)*VLOOKUP('Données projet'!$B$13,Paramètres!$A$1:$I$89,5,0)</f>
        <v>139.37889999999999</v>
      </c>
      <c r="CV60" s="13">
        <f t="shared" si="41"/>
        <v>36.154683407903839</v>
      </c>
      <c r="CW60" s="20">
        <f t="shared" si="13"/>
        <v>305.72099110209916</v>
      </c>
      <c r="CX60" s="59">
        <f t="shared" si="14"/>
        <v>574.03737140626731</v>
      </c>
      <c r="CY60" s="59">
        <f ca="1">AVERAGE(OFFSET($CX$3,0,0,'Données projet'!$E$13+1,1))-AVERAGE(OFFSET($H$3,0,0,'Données projet'!$E$13+1,1))</f>
        <v>392.81074187112989</v>
      </c>
      <c r="CZ60" s="59">
        <f t="shared" si="42"/>
        <v>236.19146849073687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63.177194628409495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6.3942307692307701</v>
      </c>
      <c r="DO60" s="12">
        <f>IF('Données projet'!$A$166&gt;35,DO59+DN60-DW59,IF(A60&lt;'Données projet'!$A$166,$DL$205^A60,IF(A60='Données projet'!$A$166,'Données projet'!$B$166,DO59+DN60-DW59)))</f>
        <v>146.4679487179487</v>
      </c>
      <c r="DP60" s="17">
        <f>DO60*VLOOKUP('Données projet'!$B$14,Paramètres!$A$1:$I$89,3,0)*VLOOKUP('Données projet'!$B$14,Paramètres!$A$1:$I$89,5,0)</f>
        <v>157.65809999999996</v>
      </c>
      <c r="DQ60" s="13">
        <f t="shared" si="43"/>
        <v>40.313840880065626</v>
      </c>
      <c r="DR60" s="20">
        <f t="shared" si="16"/>
        <v>344.80113036611419</v>
      </c>
      <c r="DS60" s="59">
        <f t="shared" si="17"/>
        <v>613.1175106702824</v>
      </c>
      <c r="DT60" s="59">
        <f ca="1">AVERAGE(OFFSET($DS$3,0,0,'Données projet'!$E$14+1,1))-AVERAGE(OFFSET($H$3,0,0,'Données projet'!$E$14+1,1))</f>
        <v>434.77799524785502</v>
      </c>
      <c r="DU60" s="59">
        <f t="shared" si="44"/>
        <v>259.85949838170006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63.177194628409495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6.3942307692307701</v>
      </c>
      <c r="EJ60" s="12">
        <f>IF('Données projet'!$A$192&gt;35,EJ59+EI60-ER59,IF(A60&lt;'Données projet'!$A$192,$EG$205^A60,IF(A60='Données projet'!$A$192,'Données projet'!$B$192,EJ59+EI60-ER59)))</f>
        <v>146.4679487179487</v>
      </c>
      <c r="EK60" s="17">
        <f>EJ60*VLOOKUP('Données projet'!$B$15,Paramètres!$A$1:$I$89,3,0)*VLOOKUP('Données projet'!$B$15,Paramètres!$A$1:$I$89,5,0)</f>
        <v>141.66379999999998</v>
      </c>
      <c r="EL60" s="13">
        <f t="shared" si="45"/>
        <v>36.677896239296679</v>
      </c>
      <c r="EM60" s="20">
        <f t="shared" si="19"/>
        <v>310.61178761677502</v>
      </c>
      <c r="EN60" s="59">
        <f t="shared" si="20"/>
        <v>578.92816792094322</v>
      </c>
      <c r="EO60" s="59">
        <f ca="1">AVERAGE(OFFSET($EN$3,0,0,'Données projet'!$E$15+1,1))-AVERAGE(OFFSET($H$3,0,0,'Données projet'!$E$15+1,1))</f>
        <v>398.06270423055565</v>
      </c>
      <c r="EP60" s="59">
        <f t="shared" si="46"/>
        <v>239.15364562040614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63.177194628409495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-1.7053025658242404E-13</v>
      </c>
      <c r="FF60" s="17">
        <f>FE60*VLOOKUP('Données projet'!$B$16,Paramètres!$A$1:$I$89,3,0)*VLOOKUP('Données projet'!$B$16,Paramètres!$A$1:$I$89,5,0)</f>
        <v>-1.0197709343628959E-13</v>
      </c>
      <c r="FG60" s="13" t="e">
        <f t="shared" si="47"/>
        <v>#NUM!</v>
      </c>
      <c r="FH60" s="20" t="e">
        <f t="shared" si="22"/>
        <v>#NUM!</v>
      </c>
      <c r="FI60" s="59" t="e">
        <f t="shared" si="23"/>
        <v>#NUM!</v>
      </c>
      <c r="FJ60" s="59">
        <f ca="1">AVERAGE(OFFSET($FI$3,0,0,'Données projet'!$E$16+1,1))-AVERAGE(OFFSET($H$3,0,0,'Données projet'!$E$16+1,1))</f>
        <v>334.13861979962491</v>
      </c>
      <c r="FK60" s="59">
        <f t="shared" si="48"/>
        <v>416.48635183664305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159.65457928986061</v>
      </c>
      <c r="FR60" s="21">
        <f>EXP(-LN(2)/25)*FR59+(1-EXP(-LN(2)/25))/(LN(2)/25)*Calculateur!FM60*Calculateur!FO60*VLOOKUP('Données projet'!$B$16,Paramètres!$A$1:$I$89,3,0)*0.475*44/12</f>
        <v>42.991910474419761</v>
      </c>
      <c r="FS60" s="21">
        <f>EXP(-LN(2)/2)*FS59+(1-EXP(-LN(2)/2))/(LN(2)/2)*FM60*FP60*VLOOKUP('Données projet'!$B$16,Paramètres!$A$1:$I$89,3,0)*0.475*44/12</f>
        <v>28.571618896799659</v>
      </c>
      <c r="FT60" s="22">
        <f t="shared" si="24"/>
        <v>231.21810866108004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63.177194628409495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14.270329670329668</v>
      </c>
      <c r="FZ60" s="12">
        <f>IF('Données projet'!$A$244&gt;35,FZ59+FY60-GH59,IF(A60&lt;'Données projet'!$A$244,$FW$205^A60,IF(A60='Données projet'!$A$244,'Données projet'!$B$244,FZ59+FY60-GH59)))</f>
        <v>289.55494505494505</v>
      </c>
      <c r="GA60" s="17">
        <f>FZ60*VLOOKUP('Données projet'!$B$17,Paramètres!$A$1:$I$89,3,0)*VLOOKUP('Données projet'!$B$17,Paramètres!$A$1:$I$89,5,0)</f>
        <v>135.51171428571428</v>
      </c>
      <c r="GB60" s="13">
        <f t="shared" si="49"/>
        <v>35.26686051307076</v>
      </c>
      <c r="GC60" s="20">
        <f t="shared" si="25"/>
        <v>297.43935110788397</v>
      </c>
      <c r="GD60" s="59">
        <f t="shared" si="26"/>
        <v>565.75573141205211</v>
      </c>
      <c r="GE60" s="59">
        <f ca="1">AVERAGE(OFFSET($GD$3,0,0,'Données projet'!$E$17+1,1))-AVERAGE(OFFSET($H$3,0,0,'Données projet'!$E$17+1,1))</f>
        <v>317.79829681023142</v>
      </c>
      <c r="GF60" s="59">
        <f t="shared" si="50"/>
        <v>275.07716943523621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36.325456668320257</v>
      </c>
      <c r="GM60" s="21">
        <f>EXP(-LN(2)/25)*GM59+(1-EXP(-LN(2)/25))/(LN(2)/25)*Calculateur!GH60*Calculateur!GJ60*VLOOKUP('Données projet'!$B$17,Paramètres!$A$1:$I$89,3,0)*0.475*44/12</f>
        <v>30.967980431277365</v>
      </c>
      <c r="GN60" s="21">
        <f>EXP(-LN(2)/2)*GN59+(1-EXP(-LN(2)/2))/(LN(2)/2)*GH60*GK60*VLOOKUP('Données projet'!$B$17,Paramètres!$A$1:$I$89,3,0)*0.475*44/12</f>
        <v>4.2437006315338142</v>
      </c>
      <c r="GO60" s="21">
        <f t="shared" si="27"/>
        <v>71.537137731131438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63.177194628409495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14.839560439560453</v>
      </c>
      <c r="GU60" s="12">
        <f>IF('Données projet'!$A$270&gt;35,GU59+GT60-HC59,IF(A60&lt;'Données projet'!$A$270,$GR$205^A60,IF(A60='Données projet'!$A$270,'Données projet'!$B$270,GU59+GT60-HC59)))</f>
        <v>366.67802197802189</v>
      </c>
      <c r="GV60" s="17">
        <f>GU60*VLOOKUP('Données projet'!$B$18,Paramètres!$A$1:$I$89,3,0)*VLOOKUP('Données projet'!$B$18,Paramètres!$A$1:$I$89,5,0)</f>
        <v>204.97301428571424</v>
      </c>
      <c r="GW60" s="13">
        <f t="shared" si="51"/>
        <v>50.835518579260878</v>
      </c>
      <c r="GX60" s="20">
        <f t="shared" si="28"/>
        <v>445.53319473983169</v>
      </c>
      <c r="GY60" s="59">
        <f t="shared" si="29"/>
        <v>713.84957504399983</v>
      </c>
      <c r="GZ60" s="59">
        <f ca="1">AVERAGE(OFFSET($GY$3,0,0,'Données projet'!$E$18+1,1))-AVERAGE(OFFSET($H$3,0,0,'Données projet'!$E$18+1,1))</f>
        <v>336.21787234885699</v>
      </c>
      <c r="HA60" s="59">
        <f t="shared" si="52"/>
        <v>315.36156736899113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73.40675537374652</v>
      </c>
      <c r="HH60" s="21">
        <f>EXP(-LN(2)/25)*HH59+(1-EXP(-LN(2)/25))/(LN(2)/25)*Calculateur!HC60*Calculateur!HE60*VLOOKUP('Données projet'!$B$18,Paramètres!$A$1:$I$89,3,0)*0.475*44/12</f>
        <v>27.151980626227829</v>
      </c>
      <c r="HI60" s="21">
        <f>EXP(-LN(2)/2)*HI59+(1-EXP(-LN(2)/2))/(LN(2)/2)*HC60*HF60*VLOOKUP('Données projet'!$B$18,Paramètres!$A$1:$I$89,3,0)*0.475*44/12</f>
        <v>4.9951683694165423</v>
      </c>
      <c r="HJ60" s="22">
        <f t="shared" si="30"/>
        <v>105.55390436939089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3.7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13.566666666666668</v>
      </c>
      <c r="H61" s="67">
        <f t="shared" si="1"/>
        <v>202.4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63.295555048098933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178.41746794871801</v>
      </c>
      <c r="O61" s="13">
        <f>N61*VLOOKUP('Données projet'!$B$9,Paramètres!$A$1:$I$89,3,0)*VLOOKUP('Données projet'!$B$9,Paramètres!$A$1:$I$89,5,0)</f>
        <v>161.43212500000007</v>
      </c>
      <c r="P61" s="13">
        <f t="shared" si="33"/>
        <v>41.16536748337429</v>
      </c>
      <c r="Q61" s="20">
        <f t="shared" si="53"/>
        <v>352.85729940854367</v>
      </c>
      <c r="R61" s="59">
        <f t="shared" si="0"/>
        <v>621.60766791823971</v>
      </c>
      <c r="S61" s="59">
        <f ca="1">AVERAGE(OFFSET($R$3,0,0,'Données projet'!$E$9+1,1))-AVERAGE(OFFSET($H$3,0,0,'Données projet'!$E$9+1,1))</f>
        <v>411.64357329340851</v>
      </c>
      <c r="T61" s="59">
        <f t="shared" si="34"/>
        <v>294.07942258675632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63.295555048098933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8.374198717948719</v>
      </c>
      <c r="AI61" s="13">
        <f>IF('Données projet'!$A$62&gt;35,AI60+AH61-AQ60,IF(A61&lt;'Données projet'!$A$62,$AF$205^A61,IF(A61='Données projet'!$A$62,'Données projet'!$B$62,AI60+AH61-AQ60)))</f>
        <v>178.41746794871801</v>
      </c>
      <c r="AJ61" s="13">
        <f>AI61*VLOOKUP('Données projet'!$B$10,Paramètres!$A$1:$I$89,3,0)*VLOOKUP('Données projet'!$B$10,Paramètres!$A$1:$I$89,5,0)</f>
        <v>180.91531250000008</v>
      </c>
      <c r="AK61" s="13">
        <f t="shared" si="35"/>
        <v>45.525766180401902</v>
      </c>
      <c r="AL61" s="20">
        <f t="shared" si="4"/>
        <v>394.38487870170007</v>
      </c>
      <c r="AM61" s="59">
        <f t="shared" si="5"/>
        <v>663.13524721139618</v>
      </c>
      <c r="AN61" s="59">
        <f ca="1">AVERAGE(OFFSET($AM$3,0,0,'Données projet'!$E$10+1,1))-AVERAGE(OFFSET($H$3,0,0,'Données projet'!$E$10+1,1))</f>
        <v>453.05577105995508</v>
      </c>
      <c r="AO61" s="59">
        <f t="shared" si="36"/>
        <v>322.6839824496758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63.295555048098933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3.5192307692307692</v>
      </c>
      <c r="BD61" s="12">
        <f>IF('Données projet'!$A$88&gt;35,BD60+BC61-BL60,IF(A61&lt;'Données projet'!$A$88,$BA$205^A61,IF(A61='Données projet'!$A$88,'Données projet'!$B$88,BD60+BC61-BL60)))</f>
        <v>155.28205128205138</v>
      </c>
      <c r="BE61" s="13">
        <f>BD61*VLOOKUP('Données projet'!$B$11,Paramètres!$A$1:$I$89,3,0)*VLOOKUP('Données projet'!$B$11,Paramètres!$A$1:$I$89,5,0)</f>
        <v>155.03360000000012</v>
      </c>
      <c r="BF61" s="13">
        <f t="shared" si="37"/>
        <v>39.720282610896554</v>
      </c>
      <c r="BG61" s="20">
        <f t="shared" si="7"/>
        <v>339.19634554731169</v>
      </c>
      <c r="BH61" s="59">
        <f t="shared" si="8"/>
        <v>607.94671405700774</v>
      </c>
      <c r="BI61" s="59">
        <f ca="1">AVERAGE(OFFSET($BH$3,0,0,'Données projet'!$E$11+1,1))-AVERAGE(OFFSET($H$3,0,0,'Données projet'!$E$11+1,1))</f>
        <v>411.38162678377478</v>
      </c>
      <c r="BJ61" s="59">
        <f t="shared" si="38"/>
        <v>177.89903563360403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63.295555048098933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</v>
      </c>
      <c r="BY61" s="12">
        <f>IF('Données projet'!$A$114&gt;35,BY60+BX61-CG60,IF(A61&lt;'Données projet'!$A$114,$BV$205^A61,IF(A61='Données projet'!$A$114,'Données projet'!$B$114,BY60+BX61-CG60)))</f>
        <v>178.99999999999997</v>
      </c>
      <c r="BZ61" s="13">
        <f>BY61*VLOOKUP('Données projet'!$B$12,Paramètres!$A$1:$I$89,3,0)*VLOOKUP('Données projet'!$B$12,Paramètres!$A$1:$I$89,5,0)</f>
        <v>187.0908</v>
      </c>
      <c r="CA61" s="13">
        <f t="shared" si="39"/>
        <v>46.896193582104758</v>
      </c>
      <c r="CB61" s="20">
        <f t="shared" si="10"/>
        <v>407.52734715549917</v>
      </c>
      <c r="CC61" s="59">
        <f t="shared" si="11"/>
        <v>676.27771566519527</v>
      </c>
      <c r="CD61" s="59">
        <f ca="1">AVERAGE(OFFSET($CC$3,0,0,'Données projet'!$E$12+1,1))-AVERAGE(OFFSET($H$3,0,0,'Données projet'!$E$12+1,1))</f>
        <v>374.38550202939507</v>
      </c>
      <c r="CE61" s="59">
        <f t="shared" si="40"/>
        <v>324.37486924296718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3.1836206181856386</v>
      </c>
      <c r="CL61" s="21">
        <f>EXP(-LN(2)/25)*CL60+(1-EXP(-LN(2)/25))/(LN(2)/25)*Calculateur!CG61*Calculateur!CI61*VLOOKUP('Données projet'!$B$12,Paramètres!$A$1:$I$89,3,0)*0.475*44/12</f>
        <v>12.947552638860516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16.131173257046154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63.295555048098933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6.3942307692307701</v>
      </c>
      <c r="CT61" s="12">
        <f>IF('Données projet'!$A$140&gt;35,CT60+CS61-DB60,IF(A61&lt;'Données projet'!$A$140,$CQ$205^A61,IF(A61='Données projet'!$A$140,'Données projet'!$B$140,CT60+CS61-DB60)))</f>
        <v>152.86217948717947</v>
      </c>
      <c r="CU61" s="17">
        <f>CT61*VLOOKUP('Données projet'!$B$13,Paramètres!$A$1:$I$89,3,0)*VLOOKUP('Données projet'!$B$13,Paramètres!$A$1:$I$89,5,0)</f>
        <v>145.46365</v>
      </c>
      <c r="CV61" s="13">
        <f t="shared" si="41"/>
        <v>37.545848557386066</v>
      </c>
      <c r="CW61" s="20">
        <f t="shared" si="13"/>
        <v>318.74154332078069</v>
      </c>
      <c r="CX61" s="59">
        <f t="shared" si="14"/>
        <v>587.49191183047674</v>
      </c>
      <c r="CY61" s="59">
        <f ca="1">AVERAGE(OFFSET($CX$3,0,0,'Données projet'!$E$13+1,1))-AVERAGE(OFFSET($H$3,0,0,'Données projet'!$E$13+1,1))</f>
        <v>392.81074187112989</v>
      </c>
      <c r="CZ61" s="59">
        <f t="shared" si="42"/>
        <v>236.19146849073687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63.295555048098933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6.3942307692307701</v>
      </c>
      <c r="DO61" s="12">
        <f>IF('Données projet'!$A$166&gt;35,DO60+DN61-DW60,IF(A61&lt;'Données projet'!$A$166,$DL$205^A61,IF(A61='Données projet'!$A$166,'Données projet'!$B$166,DO60+DN61-DW60)))</f>
        <v>152.86217948717947</v>
      </c>
      <c r="DP61" s="17">
        <f>DO61*VLOOKUP('Données projet'!$B$14,Paramètres!$A$1:$I$89,3,0)*VLOOKUP('Données projet'!$B$14,Paramètres!$A$1:$I$89,5,0)</f>
        <v>164.54084999999998</v>
      </c>
      <c r="DQ61" s="13">
        <f t="shared" si="43"/>
        <v>41.865042693711125</v>
      </c>
      <c r="DR61" s="20">
        <f t="shared" si="16"/>
        <v>359.49026310821347</v>
      </c>
      <c r="DS61" s="59">
        <f t="shared" si="17"/>
        <v>628.24063161790957</v>
      </c>
      <c r="DT61" s="59">
        <f ca="1">AVERAGE(OFFSET($DS$3,0,0,'Données projet'!$E$14+1,1))-AVERAGE(OFFSET($H$3,0,0,'Données projet'!$E$14+1,1))</f>
        <v>434.77799524785502</v>
      </c>
      <c r="DU61" s="59">
        <f t="shared" si="44"/>
        <v>259.85949838170006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63.295555048098933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6.3942307692307701</v>
      </c>
      <c r="EJ61" s="12">
        <f>IF('Données projet'!$A$192&gt;35,EJ60+EI61-ER60,IF(A61&lt;'Données projet'!$A$192,$EG$205^A61,IF(A61='Données projet'!$A$192,'Données projet'!$B$192,EJ60+EI61-ER60)))</f>
        <v>152.86217948717947</v>
      </c>
      <c r="EK61" s="17">
        <f>EJ61*VLOOKUP('Données projet'!$B$15,Paramètres!$A$1:$I$89,3,0)*VLOOKUP('Données projet'!$B$15,Paramètres!$A$1:$I$89,5,0)</f>
        <v>147.84829999999999</v>
      </c>
      <c r="EL61" s="13">
        <f t="shared" si="45"/>
        <v>38.08919364795495</v>
      </c>
      <c r="EM61" s="20">
        <f t="shared" si="19"/>
        <v>323.84113477018821</v>
      </c>
      <c r="EN61" s="59">
        <f t="shared" si="20"/>
        <v>592.59150327988436</v>
      </c>
      <c r="EO61" s="59">
        <f ca="1">AVERAGE(OFFSET($EN$3,0,0,'Données projet'!$E$15+1,1))-AVERAGE(OFFSET($H$3,0,0,'Données projet'!$E$15+1,1))</f>
        <v>398.06270423055565</v>
      </c>
      <c r="EP61" s="59">
        <f t="shared" si="46"/>
        <v>239.15364562040614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63.295555048098933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-1.7053025658242404E-13</v>
      </c>
      <c r="FF61" s="17">
        <f>FE61*VLOOKUP('Données projet'!$B$16,Paramètres!$A$1:$I$89,3,0)*VLOOKUP('Données projet'!$B$16,Paramètres!$A$1:$I$89,5,0)</f>
        <v>-1.0197709343628959E-13</v>
      </c>
      <c r="FG61" s="13" t="e">
        <f t="shared" si="47"/>
        <v>#NUM!</v>
      </c>
      <c r="FH61" s="20" t="e">
        <f t="shared" si="22"/>
        <v>#NUM!</v>
      </c>
      <c r="FI61" s="59" t="e">
        <f t="shared" si="23"/>
        <v>#NUM!</v>
      </c>
      <c r="FJ61" s="59">
        <f ca="1">AVERAGE(OFFSET($FI$3,0,0,'Données projet'!$E$16+1,1))-AVERAGE(OFFSET($H$3,0,0,'Données projet'!$E$16+1,1))</f>
        <v>334.13861979962491</v>
      </c>
      <c r="FK61" s="59">
        <f t="shared" si="48"/>
        <v>416.48635183664305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156.52385036966436</v>
      </c>
      <c r="FR61" s="21">
        <f>EXP(-LN(2)/25)*FR60+(1-EXP(-LN(2)/25))/(LN(2)/25)*Calculateur!FM61*Calculateur!FO61*VLOOKUP('Données projet'!$B$16,Paramètres!$A$1:$I$89,3,0)*0.475*44/12</f>
        <v>41.81629442165044</v>
      </c>
      <c r="FS61" s="21">
        <f>EXP(-LN(2)/2)*FS60+(1-EXP(-LN(2)/2))/(LN(2)/2)*FM61*FP61*VLOOKUP('Données projet'!$B$16,Paramètres!$A$1:$I$89,3,0)*0.475*44/12</f>
        <v>20.203185471404744</v>
      </c>
      <c r="FT61" s="22">
        <f t="shared" si="24"/>
        <v>218.54333026271954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63.295555048098933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14.270329670329668</v>
      </c>
      <c r="FZ61" s="12">
        <f>IF('Données projet'!$A$244&gt;35,FZ60+FY61-GH60,IF(A61&lt;'Données projet'!$A$244,$FW$205^A61,IF(A61='Données projet'!$A$244,'Données projet'!$B$244,FZ60+FY61-GH60)))</f>
        <v>303.82527472527471</v>
      </c>
      <c r="GA61" s="17">
        <f>FZ61*VLOOKUP('Données projet'!$B$17,Paramètres!$A$1:$I$89,3,0)*VLOOKUP('Données projet'!$B$17,Paramètres!$A$1:$I$89,5,0)</f>
        <v>142.19022857142855</v>
      </c>
      <c r="GB61" s="13">
        <f t="shared" si="49"/>
        <v>36.798301893816983</v>
      </c>
      <c r="GC61" s="20">
        <f t="shared" si="25"/>
        <v>311.7383572269693</v>
      </c>
      <c r="GD61" s="59">
        <f t="shared" si="26"/>
        <v>580.4887257366654</v>
      </c>
      <c r="GE61" s="59">
        <f ca="1">AVERAGE(OFFSET($GD$3,0,0,'Données projet'!$E$17+1,1))-AVERAGE(OFFSET($H$3,0,0,'Données projet'!$E$17+1,1))</f>
        <v>317.79829681023142</v>
      </c>
      <c r="GF61" s="59">
        <f t="shared" si="50"/>
        <v>275.07716943523621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35.613136619395306</v>
      </c>
      <c r="GM61" s="21">
        <f>EXP(-LN(2)/25)*GM60+(1-EXP(-LN(2)/25))/(LN(2)/25)*Calculateur!GH61*Calculateur!GJ61*VLOOKUP('Données projet'!$B$17,Paramètres!$A$1:$I$89,3,0)*0.475*44/12</f>
        <v>30.121159377848773</v>
      </c>
      <c r="GN61" s="21">
        <f>EXP(-LN(2)/2)*GN60+(1-EXP(-LN(2)/2))/(LN(2)/2)*GH61*GK61*VLOOKUP('Données projet'!$B$17,Paramètres!$A$1:$I$89,3,0)*0.475*44/12</f>
        <v>3.0007494938831947</v>
      </c>
      <c r="GO61" s="21">
        <f t="shared" si="27"/>
        <v>68.735045491127266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63.295555048098933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14.839560439560453</v>
      </c>
      <c r="GU61" s="12">
        <f>IF('Données projet'!$A$270&gt;35,GU60+GT61-HC60,IF(A61&lt;'Données projet'!$A$270,$GR$205^A61,IF(A61='Données projet'!$A$270,'Données projet'!$B$270,GU60+GT61-HC60)))</f>
        <v>381.51758241758233</v>
      </c>
      <c r="GV61" s="17">
        <f>GU61*VLOOKUP('Données projet'!$B$18,Paramètres!$A$1:$I$89,3,0)*VLOOKUP('Données projet'!$B$18,Paramètres!$A$1:$I$89,5,0)</f>
        <v>213.26832857142853</v>
      </c>
      <c r="GW61" s="13">
        <f t="shared" si="51"/>
        <v>52.649154508451623</v>
      </c>
      <c r="GX61" s="20">
        <f t="shared" si="28"/>
        <v>463.13961636412455</v>
      </c>
      <c r="GY61" s="59">
        <f t="shared" si="29"/>
        <v>731.88998487382059</v>
      </c>
      <c r="GZ61" s="59">
        <f ca="1">AVERAGE(OFFSET($GY$3,0,0,'Données projet'!$E$18+1,1))-AVERAGE(OFFSET($H$3,0,0,'Données projet'!$E$18+1,1))</f>
        <v>336.21787234885699</v>
      </c>
      <c r="HA61" s="59">
        <f t="shared" si="52"/>
        <v>315.36156736899113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71.967293674567088</v>
      </c>
      <c r="HH61" s="21">
        <f>EXP(-LN(2)/25)*HH60+(1-EXP(-LN(2)/25))/(LN(2)/25)*Calculateur!HC61*Calculateur!HE61*VLOOKUP('Données projet'!$B$18,Paramètres!$A$1:$I$89,3,0)*0.475*44/12</f>
        <v>26.409508288143023</v>
      </c>
      <c r="HI61" s="21">
        <f>EXP(-LN(2)/2)*HI60+(1-EXP(-LN(2)/2))/(LN(2)/2)*HC61*HF61*VLOOKUP('Données projet'!$B$18,Paramètres!$A$1:$I$89,3,0)*0.475*44/12</f>
        <v>3.5321174271829867</v>
      </c>
      <c r="HJ61" s="22">
        <f t="shared" si="30"/>
        <v>101.9089193898931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3.7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13.566666666666668</v>
      </c>
      <c r="H62" s="67">
        <f t="shared" si="1"/>
        <v>202.4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63.411862179121002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186.79166666666674</v>
      </c>
      <c r="O62" s="13">
        <f>N62*VLOOKUP('Données projet'!$B$9,Paramètres!$A$1:$I$89,3,0)*VLOOKUP('Données projet'!$B$9,Paramètres!$A$1:$I$89,5,0)</f>
        <v>169.00910000000005</v>
      </c>
      <c r="P62" s="13">
        <f t="shared" si="33"/>
        <v>42.868019497909927</v>
      </c>
      <c r="Q62" s="20">
        <f t="shared" si="53"/>
        <v>369.01931645885981</v>
      </c>
      <c r="R62" s="59">
        <f t="shared" si="0"/>
        <v>638.19614444897013</v>
      </c>
      <c r="S62" s="59">
        <f ca="1">AVERAGE(OFFSET($R$3,0,0,'Données projet'!$E$9+1,1))-AVERAGE(OFFSET($H$3,0,0,'Données projet'!$E$9+1,1))</f>
        <v>411.64357329340851</v>
      </c>
      <c r="T62" s="59">
        <f t="shared" si="34"/>
        <v>294.07942258675632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63.411862179121002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8.374198717948719</v>
      </c>
      <c r="AI62" s="13">
        <f>IF('Données projet'!$A$62&gt;35,AI61+AH62-AQ61,IF(A62&lt;'Données projet'!$A$62,$AF$205^A62,IF(A62='Données projet'!$A$62,'Données projet'!$B$62,AI61+AH62-AQ61)))</f>
        <v>186.79166666666674</v>
      </c>
      <c r="AJ62" s="13">
        <f>AI62*VLOOKUP('Données projet'!$B$10,Paramètres!$A$1:$I$89,3,0)*VLOOKUP('Données projet'!$B$10,Paramètres!$A$1:$I$89,5,0)</f>
        <v>189.40675000000007</v>
      </c>
      <c r="AK62" s="13">
        <f t="shared" si="35"/>
        <v>47.408769837095797</v>
      </c>
      <c r="AL62" s="20">
        <f t="shared" si="4"/>
        <v>412.45369704960859</v>
      </c>
      <c r="AM62" s="59">
        <f t="shared" si="5"/>
        <v>681.63052503971892</v>
      </c>
      <c r="AN62" s="59">
        <f ca="1">AVERAGE(OFFSET($AM$3,0,0,'Données projet'!$E$10+1,1))-AVERAGE(OFFSET($H$3,0,0,'Données projet'!$E$10+1,1))</f>
        <v>453.05577105995508</v>
      </c>
      <c r="AO62" s="59">
        <f t="shared" si="36"/>
        <v>322.6839824496758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63.411862179121002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3.5192307692307692</v>
      </c>
      <c r="BD62" s="12">
        <f>IF('Données projet'!$A$88&gt;35,BD61+BC62-BL61,IF(A62&lt;'Données projet'!$A$88,$BA$205^A62,IF(A62='Données projet'!$A$88,'Données projet'!$B$88,BD61+BC62-BL61)))</f>
        <v>158.80128205128216</v>
      </c>
      <c r="BE62" s="13">
        <f>BD62*VLOOKUP('Données projet'!$B$11,Paramètres!$A$1:$I$89,3,0)*VLOOKUP('Données projet'!$B$11,Paramètres!$A$1:$I$89,5,0)</f>
        <v>158.54720000000012</v>
      </c>
      <c r="BF62" s="13">
        <f t="shared" si="37"/>
        <v>40.514658557398576</v>
      </c>
      <c r="BG62" s="20">
        <f t="shared" si="7"/>
        <v>346.69940365413612</v>
      </c>
      <c r="BH62" s="59">
        <f t="shared" si="8"/>
        <v>615.87623164424645</v>
      </c>
      <c r="BI62" s="59">
        <f ca="1">AVERAGE(OFFSET($BH$3,0,0,'Données projet'!$E$11+1,1))-AVERAGE(OFFSET($H$3,0,0,'Données projet'!$E$11+1,1))</f>
        <v>411.38162678377478</v>
      </c>
      <c r="BJ62" s="59">
        <f t="shared" si="38"/>
        <v>177.89903563360403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63.411862179121002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</v>
      </c>
      <c r="BY62" s="12">
        <f>IF('Données projet'!$A$114&gt;35,BY61+BX62-CG61,IF(A62&lt;'Données projet'!$A$114,$BV$205^A62,IF(A62='Données projet'!$A$114,'Données projet'!$B$114,BY61+BX62-CG61)))</f>
        <v>183.99999999999997</v>
      </c>
      <c r="BZ62" s="13">
        <f>BY62*VLOOKUP('Données projet'!$B$12,Paramètres!$A$1:$I$89,3,0)*VLOOKUP('Données projet'!$B$12,Paramètres!$A$1:$I$89,5,0)</f>
        <v>192.31679999999997</v>
      </c>
      <c r="CA62" s="13">
        <f t="shared" si="39"/>
        <v>48.05180257326473</v>
      </c>
      <c r="CB62" s="20">
        <f t="shared" si="10"/>
        <v>418.64198281510266</v>
      </c>
      <c r="CC62" s="59">
        <f t="shared" si="11"/>
        <v>687.81881080521293</v>
      </c>
      <c r="CD62" s="59">
        <f ca="1">AVERAGE(OFFSET($CC$3,0,0,'Données projet'!$E$12+1,1))-AVERAGE(OFFSET($H$3,0,0,'Données projet'!$E$12+1,1))</f>
        <v>374.38550202939507</v>
      </c>
      <c r="CE62" s="59">
        <f t="shared" si="40"/>
        <v>324.37486924296718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3.1211917596798568</v>
      </c>
      <c r="CL62" s="21">
        <f>EXP(-LN(2)/25)*CL61+(1-EXP(-LN(2)/25))/(LN(2)/25)*Calculateur!CG62*Calculateur!CI62*VLOOKUP('Données projet'!$B$12,Paramètres!$A$1:$I$89,3,0)*0.475*44/12</f>
        <v>12.593501131068674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15.71469289074853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63.411862179121002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159.25641025641025</v>
      </c>
      <c r="CR62" s="12">
        <f>VLOOKUP(A62,'Données projet'!$A$139:$I$159,9,0)</f>
        <v>6.3942307692307701</v>
      </c>
      <c r="CS62" s="12">
        <f t="array" ref="CS62">INDEX(CR:CR,MIN(IF(ISNUMBER(CR62:CR258),ROW(CR62:CR258),"")))</f>
        <v>6.3942307692307701</v>
      </c>
      <c r="CT62" s="12">
        <f>IF('Données projet'!$A$140&gt;35,CT61+CS62-DB61,IF(A62&lt;'Données projet'!$A$140,$CQ$205^A62,IF(A62='Données projet'!$A$140,'Données projet'!$B$140,CT61+CS62-DB61)))</f>
        <v>159.25641025641025</v>
      </c>
      <c r="CU62" s="17">
        <f>CT62*VLOOKUP('Données projet'!$B$13,Paramètres!$A$1:$I$89,3,0)*VLOOKUP('Données projet'!$B$13,Paramètres!$A$1:$I$89,5,0)</f>
        <v>151.54839999999999</v>
      </c>
      <c r="CV62" s="13">
        <f t="shared" si="41"/>
        <v>38.930254482891996</v>
      </c>
      <c r="CW62" s="20">
        <f t="shared" si="13"/>
        <v>331.75032322437022</v>
      </c>
      <c r="CX62" s="59">
        <f t="shared" si="14"/>
        <v>600.92715121448055</v>
      </c>
      <c r="CY62" s="59">
        <f ca="1">AVERAGE(OFFSET($CX$3,0,0,'Données projet'!$E$13+1,1))-AVERAGE(OFFSET($H$3,0,0,'Données projet'!$E$13+1,1))</f>
        <v>392.81074187112989</v>
      </c>
      <c r="CZ62" s="59">
        <f t="shared" si="42"/>
        <v>236.19146849073687</v>
      </c>
      <c r="DA62" s="15">
        <f>IF(ISNA(VLOOKUP(A62,'Données projet'!$A$139:$I$159,3,0)),0,VLOOKUP(A62,'Données projet'!$A$139:$I$159,3,0))</f>
        <v>3</v>
      </c>
      <c r="DB62" s="15">
        <f>IF(ISNA(VLOOKUP(A62,'Données projet'!$A$139:$I$159,4,0)),0,VLOOKUP(A62,'Données projet'!$A$139:$I$159,4,0))</f>
        <v>38.942307692307693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63.411862179121002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159.25641025641025</v>
      </c>
      <c r="DM62" s="12">
        <f>VLOOKUP(A62,'Données projet'!$A$165:$I$185,9,0)</f>
        <v>6.3942307692307701</v>
      </c>
      <c r="DN62" s="12">
        <f t="array" ref="DN62">INDEX(DM:DM,MIN(IF(ISNUMBER(DM62:DM258),ROW(DM62:DM258),"")))</f>
        <v>6.3942307692307701</v>
      </c>
      <c r="DO62" s="12">
        <f>IF('Données projet'!$A$166&gt;35,DO61+DN62-DW61,IF(A62&lt;'Données projet'!$A$166,$DL$205^A62,IF(A62='Données projet'!$A$166,'Données projet'!$B$166,DO61+DN62-DW61)))</f>
        <v>159.25641025641025</v>
      </c>
      <c r="DP62" s="17">
        <f>DO62*VLOOKUP('Données projet'!$B$14,Paramètres!$A$1:$I$89,3,0)*VLOOKUP('Données projet'!$B$14,Paramètres!$A$1:$I$89,5,0)</f>
        <v>171.42359999999999</v>
      </c>
      <c r="DQ62" s="13">
        <f t="shared" si="43"/>
        <v>43.408707716706886</v>
      </c>
      <c r="DR62" s="20">
        <f t="shared" si="16"/>
        <v>374.1662692732645</v>
      </c>
      <c r="DS62" s="59">
        <f t="shared" si="17"/>
        <v>643.34309726337483</v>
      </c>
      <c r="DT62" s="59">
        <f ca="1">AVERAGE(OFFSET($DS$3,0,0,'Données projet'!$E$14+1,1))-AVERAGE(OFFSET($H$3,0,0,'Données projet'!$E$14+1,1))</f>
        <v>434.77799524785502</v>
      </c>
      <c r="DU62" s="59">
        <f t="shared" si="44"/>
        <v>259.85949838170006</v>
      </c>
      <c r="DV62" s="15">
        <f>IF(ISNA(VLOOKUP(A62,'Données projet'!$A$165:$I$185,3,0)),0,VLOOKUP(A62,'Données projet'!$A$165:$I$185,3,0))</f>
        <v>3</v>
      </c>
      <c r="DW62" s="15">
        <f>IF(ISNA(VLOOKUP(A62,'Données projet'!$A$165:$I$185,4,0)),0,VLOOKUP(A62,'Données projet'!$A$165:$I$185,4,0))</f>
        <v>38.942307692307693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63.411862179121002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>
        <f>VLOOKUP(A62,'Données projet'!$A$191:$I$211,2,0)</f>
        <v>159.25641025641025</v>
      </c>
      <c r="EH62" s="12">
        <f>VLOOKUP(A62,'Données projet'!$A$191:$I$211,9,0)</f>
        <v>6.3942307692307701</v>
      </c>
      <c r="EI62" s="12">
        <f t="array" ref="EI62">INDEX(EH:EH,MIN(IF(ISNUMBER(EH62:EH258),ROW(EH62:EH258),"")))</f>
        <v>6.3942307692307701</v>
      </c>
      <c r="EJ62" s="12">
        <f>IF('Données projet'!$A$192&gt;35,EJ61+EI62-ER61,IF(A62&lt;'Données projet'!$A$192,$EG$205^A62,IF(A62='Données projet'!$A$192,'Données projet'!$B$192,EJ61+EI62-ER61)))</f>
        <v>159.25641025641025</v>
      </c>
      <c r="EK62" s="17">
        <f>EJ62*VLOOKUP('Données projet'!$B$15,Paramètres!$A$1:$I$89,3,0)*VLOOKUP('Données projet'!$B$15,Paramètres!$A$1:$I$89,5,0)</f>
        <v>154.03280000000001</v>
      </c>
      <c r="EL62" s="13">
        <f t="shared" si="45"/>
        <v>39.493634016465371</v>
      </c>
      <c r="EM62" s="20">
        <f t="shared" si="19"/>
        <v>337.05853924534387</v>
      </c>
      <c r="EN62" s="59">
        <f t="shared" si="20"/>
        <v>606.23536723545419</v>
      </c>
      <c r="EO62" s="59">
        <f ca="1">AVERAGE(OFFSET($EN$3,0,0,'Données projet'!$E$15+1,1))-AVERAGE(OFFSET($H$3,0,0,'Données projet'!$E$15+1,1))</f>
        <v>398.06270423055565</v>
      </c>
      <c r="EP62" s="59">
        <f t="shared" si="46"/>
        <v>239.15364562040614</v>
      </c>
      <c r="EQ62" s="15">
        <f>IF(ISNA(VLOOKUP(A62,'Données projet'!$A$191:$I$211,3,0)),0,VLOOKUP(A62,'Données projet'!$A$191:$I$211,3,0))</f>
        <v>3</v>
      </c>
      <c r="ER62" s="15">
        <f>IF(ISNA(VLOOKUP(A62,'Données projet'!$A$191:$I$211,4,0)),0,VLOOKUP(A62,'Données projet'!$A$191:$I$211,4,0))</f>
        <v>38.942307692307693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63.411862179121002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-1.7053025658242404E-13</v>
      </c>
      <c r="FF62" s="17">
        <f>FE62*VLOOKUP('Données projet'!$B$16,Paramètres!$A$1:$I$89,3,0)*VLOOKUP('Données projet'!$B$16,Paramètres!$A$1:$I$89,5,0)</f>
        <v>-1.0197709343628959E-13</v>
      </c>
      <c r="FG62" s="13" t="e">
        <f t="shared" si="47"/>
        <v>#NUM!</v>
      </c>
      <c r="FH62" s="20" t="e">
        <f t="shared" si="22"/>
        <v>#NUM!</v>
      </c>
      <c r="FI62" s="59" t="e">
        <f t="shared" si="23"/>
        <v>#NUM!</v>
      </c>
      <c r="FJ62" s="59">
        <f ca="1">AVERAGE(OFFSET($FI$3,0,0,'Données projet'!$E$16+1,1))-AVERAGE(OFFSET($H$3,0,0,'Données projet'!$E$16+1,1))</f>
        <v>334.13861979962491</v>
      </c>
      <c r="FK62" s="59">
        <f t="shared" si="48"/>
        <v>416.48635183664305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153.45451313403709</v>
      </c>
      <c r="FR62" s="21">
        <f>EXP(-LN(2)/25)*FR61+(1-EXP(-LN(2)/25))/(LN(2)/25)*Calculateur!FM62*Calculateur!FO62*VLOOKUP('Données projet'!$B$16,Paramètres!$A$1:$I$89,3,0)*0.475*44/12</f>
        <v>40.672825651667054</v>
      </c>
      <c r="FS62" s="21">
        <f>EXP(-LN(2)/2)*FS61+(1-EXP(-LN(2)/2))/(LN(2)/2)*FM62*FP62*VLOOKUP('Données projet'!$B$16,Paramètres!$A$1:$I$89,3,0)*0.475*44/12</f>
        <v>14.285809448399831</v>
      </c>
      <c r="FT62" s="22">
        <f t="shared" si="24"/>
        <v>208.41314823410397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63.411862179121002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14.270329670329668</v>
      </c>
      <c r="FZ62" s="12">
        <f>IF('Données projet'!$A$244&gt;35,FZ61+FY62-GH61,IF(A62&lt;'Données projet'!$A$244,$FW$205^A62,IF(A62='Données projet'!$A$244,'Données projet'!$B$244,FZ61+FY62-GH61)))</f>
        <v>318.09560439560437</v>
      </c>
      <c r="GA62" s="17">
        <f>FZ62*VLOOKUP('Données projet'!$B$17,Paramètres!$A$1:$I$89,3,0)*VLOOKUP('Données projet'!$B$17,Paramètres!$A$1:$I$89,5,0)</f>
        <v>148.86874285714285</v>
      </c>
      <c r="GB62" s="13">
        <f t="shared" si="49"/>
        <v>38.321390217280914</v>
      </c>
      <c r="GC62" s="20">
        <f t="shared" si="25"/>
        <v>326.02281510462137</v>
      </c>
      <c r="GD62" s="59">
        <f t="shared" si="26"/>
        <v>595.19964309473175</v>
      </c>
      <c r="GE62" s="59">
        <f ca="1">AVERAGE(OFFSET($GD$3,0,0,'Données projet'!$E$17+1,1))-AVERAGE(OFFSET($H$3,0,0,'Données projet'!$E$17+1,1))</f>
        <v>317.79829681023142</v>
      </c>
      <c r="GF62" s="59">
        <f t="shared" si="50"/>
        <v>275.07716943523621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34.914784732157443</v>
      </c>
      <c r="GM62" s="21">
        <f>EXP(-LN(2)/25)*GM61+(1-EXP(-LN(2)/25))/(LN(2)/25)*Calculateur!GH62*Calculateur!GJ62*VLOOKUP('Données projet'!$B$17,Paramètres!$A$1:$I$89,3,0)*0.475*44/12</f>
        <v>29.297494690658571</v>
      </c>
      <c r="GN62" s="21">
        <f>EXP(-LN(2)/2)*GN61+(1-EXP(-LN(2)/2))/(LN(2)/2)*GH62*GK62*VLOOKUP('Données projet'!$B$17,Paramètres!$A$1:$I$89,3,0)*0.475*44/12</f>
        <v>2.1218503157669075</v>
      </c>
      <c r="GO62" s="21">
        <f t="shared" si="27"/>
        <v>66.334129738582917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63.411862179121002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14.839560439560453</v>
      </c>
      <c r="GU62" s="12">
        <f>IF('Données projet'!$A$270&gt;35,GU61+GT62-HC61,IF(A62&lt;'Données projet'!$A$270,$GR$205^A62,IF(A62='Données projet'!$A$270,'Données projet'!$B$270,GU61+GT62-HC61)))</f>
        <v>396.35714285714278</v>
      </c>
      <c r="GV62" s="17">
        <f>GU62*VLOOKUP('Données projet'!$B$18,Paramètres!$A$1:$I$89,3,0)*VLOOKUP('Données projet'!$B$18,Paramètres!$A$1:$I$89,5,0)</f>
        <v>221.56364285714281</v>
      </c>
      <c r="GW62" s="13">
        <f t="shared" si="51"/>
        <v>54.45459555983345</v>
      </c>
      <c r="GX62" s="20">
        <f t="shared" si="28"/>
        <v>480.73176524290034</v>
      </c>
      <c r="GY62" s="59">
        <f t="shared" si="29"/>
        <v>749.90859323301061</v>
      </c>
      <c r="GZ62" s="59">
        <f ca="1">AVERAGE(OFFSET($GY$3,0,0,'Données projet'!$E$18+1,1))-AVERAGE(OFFSET($H$3,0,0,'Données projet'!$E$18+1,1))</f>
        <v>336.21787234885699</v>
      </c>
      <c r="HA62" s="59">
        <f t="shared" si="52"/>
        <v>315.36156736899113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70.556058941323627</v>
      </c>
      <c r="HH62" s="21">
        <f>EXP(-LN(2)/25)*HH61+(1-EXP(-LN(2)/25))/(LN(2)/25)*Calculateur!HC62*Calculateur!HE62*VLOOKUP('Données projet'!$B$18,Paramètres!$A$1:$I$89,3,0)*0.475*44/12</f>
        <v>25.68733889518807</v>
      </c>
      <c r="HI62" s="21">
        <f>EXP(-LN(2)/2)*HI61+(1-EXP(-LN(2)/2))/(LN(2)/2)*HC62*HF62*VLOOKUP('Données projet'!$B$18,Paramètres!$A$1:$I$89,3,0)*0.475*44/12</f>
        <v>2.4975841847082716</v>
      </c>
      <c r="HJ62" s="22">
        <f t="shared" si="30"/>
        <v>98.740982021219963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3.7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13.566666666666668</v>
      </c>
      <c r="H63" s="67">
        <f t="shared" si="1"/>
        <v>202.4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63.526151641443633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195.16586538461547</v>
      </c>
      <c r="O63" s="13">
        <f>N63*VLOOKUP('Données projet'!$B$9,Paramètres!$A$1:$I$89,3,0)*VLOOKUP('Données projet'!$B$9,Paramètres!$A$1:$I$89,5,0)</f>
        <v>176.58607500000008</v>
      </c>
      <c r="P63" s="13">
        <f t="shared" si="33"/>
        <v>44.561806372041367</v>
      </c>
      <c r="Q63" s="20">
        <f t="shared" si="53"/>
        <v>385.16589338963877</v>
      </c>
      <c r="R63" s="59">
        <f t="shared" si="0"/>
        <v>654.76178274159884</v>
      </c>
      <c r="S63" s="59">
        <f ca="1">AVERAGE(OFFSET($R$3,0,0,'Données projet'!$E$9+1,1))-AVERAGE(OFFSET($H$3,0,0,'Données projet'!$E$9+1,1))</f>
        <v>411.64357329340851</v>
      </c>
      <c r="T63" s="59">
        <f t="shared" si="34"/>
        <v>294.07942258675632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63.526151641443633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8.374198717948719</v>
      </c>
      <c r="AI63" s="13">
        <f>IF('Données projet'!$A$62&gt;35,AI62+AH63-AQ62,IF(A63&lt;'Données projet'!$A$62,$AF$205^A63,IF(A63='Données projet'!$A$62,'Données projet'!$B$62,AI62+AH63-AQ62)))</f>
        <v>195.16586538461547</v>
      </c>
      <c r="AJ63" s="13">
        <f>AI63*VLOOKUP('Données projet'!$B$10,Paramètres!$A$1:$I$89,3,0)*VLOOKUP('Données projet'!$B$10,Paramètres!$A$1:$I$89,5,0)</f>
        <v>197.89818750000012</v>
      </c>
      <c r="AK63" s="13">
        <f t="shared" si="35"/>
        <v>49.281969322616803</v>
      </c>
      <c r="AL63" s="20">
        <f t="shared" si="4"/>
        <v>430.50543979939113</v>
      </c>
      <c r="AM63" s="59">
        <f t="shared" si="5"/>
        <v>700.10132915135114</v>
      </c>
      <c r="AN63" s="59">
        <f ca="1">AVERAGE(OFFSET($AM$3,0,0,'Données projet'!$E$10+1,1))-AVERAGE(OFFSET($H$3,0,0,'Données projet'!$E$10+1,1))</f>
        <v>453.05577105995508</v>
      </c>
      <c r="AO63" s="59">
        <f t="shared" si="36"/>
        <v>322.6839824496758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63.526151641443633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162.32051282051282</v>
      </c>
      <c r="BB63" s="12">
        <f>VLOOKUP(A63,'Données projet'!$A$87:$I$107,9,0)</f>
        <v>3.5192307692307692</v>
      </c>
      <c r="BC63" s="12">
        <f t="array" ref="BC63">INDEX(BB:BB,MIN(IF(ISNUMBER(BB63:BB259),ROW(BB63:BB259),"")))</f>
        <v>3.5192307692307692</v>
      </c>
      <c r="BD63" s="12">
        <f>IF('Données projet'!$A$88&gt;35,BD62+BC63-BL62,IF(A63&lt;'Données projet'!$A$88,$BA$205^A63,IF(A63='Données projet'!$A$88,'Données projet'!$B$88,BD62+BC63-BL62)))</f>
        <v>162.32051282051293</v>
      </c>
      <c r="BE63" s="13">
        <f>BD63*VLOOKUP('Données projet'!$B$11,Paramètres!$A$1:$I$89,3,0)*VLOOKUP('Données projet'!$B$11,Paramètres!$A$1:$I$89,5,0)</f>
        <v>162.06080000000011</v>
      </c>
      <c r="BF63" s="13">
        <f t="shared" si="37"/>
        <v>41.306987821961684</v>
      </c>
      <c r="BG63" s="20">
        <f t="shared" si="7"/>
        <v>354.19889712325016</v>
      </c>
      <c r="BH63" s="59">
        <f t="shared" si="8"/>
        <v>623.79478647521023</v>
      </c>
      <c r="BI63" s="59">
        <f ca="1">AVERAGE(OFFSET($BH$3,0,0,'Données projet'!$E$11+1,1))-AVERAGE(OFFSET($H$3,0,0,'Données projet'!$E$11+1,1))</f>
        <v>411.38162678377478</v>
      </c>
      <c r="BJ63" s="59">
        <f t="shared" si="38"/>
        <v>177.89903563360403</v>
      </c>
      <c r="BK63" s="15">
        <f>IF(ISNA(VLOOKUP(A63,'Données projet'!$A$87:$I$107,3,0)),0,VLOOKUP(A63,'Données projet'!$A$87:$I$107,3,0))</f>
        <v>1</v>
      </c>
      <c r="BL63" s="15">
        <f>IF(ISNA(VLOOKUP(A63,'Données projet'!$A$87:$I$107,4,0)),0,VLOOKUP(A63,'Données projet'!$A$87:$I$107,4,0))</f>
        <v>60.096153846153847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63.526151641443633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189</v>
      </c>
      <c r="BW63" s="12">
        <f>VLOOKUP(A63,'Données projet'!$A$113:$I$133,9,0)</f>
        <v>5</v>
      </c>
      <c r="BX63" s="12">
        <f t="array" ref="BX63">INDEX(BW:BW,MIN(IF(ISNUMBER(BW63:BW259),ROW(BW63:BW259),"")))</f>
        <v>5</v>
      </c>
      <c r="BY63" s="12">
        <f>IF('Données projet'!$A$114&gt;35,BY62+BX63-CG62,IF(A63&lt;'Données projet'!$A$114,$BV$205^A63,IF(A63='Données projet'!$A$114,'Données projet'!$B$114,BY62+BX63-CG62)))</f>
        <v>188.99999999999997</v>
      </c>
      <c r="BZ63" s="13">
        <f>BY63*VLOOKUP('Données projet'!$B$12,Paramètres!$A$1:$I$89,3,0)*VLOOKUP('Données projet'!$B$12,Paramètres!$A$1:$I$89,5,0)</f>
        <v>197.5428</v>
      </c>
      <c r="CA63" s="13">
        <f t="shared" si="39"/>
        <v>49.203761623019211</v>
      </c>
      <c r="CB63" s="20">
        <f t="shared" si="10"/>
        <v>429.75026149342511</v>
      </c>
      <c r="CC63" s="59">
        <f t="shared" si="11"/>
        <v>699.34615084538518</v>
      </c>
      <c r="CD63" s="59">
        <f ca="1">AVERAGE(OFFSET($CC$3,0,0,'Données projet'!$E$12+1,1))-AVERAGE(OFFSET($H$3,0,0,'Données projet'!$E$12+1,1))</f>
        <v>374.38550202939507</v>
      </c>
      <c r="CE63" s="59">
        <f t="shared" si="40"/>
        <v>324.37486924296718</v>
      </c>
      <c r="CF63" s="15">
        <f>IF(ISNA(VLOOKUP(A63,'Données projet'!$A$113:$I$133,3,0)),0,VLOOKUP(A63,'Données projet'!$A$113:$I$133,3,0))</f>
        <v>9</v>
      </c>
      <c r="CG63" s="15" t="str">
        <f>IF(ISNA(VLOOKUP(A63,'Données projet'!$A$113:$I$133,4,0)),0,VLOOKUP(A63,'Données projet'!$A$113:$I$133,4,0))</f>
        <v>16</v>
      </c>
      <c r="CH63" s="16">
        <f>IF(ISNA(VLOOKUP(A63,'Données projet'!$A$113:$I$133,5,0)),0%,VLOOKUP(A63,'Données projet'!$A$113:$I$133,5,0)*VLOOKUP('Données projet'!$B$12,Paramètres!$A$1:$I$89,7,0))</f>
        <v>0.17200000000000001</v>
      </c>
      <c r="CI63" s="16">
        <f>IF(ISNA(VLOOKUP(A63,'Données projet'!$A$113:$I$133,6,0)),0%,VLOOKUP(A63,'Données projet'!$A$113:$I$133,6,0)*VLOOKUP('Données projet'!$B$12,Paramètres!$A$1:$I$89,7,0))</f>
        <v>0.17200000000000001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6.2397514801844647</v>
      </c>
      <c r="CL63" s="21">
        <f>EXP(-LN(2)/25)*CL62+(1-EXP(-LN(2)/25))/(LN(2)/25)*Calculateur!CG63*Calculateur!CI63*VLOOKUP('Données projet'!$B$12,Paramètres!$A$1:$I$89,3,0)*0.475*44/12</f>
        <v>15.416375623571575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21.656127103756042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63.526151641443633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5.9431089743589762</v>
      </c>
      <c r="CT63" s="12">
        <f>IF('Données projet'!$A$140&gt;35,CT62+CS63-DB62,IF(A63&lt;'Données projet'!$A$140,$CQ$205^A63,IF(A63='Données projet'!$A$140,'Données projet'!$B$140,CT62+CS63-DB62)))</f>
        <v>126.25721153846153</v>
      </c>
      <c r="CU63" s="17">
        <f>CT63*VLOOKUP('Données projet'!$B$13,Paramètres!$A$1:$I$89,3,0)*VLOOKUP('Données projet'!$B$13,Paramètres!$A$1:$I$89,5,0)</f>
        <v>120.1463625</v>
      </c>
      <c r="CV63" s="13">
        <f t="shared" si="41"/>
        <v>31.709133521584306</v>
      </c>
      <c r="CW63" s="20">
        <f t="shared" si="13"/>
        <v>264.48165557092597</v>
      </c>
      <c r="CX63" s="59">
        <f t="shared" si="14"/>
        <v>534.07754492288598</v>
      </c>
      <c r="CY63" s="59">
        <f ca="1">AVERAGE(OFFSET($CX$3,0,0,'Données projet'!$E$13+1,1))-AVERAGE(OFFSET($H$3,0,0,'Données projet'!$E$13+1,1))</f>
        <v>392.81074187112989</v>
      </c>
      <c r="CZ63" s="59">
        <f t="shared" si="42"/>
        <v>236.19146849073687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63.526151641443633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5.9431089743589762</v>
      </c>
      <c r="DO63" s="12">
        <f>IF('Données projet'!$A$166&gt;35,DO62+DN63-DW62,IF(A63&lt;'Données projet'!$A$166,$DL$205^A63,IF(A63='Données projet'!$A$166,'Données projet'!$B$166,DO62+DN63-DW62)))</f>
        <v>126.25721153846153</v>
      </c>
      <c r="DP63" s="17">
        <f>DO63*VLOOKUP('Données projet'!$B$14,Paramètres!$A$1:$I$89,3,0)*VLOOKUP('Données projet'!$B$14,Paramètres!$A$1:$I$89,5,0)</f>
        <v>135.90326249999998</v>
      </c>
      <c r="DQ63" s="13">
        <f t="shared" si="43"/>
        <v>35.356884440438705</v>
      </c>
      <c r="DR63" s="20">
        <f t="shared" si="16"/>
        <v>298.27808925459738</v>
      </c>
      <c r="DS63" s="59">
        <f t="shared" si="17"/>
        <v>567.87397860655733</v>
      </c>
      <c r="DT63" s="59">
        <f ca="1">AVERAGE(OFFSET($DS$3,0,0,'Données projet'!$E$14+1,1))-AVERAGE(OFFSET($H$3,0,0,'Données projet'!$E$14+1,1))</f>
        <v>434.77799524785502</v>
      </c>
      <c r="DU63" s="59">
        <f t="shared" si="44"/>
        <v>259.85949838170006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63.526151641443633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5.9431089743589762</v>
      </c>
      <c r="EJ63" s="12">
        <f>IF('Données projet'!$A$192&gt;35,EJ62+EI63-ER62,IF(A63&lt;'Données projet'!$A$192,$EG$205^A63,IF(A63='Données projet'!$A$192,'Données projet'!$B$192,EJ62+EI63-ER62)))</f>
        <v>126.25721153846153</v>
      </c>
      <c r="EK63" s="17">
        <f>EJ63*VLOOKUP('Données projet'!$B$15,Paramètres!$A$1:$I$89,3,0)*VLOOKUP('Données projet'!$B$15,Paramètres!$A$1:$I$89,5,0)</f>
        <v>122.11597499999999</v>
      </c>
      <c r="EL63" s="13">
        <f t="shared" si="45"/>
        <v>32.168012537164756</v>
      </c>
      <c r="EM63" s="20">
        <f t="shared" si="19"/>
        <v>268.7112782938953</v>
      </c>
      <c r="EN63" s="59">
        <f t="shared" si="20"/>
        <v>538.30716764585532</v>
      </c>
      <c r="EO63" s="59">
        <f ca="1">AVERAGE(OFFSET($EN$3,0,0,'Données projet'!$E$15+1,1))-AVERAGE(OFFSET($H$3,0,0,'Données projet'!$E$15+1,1))</f>
        <v>398.06270423055565</v>
      </c>
      <c r="EP63" s="59">
        <f t="shared" si="46"/>
        <v>239.15364562040614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63.526151641443633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-1.7053025658242404E-13</v>
      </c>
      <c r="FF63" s="17">
        <f>FE63*VLOOKUP('Données projet'!$B$16,Paramètres!$A$1:$I$89,3,0)*VLOOKUP('Données projet'!$B$16,Paramètres!$A$1:$I$89,5,0)</f>
        <v>-1.0197709343628959E-13</v>
      </c>
      <c r="FG63" s="13" t="e">
        <f t="shared" si="47"/>
        <v>#NUM!</v>
      </c>
      <c r="FH63" s="20" t="e">
        <f t="shared" si="22"/>
        <v>#NUM!</v>
      </c>
      <c r="FI63" s="59" t="e">
        <f t="shared" si="23"/>
        <v>#NUM!</v>
      </c>
      <c r="FJ63" s="59">
        <f ca="1">AVERAGE(OFFSET($FI$3,0,0,'Données projet'!$E$16+1,1))-AVERAGE(OFFSET($H$3,0,0,'Données projet'!$E$16+1,1))</f>
        <v>334.13861979962491</v>
      </c>
      <c r="FK63" s="59">
        <f t="shared" si="48"/>
        <v>416.48635183664305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150.4453637294896</v>
      </c>
      <c r="FR63" s="21">
        <f>EXP(-LN(2)/25)*FR62+(1-EXP(-LN(2)/25))/(LN(2)/25)*Calculateur!FM63*Calculateur!FO63*VLOOKUP('Données projet'!$B$16,Paramètres!$A$1:$I$89,3,0)*0.475*44/12</f>
        <v>39.560625095331275</v>
      </c>
      <c r="FS63" s="21">
        <f>EXP(-LN(2)/2)*FS62+(1-EXP(-LN(2)/2))/(LN(2)/2)*FM63*FP63*VLOOKUP('Données projet'!$B$16,Paramètres!$A$1:$I$89,3,0)*0.475*44/12</f>
        <v>10.101592735702374</v>
      </c>
      <c r="FT63" s="22">
        <f t="shared" si="24"/>
        <v>200.10758156052324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63.526151641443633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14.270329670329668</v>
      </c>
      <c r="FZ63" s="12">
        <f>IF('Données projet'!$A$244&gt;35,FZ62+FY63-GH62,IF(A63&lt;'Données projet'!$A$244,$FW$205^A63,IF(A63='Données projet'!$A$244,'Données projet'!$B$244,FZ62+FY63-GH62)))</f>
        <v>332.36593406593403</v>
      </c>
      <c r="GA63" s="17">
        <f>FZ63*VLOOKUP('Données projet'!$B$17,Paramètres!$A$1:$I$89,3,0)*VLOOKUP('Données projet'!$B$17,Paramètres!$A$1:$I$89,5,0)</f>
        <v>155.54725714285712</v>
      </c>
      <c r="GB63" s="13">
        <f t="shared" si="49"/>
        <v>39.836543030962723</v>
      </c>
      <c r="GC63" s="20">
        <f t="shared" si="25"/>
        <v>340.29345196940289</v>
      </c>
      <c r="GD63" s="59">
        <f t="shared" si="26"/>
        <v>609.88934132136296</v>
      </c>
      <c r="GE63" s="59">
        <f ca="1">AVERAGE(OFFSET($GD$3,0,0,'Données projet'!$E$17+1,1))-AVERAGE(OFFSET($H$3,0,0,'Données projet'!$E$17+1,1))</f>
        <v>317.79829681023142</v>
      </c>
      <c r="GF63" s="59">
        <f t="shared" si="50"/>
        <v>275.07716943523621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34.230127099475723</v>
      </c>
      <c r="GM63" s="21">
        <f>EXP(-LN(2)/25)*GM62+(1-EXP(-LN(2)/25))/(LN(2)/25)*Calculateur!GH63*Calculateur!GJ63*VLOOKUP('Données projet'!$B$17,Paramètres!$A$1:$I$89,3,0)*0.475*44/12</f>
        <v>28.496353157654227</v>
      </c>
      <c r="GN63" s="21">
        <f>EXP(-LN(2)/2)*GN62+(1-EXP(-LN(2)/2))/(LN(2)/2)*GH63*GK63*VLOOKUP('Données projet'!$B$17,Paramètres!$A$1:$I$89,3,0)*0.475*44/12</f>
        <v>1.5003747469415976</v>
      </c>
      <c r="GO63" s="21">
        <f t="shared" si="27"/>
        <v>64.226855004071552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63.526151641443633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14.839560439560453</v>
      </c>
      <c r="GU63" s="12">
        <f>IF('Données projet'!$A$270&gt;35,GU62+GT63-HC62,IF(A63&lt;'Données projet'!$A$270,$GR$205^A63,IF(A63='Données projet'!$A$270,'Données projet'!$B$270,GU62+GT63-HC62)))</f>
        <v>411.19670329670322</v>
      </c>
      <c r="GV63" s="17">
        <f>GU63*VLOOKUP('Données projet'!$B$18,Paramètres!$A$1:$I$89,3,0)*VLOOKUP('Données projet'!$B$18,Paramètres!$A$1:$I$89,5,0)</f>
        <v>229.85895714285712</v>
      </c>
      <c r="GW63" s="13">
        <f t="shared" si="51"/>
        <v>56.252183679167004</v>
      </c>
      <c r="GX63" s="20">
        <f t="shared" si="28"/>
        <v>498.31023693169203</v>
      </c>
      <c r="GY63" s="59">
        <f t="shared" si="29"/>
        <v>767.90612628365204</v>
      </c>
      <c r="GZ63" s="59">
        <f ca="1">AVERAGE(OFFSET($GY$3,0,0,'Données projet'!$E$18+1,1))-AVERAGE(OFFSET($H$3,0,0,'Données projet'!$E$18+1,1))</f>
        <v>336.21787234885699</v>
      </c>
      <c r="HA63" s="59">
        <f t="shared" si="52"/>
        <v>315.36156736899113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69.172497660430878</v>
      </c>
      <c r="HH63" s="21">
        <f>EXP(-LN(2)/25)*HH62+(1-EXP(-LN(2)/25))/(LN(2)/25)*Calculateur!HC63*Calculateur!HE63*VLOOKUP('Données projet'!$B$18,Paramètres!$A$1:$I$89,3,0)*0.475*44/12</f>
        <v>24.984917262260709</v>
      </c>
      <c r="HI63" s="21">
        <f>EXP(-LN(2)/2)*HI62+(1-EXP(-LN(2)/2))/(LN(2)/2)*HC63*HF63*VLOOKUP('Données projet'!$B$18,Paramètres!$A$1:$I$89,3,0)*0.475*44/12</f>
        <v>1.7660587135914936</v>
      </c>
      <c r="HJ63" s="22">
        <f t="shared" si="30"/>
        <v>95.923473636283077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3.7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13.566666666666668</v>
      </c>
      <c r="H64" s="67">
        <f t="shared" si="1"/>
        <v>202.4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63.638458437107914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203.5400641025642</v>
      </c>
      <c r="O64" s="13">
        <f>N64*VLOOKUP('Données projet'!$B$9,Paramètres!$A$1:$I$89,3,0)*VLOOKUP('Données projet'!$B$9,Paramètres!$A$1:$I$89,5,0)</f>
        <v>184.16305000000008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671.30544937740979</v>
      </c>
      <c r="S64" s="59">
        <f ca="1">AVERAGE(OFFSET($R$3,0,0,'Données projet'!$E$9+1,1))-AVERAGE(OFFSET($H$3,0,0,'Données projet'!$E$9+1,1))</f>
        <v>411.64357329340851</v>
      </c>
      <c r="T64" s="59">
        <f t="shared" si="34"/>
        <v>294.07942258675632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63.638458437107914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8.374198717948719</v>
      </c>
      <c r="AI64" s="13">
        <f>IF('Données projet'!$A$62&gt;35,AI63+AH64-AQ63,IF(A64&lt;'Données projet'!$A$62,$AF$205^A64,IF(A64='Données projet'!$A$62,'Données projet'!$B$62,AI63+AH64-AQ63)))</f>
        <v>203.5400641025642</v>
      </c>
      <c r="AJ64" s="13">
        <f>AI64*VLOOKUP('Données projet'!$B$10,Paramètres!$A$1:$I$89,3,0)*VLOOKUP('Données projet'!$B$10,Paramètres!$A$1:$I$89,5,0)</f>
        <v>206.38962500000014</v>
      </c>
      <c r="AK64" s="13">
        <f t="shared" si="35"/>
        <v>51.145833405091373</v>
      </c>
      <c r="AL64" s="20">
        <f t="shared" si="4"/>
        <v>448.54092338886767</v>
      </c>
      <c r="AM64" s="59">
        <f t="shared" si="5"/>
        <v>718.54860432493001</v>
      </c>
      <c r="AN64" s="59">
        <f ca="1">AVERAGE(OFFSET($AM$3,0,0,'Données projet'!$E$10+1,1))-AVERAGE(OFFSET($H$3,0,0,'Données projet'!$E$10+1,1))</f>
        <v>453.05577105995508</v>
      </c>
      <c r="AO64" s="59">
        <f t="shared" si="36"/>
        <v>322.6839824496758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63.638458437107914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4.8774928774928794</v>
      </c>
      <c r="BD64" s="12">
        <f>IF('Données projet'!$A$88&gt;35,BD63+BC64-BL63,IF(A64&lt;'Données projet'!$A$88,$BA$205^A64,IF(A64='Données projet'!$A$88,'Données projet'!$B$88,BD63+BC64-BL63)))</f>
        <v>107.10185185185196</v>
      </c>
      <c r="BE64" s="13">
        <f>BD64*VLOOKUP('Données projet'!$B$11,Paramètres!$A$1:$I$89,3,0)*VLOOKUP('Données projet'!$B$11,Paramètres!$A$1:$I$89,5,0)</f>
        <v>106.93048888888902</v>
      </c>
      <c r="BF64" s="13">
        <f t="shared" si="37"/>
        <v>28.606596919262348</v>
      </c>
      <c r="BG64" s="20">
        <f t="shared" si="7"/>
        <v>236.06042444919694</v>
      </c>
      <c r="BH64" s="59">
        <f t="shared" si="8"/>
        <v>506.06810538525929</v>
      </c>
      <c r="BI64" s="59">
        <f ca="1">AVERAGE(OFFSET($BH$3,0,0,'Données projet'!$E$11+1,1))-AVERAGE(OFFSET($H$3,0,0,'Données projet'!$E$11+1,1))</f>
        <v>411.38162678377478</v>
      </c>
      <c r="BJ64" s="59">
        <f t="shared" si="38"/>
        <v>177.89903563360403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63.638458437107914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177.39999999999998</v>
      </c>
      <c r="BZ64" s="13">
        <f>BY64*VLOOKUP('Données projet'!$B$12,Paramètres!$A$1:$I$89,3,0)*VLOOKUP('Données projet'!$B$12,Paramètres!$A$1:$I$89,5,0)</f>
        <v>185.41847999999999</v>
      </c>
      <c r="CA64" s="13">
        <f t="shared" si="39"/>
        <v>46.525609399376847</v>
      </c>
      <c r="CB64" s="20">
        <f t="shared" si="10"/>
        <v>403.96928903724796</v>
      </c>
      <c r="CC64" s="59">
        <f t="shared" si="11"/>
        <v>673.97696997331036</v>
      </c>
      <c r="CD64" s="59">
        <f ca="1">AVERAGE(OFFSET($CC$3,0,0,'Données projet'!$E$12+1,1))-AVERAGE(OFFSET($H$3,0,0,'Données projet'!$E$12+1,1))</f>
        <v>374.38550202939507</v>
      </c>
      <c r="CE64" s="59">
        <f t="shared" si="40"/>
        <v>324.37486924296718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6.1173937595306516</v>
      </c>
      <c r="CL64" s="21">
        <f>EXP(-LN(2)/25)*CL63+(1-EXP(-LN(2)/25))/(LN(2)/25)*Calculateur!CG64*Calculateur!CI64*VLOOKUP('Données projet'!$B$12,Paramètres!$A$1:$I$89,3,0)*0.475*44/12</f>
        <v>14.994814021433051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21.112207780963701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63.638458437107914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5.9431089743589762</v>
      </c>
      <c r="CT64" s="12">
        <f>IF('Données projet'!$A$140&gt;35,CT63+CS64-DB63,IF(A64&lt;'Données projet'!$A$140,$CQ$205^A64,IF(A64='Données projet'!$A$140,'Données projet'!$B$140,CT63+CS64-DB63)))</f>
        <v>132.2003205128205</v>
      </c>
      <c r="CU64" s="17">
        <f>CT64*VLOOKUP('Données projet'!$B$13,Paramètres!$A$1:$I$89,3,0)*VLOOKUP('Données projet'!$B$13,Paramètres!$A$1:$I$89,5,0)</f>
        <v>125.80182499999999</v>
      </c>
      <c r="CV64" s="13">
        <f t="shared" si="41"/>
        <v>33.024438811399982</v>
      </c>
      <c r="CW64" s="20">
        <f t="shared" si="13"/>
        <v>276.62240947152162</v>
      </c>
      <c r="CX64" s="59">
        <f t="shared" si="14"/>
        <v>546.63009040758402</v>
      </c>
      <c r="CY64" s="59">
        <f ca="1">AVERAGE(OFFSET($CX$3,0,0,'Données projet'!$E$13+1,1))-AVERAGE(OFFSET($H$3,0,0,'Données projet'!$E$13+1,1))</f>
        <v>392.81074187112989</v>
      </c>
      <c r="CZ64" s="59">
        <f t="shared" si="42"/>
        <v>236.19146849073687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63.638458437107914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5.9431089743589762</v>
      </c>
      <c r="DO64" s="12">
        <f>IF('Données projet'!$A$166&gt;35,DO63+DN64-DW63,IF(A64&lt;'Données projet'!$A$166,$DL$205^A64,IF(A64='Données projet'!$A$166,'Données projet'!$B$166,DO63+DN64-DW63)))</f>
        <v>132.2003205128205</v>
      </c>
      <c r="DP64" s="17">
        <f>DO64*VLOOKUP('Données projet'!$B$14,Paramètres!$A$1:$I$89,3,0)*VLOOKUP('Données projet'!$B$14,Paramètres!$A$1:$I$89,5,0)</f>
        <v>142.30042499999996</v>
      </c>
      <c r="DQ64" s="13">
        <f t="shared" si="43"/>
        <v>36.823499638367579</v>
      </c>
      <c r="DR64" s="20">
        <f t="shared" si="16"/>
        <v>311.97416874515676</v>
      </c>
      <c r="DS64" s="59">
        <f t="shared" si="17"/>
        <v>581.98184968121905</v>
      </c>
      <c r="DT64" s="59">
        <f ca="1">AVERAGE(OFFSET($DS$3,0,0,'Données projet'!$E$14+1,1))-AVERAGE(OFFSET($H$3,0,0,'Données projet'!$E$14+1,1))</f>
        <v>434.77799524785502</v>
      </c>
      <c r="DU64" s="59">
        <f t="shared" si="44"/>
        <v>259.85949838170006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63.638458437107914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5.9431089743589762</v>
      </c>
      <c r="EJ64" s="12">
        <f>IF('Données projet'!$A$192&gt;35,EJ63+EI64-ER63,IF(A64&lt;'Données projet'!$A$192,$EG$205^A64,IF(A64='Données projet'!$A$192,'Données projet'!$B$192,EJ63+EI64-ER63)))</f>
        <v>132.2003205128205</v>
      </c>
      <c r="EK64" s="17">
        <f>EJ64*VLOOKUP('Données projet'!$B$15,Paramètres!$A$1:$I$89,3,0)*VLOOKUP('Données projet'!$B$15,Paramètres!$A$1:$I$89,5,0)</f>
        <v>127.86414999999998</v>
      </c>
      <c r="EL64" s="13">
        <f t="shared" si="45"/>
        <v>33.502352279503945</v>
      </c>
      <c r="EM64" s="20">
        <f t="shared" si="19"/>
        <v>281.04665813680271</v>
      </c>
      <c r="EN64" s="59">
        <f t="shared" si="20"/>
        <v>551.0543390728651</v>
      </c>
      <c r="EO64" s="59">
        <f ca="1">AVERAGE(OFFSET($EN$3,0,0,'Données projet'!$E$15+1,1))-AVERAGE(OFFSET($H$3,0,0,'Données projet'!$E$15+1,1))</f>
        <v>398.06270423055565</v>
      </c>
      <c r="EP64" s="59">
        <f t="shared" si="46"/>
        <v>239.15364562040614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63.638458437107914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-1.7053025658242404E-13</v>
      </c>
      <c r="FF64" s="17">
        <f>FE64*VLOOKUP('Données projet'!$B$16,Paramètres!$A$1:$I$89,3,0)*VLOOKUP('Données projet'!$B$16,Paramètres!$A$1:$I$89,5,0)</f>
        <v>-1.0197709343628959E-13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334.13861979962491</v>
      </c>
      <c r="FK64" s="59">
        <f t="shared" si="48"/>
        <v>416.48635183664305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147.49522190936537</v>
      </c>
      <c r="FR64" s="21">
        <f>EXP(-LN(2)/25)*FR63+(1-EXP(-LN(2)/25))/(LN(2)/25)*Calculateur!FM64*Calculateur!FO64*VLOOKUP('Données projet'!$B$16,Paramètres!$A$1:$I$89,3,0)*0.475*44/12</f>
        <v>38.478837721696586</v>
      </c>
      <c r="FS64" s="21">
        <f>EXP(-LN(2)/2)*FS63+(1-EXP(-LN(2)/2))/(LN(2)/2)*FM64*FP64*VLOOKUP('Données projet'!$B$16,Paramètres!$A$1:$I$89,3,0)*0.475*44/12</f>
        <v>7.1429047241999166</v>
      </c>
      <c r="FT64" s="22">
        <f t="shared" si="24"/>
        <v>193.11696435526187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63.638458437107914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14.270329670329668</v>
      </c>
      <c r="FZ64" s="12">
        <f>IF('Données projet'!$A$244&gt;35,FZ63+FY64-GH63,IF(A64&lt;'Données projet'!$A$244,$FW$205^A64,IF(A64='Données projet'!$A$244,'Données projet'!$B$244,FZ63+FY64-GH63)))</f>
        <v>346.63626373626369</v>
      </c>
      <c r="GA64" s="17">
        <f>FZ64*VLOOKUP('Données projet'!$B$17,Paramètres!$A$1:$I$89,3,0)*VLOOKUP('Données projet'!$B$17,Paramètres!$A$1:$I$89,5,0)</f>
        <v>162.22577142857142</v>
      </c>
      <c r="GB64" s="13">
        <f t="shared" si="49"/>
        <v>41.344139999178246</v>
      </c>
      <c r="GC64" s="20">
        <f t="shared" si="25"/>
        <v>354.55092906999738</v>
      </c>
      <c r="GD64" s="59">
        <f t="shared" si="26"/>
        <v>624.55861000605978</v>
      </c>
      <c r="GE64" s="59">
        <f ca="1">AVERAGE(OFFSET($GD$3,0,0,'Données projet'!$E$17+1,1))-AVERAGE(OFFSET($H$3,0,0,'Données projet'!$E$17+1,1))</f>
        <v>317.79829681023142</v>
      </c>
      <c r="GF64" s="59">
        <f t="shared" si="50"/>
        <v>275.07716943523621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33.558895185370972</v>
      </c>
      <c r="GM64" s="21">
        <f>EXP(-LN(2)/25)*GM63+(1-EXP(-LN(2)/25))/(LN(2)/25)*Calculateur!GH64*Calculateur!GJ64*VLOOKUP('Données projet'!$B$17,Paramètres!$A$1:$I$89,3,0)*0.475*44/12</f>
        <v>27.71711888200009</v>
      </c>
      <c r="GN64" s="21">
        <f>EXP(-LN(2)/2)*GN63+(1-EXP(-LN(2)/2))/(LN(2)/2)*GH64*GK64*VLOOKUP('Données projet'!$B$17,Paramètres!$A$1:$I$89,3,0)*0.475*44/12</f>
        <v>1.060925157883454</v>
      </c>
      <c r="GO64" s="21">
        <f t="shared" si="27"/>
        <v>62.336939225254518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63.638458437107914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14.839560439560453</v>
      </c>
      <c r="GU64" s="12">
        <f>IF('Données projet'!$A$270&gt;35,GU63+GT64-HC63,IF(A64&lt;'Données projet'!$A$270,$GR$205^A64,IF(A64='Données projet'!$A$270,'Données projet'!$B$270,GU63+GT64-HC63)))</f>
        <v>426.03626373626366</v>
      </c>
      <c r="GV64" s="17">
        <f>GU64*VLOOKUP('Données projet'!$B$18,Paramètres!$A$1:$I$89,3,0)*VLOOKUP('Données projet'!$B$18,Paramètres!$A$1:$I$89,5,0)</f>
        <v>238.15427142857138</v>
      </c>
      <c r="GW64" s="13">
        <f t="shared" si="51"/>
        <v>58.042234732541061</v>
      </c>
      <c r="GX64" s="20">
        <f t="shared" si="28"/>
        <v>515.87558156393754</v>
      </c>
      <c r="GY64" s="59">
        <f t="shared" si="29"/>
        <v>785.88326249999989</v>
      </c>
      <c r="GZ64" s="59">
        <f ca="1">AVERAGE(OFFSET($GY$3,0,0,'Données projet'!$E$18+1,1))-AVERAGE(OFFSET($H$3,0,0,'Données projet'!$E$18+1,1))</f>
        <v>336.21787234885699</v>
      </c>
      <c r="HA64" s="59">
        <f t="shared" si="52"/>
        <v>315.36156736899113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67.816067172367383</v>
      </c>
      <c r="HH64" s="21">
        <f>EXP(-LN(2)/25)*HH63+(1-EXP(-LN(2)/25))/(LN(2)/25)*Calculateur!HC64*Calculateur!HE64*VLOOKUP('Données projet'!$B$18,Paramètres!$A$1:$I$89,3,0)*0.475*44/12</f>
        <v>24.301703385824496</v>
      </c>
      <c r="HI64" s="21">
        <f>EXP(-LN(2)/2)*HI63+(1-EXP(-LN(2)/2))/(LN(2)/2)*HC64*HF64*VLOOKUP('Données projet'!$B$18,Paramètres!$A$1:$I$89,3,0)*0.475*44/12</f>
        <v>1.248792092354136</v>
      </c>
      <c r="HJ64" s="22">
        <f t="shared" si="30"/>
        <v>93.366562650546015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3.7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13.566666666666668</v>
      </c>
      <c r="H65" s="67">
        <f t="shared" si="1"/>
        <v>202.4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63.748816960947806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211.91426282051293</v>
      </c>
      <c r="O65" s="13">
        <f>N65*VLOOKUP('Données projet'!$B$9,Paramètres!$A$1:$I$89,3,0)*VLOOKUP('Données projet'!$B$9,Paramètres!$A$1:$I$89,5,0)</f>
        <v>191.74002500000009</v>
      </c>
      <c r="P65" s="13">
        <f t="shared" si="33"/>
        <v>47.924443327659169</v>
      </c>
      <c r="Q65" s="20">
        <f t="shared" si="53"/>
        <v>417.41561567067316</v>
      </c>
      <c r="R65" s="59">
        <f t="shared" si="0"/>
        <v>687.8279445274818</v>
      </c>
      <c r="S65" s="59">
        <f ca="1">AVERAGE(OFFSET($R$3,0,0,'Données projet'!$E$9+1,1))-AVERAGE(OFFSET($H$3,0,0,'Données projet'!$E$9+1,1))</f>
        <v>411.64357329340851</v>
      </c>
      <c r="T65" s="59">
        <f t="shared" si="34"/>
        <v>294.07942258675632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63.748816960947806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8.374198717948719</v>
      </c>
      <c r="AI65" s="13">
        <f>IF('Données projet'!$A$62&gt;35,AI64+AH65-AQ64,IF(A65&lt;'Données projet'!$A$62,$AF$205^A65,IF(A65='Données projet'!$A$62,'Données projet'!$B$62,AI64+AH65-AQ64)))</f>
        <v>211.91426282051293</v>
      </c>
      <c r="AJ65" s="13">
        <f>AI65*VLOOKUP('Données projet'!$B$10,Paramètres!$A$1:$I$89,3,0)*VLOOKUP('Données projet'!$B$10,Paramètres!$A$1:$I$89,5,0)</f>
        <v>214.88106250000013</v>
      </c>
      <c r="AK65" s="13">
        <f t="shared" si="35"/>
        <v>53.000790097212402</v>
      </c>
      <c r="AL65" s="20">
        <f t="shared" si="4"/>
        <v>466.56089327347848</v>
      </c>
      <c r="AM65" s="59">
        <f t="shared" si="5"/>
        <v>736.97322213028713</v>
      </c>
      <c r="AN65" s="59">
        <f ca="1">AVERAGE(OFFSET($AM$3,0,0,'Données projet'!$E$10+1,1))-AVERAGE(OFFSET($H$3,0,0,'Données projet'!$E$10+1,1))</f>
        <v>453.05577105995508</v>
      </c>
      <c r="AO65" s="59">
        <f t="shared" si="36"/>
        <v>322.6839824496758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63.748816960947806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4.8774928774928794</v>
      </c>
      <c r="BD65" s="12">
        <f>IF('Données projet'!$A$88&gt;35,BD64+BC65-BL64,IF(A65&lt;'Données projet'!$A$88,$BA$205^A65,IF(A65='Données projet'!$A$88,'Données projet'!$B$88,BD64+BC65-BL64)))</f>
        <v>111.97934472934485</v>
      </c>
      <c r="BE65" s="13">
        <f>BD65*VLOOKUP('Données projet'!$B$11,Paramètres!$A$1:$I$89,3,0)*VLOOKUP('Données projet'!$B$11,Paramètres!$A$1:$I$89,5,0)</f>
        <v>111.8001777777779</v>
      </c>
      <c r="BF65" s="13">
        <f t="shared" si="37"/>
        <v>29.754718965466495</v>
      </c>
      <c r="BG65" s="20">
        <f t="shared" si="7"/>
        <v>246.54144516115068</v>
      </c>
      <c r="BH65" s="59">
        <f t="shared" si="8"/>
        <v>516.95377401795929</v>
      </c>
      <c r="BI65" s="59">
        <f ca="1">AVERAGE(OFFSET($BH$3,0,0,'Données projet'!$E$11+1,1))-AVERAGE(OFFSET($H$3,0,0,'Données projet'!$E$11+1,1))</f>
        <v>411.38162678377478</v>
      </c>
      <c r="BJ65" s="59">
        <f t="shared" si="38"/>
        <v>177.89903563360403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63.748816960947806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181.79999999999998</v>
      </c>
      <c r="BZ65" s="13">
        <f>BY65*VLOOKUP('Données projet'!$B$12,Paramètres!$A$1:$I$89,3,0)*VLOOKUP('Données projet'!$B$12,Paramètres!$A$1:$I$89,5,0)</f>
        <v>190.01736</v>
      </c>
      <c r="CA65" s="13">
        <f t="shared" si="39"/>
        <v>47.543790880338349</v>
      </c>
      <c r="CB65" s="20">
        <f t="shared" si="10"/>
        <v>413.75233778325588</v>
      </c>
      <c r="CC65" s="59">
        <f t="shared" si="11"/>
        <v>684.16466664006452</v>
      </c>
      <c r="CD65" s="59">
        <f ca="1">AVERAGE(OFFSET($CC$3,0,0,'Données projet'!$E$12+1,1))-AVERAGE(OFFSET($H$3,0,0,'Données projet'!$E$12+1,1))</f>
        <v>374.38550202939507</v>
      </c>
      <c r="CE65" s="59">
        <f t="shared" si="40"/>
        <v>324.37486924296718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5.9974353991480189</v>
      </c>
      <c r="CL65" s="21">
        <f>EXP(-LN(2)/25)*CL64+(1-EXP(-LN(2)/25))/(LN(2)/25)*Calculateur!CG65*Calculateur!CI65*VLOOKUP('Données projet'!$B$12,Paramètres!$A$1:$I$89,3,0)*0.475*44/12</f>
        <v>14.584780043473966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20.582215442621987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63.748816960947806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5.9431089743589762</v>
      </c>
      <c r="CT65" s="12">
        <f>IF('Données projet'!$A$140&gt;35,CT64+CS65-DB64,IF(A65&lt;'Données projet'!$A$140,$CQ$205^A65,IF(A65='Données projet'!$A$140,'Données projet'!$B$140,CT64+CS65-DB64)))</f>
        <v>138.14342948717947</v>
      </c>
      <c r="CU65" s="17">
        <f>CT65*VLOOKUP('Données projet'!$B$13,Paramètres!$A$1:$I$89,3,0)*VLOOKUP('Données projet'!$B$13,Paramètres!$A$1:$I$89,5,0)</f>
        <v>131.45728750000001</v>
      </c>
      <c r="CV65" s="13">
        <f t="shared" si="41"/>
        <v>34.332876905330316</v>
      </c>
      <c r="CW65" s="20">
        <f t="shared" si="13"/>
        <v>288.75120300595034</v>
      </c>
      <c r="CX65" s="59">
        <f t="shared" si="14"/>
        <v>559.16353186275899</v>
      </c>
      <c r="CY65" s="59">
        <f ca="1">AVERAGE(OFFSET($CX$3,0,0,'Données projet'!$E$13+1,1))-AVERAGE(OFFSET($H$3,0,0,'Données projet'!$E$13+1,1))</f>
        <v>392.81074187112989</v>
      </c>
      <c r="CZ65" s="59">
        <f t="shared" si="42"/>
        <v>236.19146849073687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63.748816960947806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5.9431089743589762</v>
      </c>
      <c r="DO65" s="12">
        <f>IF('Données projet'!$A$166&gt;35,DO64+DN65-DW64,IF(A65&lt;'Données projet'!$A$166,$DL$205^A65,IF(A65='Données projet'!$A$166,'Données projet'!$B$166,DO64+DN65-DW64)))</f>
        <v>138.14342948717947</v>
      </c>
      <c r="DP65" s="17">
        <f>DO65*VLOOKUP('Données projet'!$B$14,Paramètres!$A$1:$I$89,3,0)*VLOOKUP('Données projet'!$B$14,Paramètres!$A$1:$I$89,5,0)</f>
        <v>148.69758749999997</v>
      </c>
      <c r="DQ65" s="13">
        <f t="shared" si="43"/>
        <v>38.282457652880126</v>
      </c>
      <c r="DR65" s="20">
        <f t="shared" si="16"/>
        <v>325.6569119745995</v>
      </c>
      <c r="DS65" s="59">
        <f t="shared" si="17"/>
        <v>596.06924083140814</v>
      </c>
      <c r="DT65" s="59">
        <f ca="1">AVERAGE(OFFSET($DS$3,0,0,'Données projet'!$E$14+1,1))-AVERAGE(OFFSET($H$3,0,0,'Données projet'!$E$14+1,1))</f>
        <v>434.77799524785502</v>
      </c>
      <c r="DU65" s="59">
        <f t="shared" si="44"/>
        <v>259.85949838170006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63.748816960947806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5.9431089743589762</v>
      </c>
      <c r="EJ65" s="12">
        <f>IF('Données projet'!$A$192&gt;35,EJ64+EI65-ER64,IF(A65&lt;'Données projet'!$A$192,$EG$205^A65,IF(A65='Données projet'!$A$192,'Données projet'!$B$192,EJ64+EI65-ER64)))</f>
        <v>138.14342948717947</v>
      </c>
      <c r="EK65" s="17">
        <f>EJ65*VLOOKUP('Données projet'!$B$15,Paramètres!$A$1:$I$89,3,0)*VLOOKUP('Données projet'!$B$15,Paramètres!$A$1:$I$89,5,0)</f>
        <v>133.612325</v>
      </c>
      <c r="EL65" s="13">
        <f t="shared" si="45"/>
        <v>34.829725447269773</v>
      </c>
      <c r="EM65" s="20">
        <f t="shared" si="19"/>
        <v>293.36990452899482</v>
      </c>
      <c r="EN65" s="59">
        <f t="shared" si="20"/>
        <v>563.78223338580347</v>
      </c>
      <c r="EO65" s="59">
        <f ca="1">AVERAGE(OFFSET($EN$3,0,0,'Données projet'!$E$15+1,1))-AVERAGE(OFFSET($H$3,0,0,'Données projet'!$E$15+1,1))</f>
        <v>398.06270423055565</v>
      </c>
      <c r="EP65" s="59">
        <f t="shared" si="46"/>
        <v>239.15364562040614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63.748816960947806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-1.7053025658242404E-13</v>
      </c>
      <c r="FF65" s="17">
        <f>FE65*VLOOKUP('Données projet'!$B$16,Paramètres!$A$1:$I$89,3,0)*VLOOKUP('Données projet'!$B$16,Paramètres!$A$1:$I$89,5,0)</f>
        <v>-1.0197709343628959E-13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334.13861979962491</v>
      </c>
      <c r="FK65" s="59">
        <f t="shared" si="48"/>
        <v>416.48635183664305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144.60293057092494</v>
      </c>
      <c r="FR65" s="21">
        <f>EXP(-LN(2)/25)*FR64+(1-EXP(-LN(2)/25))/(LN(2)/25)*Calculateur!FM65*Calculateur!FO65*VLOOKUP('Données projet'!$B$16,Paramètres!$A$1:$I$89,3,0)*0.475*44/12</f>
        <v>37.426631880682663</v>
      </c>
      <c r="FS65" s="21">
        <f>EXP(-LN(2)/2)*FS64+(1-EXP(-LN(2)/2))/(LN(2)/2)*FM65*FP65*VLOOKUP('Données projet'!$B$16,Paramètres!$A$1:$I$89,3,0)*0.475*44/12</f>
        <v>5.0507963678511878</v>
      </c>
      <c r="FT65" s="22">
        <f t="shared" si="24"/>
        <v>187.08035881945878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63.748816960947806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14.270329670329668</v>
      </c>
      <c r="FZ65" s="12">
        <f>IF('Données projet'!$A$244&gt;35,FZ64+FY65-GH64,IF(A65&lt;'Données projet'!$A$244,$FW$205^A65,IF(A65='Données projet'!$A$244,'Données projet'!$B$244,FZ64+FY65-GH64)))</f>
        <v>360.90659340659334</v>
      </c>
      <c r="GA65" s="17">
        <f>FZ65*VLOOKUP('Données projet'!$B$17,Paramètres!$A$1:$I$89,3,0)*VLOOKUP('Données projet'!$B$17,Paramètres!$A$1:$I$89,5,0)</f>
        <v>168.90428571428566</v>
      </c>
      <c r="GB65" s="13">
        <f t="shared" si="49"/>
        <v>42.844527757373569</v>
      </c>
      <c r="GC65" s="20">
        <f t="shared" si="25"/>
        <v>368.79585012980647</v>
      </c>
      <c r="GD65" s="59">
        <f t="shared" si="26"/>
        <v>639.20817898661517</v>
      </c>
      <c r="GE65" s="59">
        <f ca="1">AVERAGE(OFFSET($GD$3,0,0,'Données projet'!$E$17+1,1))-AVERAGE(OFFSET($H$3,0,0,'Données projet'!$E$17+1,1))</f>
        <v>317.79829681023142</v>
      </c>
      <c r="GF65" s="59">
        <f t="shared" si="50"/>
        <v>275.07716943523621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32.900825719690772</v>
      </c>
      <c r="GM65" s="21">
        <f>EXP(-LN(2)/25)*GM64+(1-EXP(-LN(2)/25))/(LN(2)/25)*Calculateur!GH65*Calculateur!GJ65*VLOOKUP('Données projet'!$B$17,Paramètres!$A$1:$I$89,3,0)*0.475*44/12</f>
        <v>26.959192808591865</v>
      </c>
      <c r="GN65" s="21">
        <f>EXP(-LN(2)/2)*GN64+(1-EXP(-LN(2)/2))/(LN(2)/2)*GH65*GK65*VLOOKUP('Données projet'!$B$17,Paramètres!$A$1:$I$89,3,0)*0.475*44/12</f>
        <v>0.75018737347079889</v>
      </c>
      <c r="GO65" s="21">
        <f t="shared" si="27"/>
        <v>60.610205901753439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63.748816960947806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14.839560439560453</v>
      </c>
      <c r="GU65" s="12">
        <f>IF('Données projet'!$A$270&gt;35,GU64+GT65-HC64,IF(A65&lt;'Données projet'!$A$270,$GR$205^A65,IF(A65='Données projet'!$A$270,'Données projet'!$B$270,GU64+GT65-HC64)))</f>
        <v>440.87582417582411</v>
      </c>
      <c r="GV65" s="17">
        <f>GU65*VLOOKUP('Données projet'!$B$18,Paramètres!$A$1:$I$89,3,0)*VLOOKUP('Données projet'!$B$18,Paramètres!$A$1:$I$89,5,0)</f>
        <v>246.44958571428569</v>
      </c>
      <c r="GW65" s="13">
        <f t="shared" si="51"/>
        <v>59.825041333918982</v>
      </c>
      <c r="GX65" s="20">
        <f t="shared" si="28"/>
        <v>533.42830877562312</v>
      </c>
      <c r="GY65" s="59">
        <f t="shared" si="29"/>
        <v>803.84063763243171</v>
      </c>
      <c r="GZ65" s="59">
        <f ca="1">AVERAGE(OFFSET($GY$3,0,0,'Données projet'!$E$18+1,1))-AVERAGE(OFFSET($H$3,0,0,'Données projet'!$E$18+1,1))</f>
        <v>336.21787234885699</v>
      </c>
      <c r="HA65" s="59">
        <f t="shared" si="52"/>
        <v>315.36156736899113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66.486235458833903</v>
      </c>
      <c r="HH65" s="21">
        <f>EXP(-LN(2)/25)*HH64+(1-EXP(-LN(2)/25))/(LN(2)/25)*Calculateur!HC65*Calculateur!HE65*VLOOKUP('Données projet'!$B$18,Paramètres!$A$1:$I$89,3,0)*0.475*44/12</f>
        <v>23.637172028768084</v>
      </c>
      <c r="HI65" s="21">
        <f>EXP(-LN(2)/2)*HI64+(1-EXP(-LN(2)/2))/(LN(2)/2)*HC65*HF65*VLOOKUP('Données projet'!$B$18,Paramètres!$A$1:$I$89,3,0)*0.475*44/12</f>
        <v>0.88302935679574701</v>
      </c>
      <c r="HJ65" s="22">
        <f t="shared" si="30"/>
        <v>91.006436844397726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3.7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13.566666666666668</v>
      </c>
      <c r="H66" s="67">
        <f t="shared" si="1"/>
        <v>202.4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63.857261011123782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220.28846153846166</v>
      </c>
      <c r="O66" s="13">
        <f>N66*VLOOKUP('Données projet'!$B$9,Paramètres!$A$1:$I$89,3,0)*VLOOKUP('Données projet'!$B$9,Paramètres!$A$1:$I$89,5,0)</f>
        <v>199.31700000000009</v>
      </c>
      <c r="P66" s="13">
        <f t="shared" si="33"/>
        <v>49.594035126387503</v>
      </c>
      <c r="Q66" s="20">
        <f t="shared" si="53"/>
        <v>433.52005284512506</v>
      </c>
      <c r="R66" s="59">
        <f t="shared" si="0"/>
        <v>704.3300098859122</v>
      </c>
      <c r="S66" s="59">
        <f ca="1">AVERAGE(OFFSET($R$3,0,0,'Données projet'!$E$9+1,1))-AVERAGE(OFFSET($H$3,0,0,'Données projet'!$E$9+1,1))</f>
        <v>411.64357329340851</v>
      </c>
      <c r="T66" s="59">
        <f t="shared" si="34"/>
        <v>294.07942258675632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0.30099999999999999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12.561915597523354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12.561915597523354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63.857261011123782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220.28846153846152</v>
      </c>
      <c r="AG66" s="12">
        <f>VLOOKUP(A66,'Données projet'!$A$61:$I$81,9,0)</f>
        <v>8.374198717948719</v>
      </c>
      <c r="AH66" s="12">
        <f t="array" ref="AH66">INDEX(AG:AG,MIN(IF(ISNUMBER(AG66:AG262),ROW(AG66:AG262),"")))</f>
        <v>8.374198717948719</v>
      </c>
      <c r="AI66" s="13">
        <f>IF('Données projet'!$A$62&gt;35,AI65+AH66-AQ65,IF(A66&lt;'Données projet'!$A$62,$AF$205^A66,IF(A66='Données projet'!$A$62,'Données projet'!$B$62,AI65+AH66-AQ65)))</f>
        <v>220.28846153846166</v>
      </c>
      <c r="AJ66" s="13">
        <f>AI66*VLOOKUP('Données projet'!$B$10,Paramètres!$A$1:$I$89,3,0)*VLOOKUP('Données projet'!$B$10,Paramètres!$A$1:$I$89,5,0)</f>
        <v>223.37250000000014</v>
      </c>
      <c r="AK66" s="13">
        <f t="shared" si="35"/>
        <v>54.84723166915564</v>
      </c>
      <c r="AL66" s="20">
        <f t="shared" si="4"/>
        <v>484.566032657113</v>
      </c>
      <c r="AM66" s="59">
        <f t="shared" si="5"/>
        <v>755.3759896979002</v>
      </c>
      <c r="AN66" s="59">
        <f ca="1">AVERAGE(OFFSET($AM$3,0,0,'Données projet'!$E$10+1,1))-AVERAGE(OFFSET($H$3,0,0,'Données projet'!$E$10+1,1))</f>
        <v>453.05577105995508</v>
      </c>
      <c r="AO66" s="59">
        <f t="shared" si="36"/>
        <v>322.6839824496758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41.724358974358978</v>
      </c>
      <c r="AR66" s="16">
        <f>IF(ISNA(VLOOKUP(A66,'Données projet'!$A$61:$I$81,5,0)),0%,VLOOKUP(A66,'Données projet'!$A$61:$I$81,5,0)*VLOOKUP('Données projet'!$B$10,Paramètres!$A$1:$I$89,7,0))</f>
        <v>0.30099999999999999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14.078008859293417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14.078008859293417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63.857261011123782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4.8774928774928794</v>
      </c>
      <c r="BD66" s="12">
        <f>IF('Données projet'!$A$88&gt;35,BD65+BC66-BL65,IF(A66&lt;'Données projet'!$A$88,$BA$205^A66,IF(A66='Données projet'!$A$88,'Données projet'!$B$88,BD65+BC66-BL65)))</f>
        <v>116.85683760683773</v>
      </c>
      <c r="BE66" s="13">
        <f>BD66*VLOOKUP('Données projet'!$B$11,Paramètres!$A$1:$I$89,3,0)*VLOOKUP('Données projet'!$B$11,Paramètres!$A$1:$I$89,5,0)</f>
        <v>116.66986666666681</v>
      </c>
      <c r="BF66" s="13">
        <f t="shared" si="37"/>
        <v>30.897032774813827</v>
      </c>
      <c r="BG66" s="20">
        <f t="shared" si="7"/>
        <v>257.01234986057875</v>
      </c>
      <c r="BH66" s="59">
        <f t="shared" si="8"/>
        <v>527.82230690136589</v>
      </c>
      <c r="BI66" s="59">
        <f ca="1">AVERAGE(OFFSET($BH$3,0,0,'Données projet'!$E$11+1,1))-AVERAGE(OFFSET($H$3,0,0,'Données projet'!$E$11+1,1))</f>
        <v>411.38162678377478</v>
      </c>
      <c r="BJ66" s="59">
        <f t="shared" si="38"/>
        <v>177.89903563360403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63.857261011123782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186.2</v>
      </c>
      <c r="BZ66" s="13">
        <f>BY66*VLOOKUP('Données projet'!$B$12,Paramètres!$A$1:$I$89,3,0)*VLOOKUP('Données projet'!$B$12,Paramètres!$A$1:$I$89,5,0)</f>
        <v>194.61624</v>
      </c>
      <c r="CA66" s="13">
        <f t="shared" si="39"/>
        <v>48.559107720402245</v>
      </c>
      <c r="CB66" s="20">
        <f t="shared" si="10"/>
        <v>423.53039727970054</v>
      </c>
      <c r="CC66" s="59">
        <f t="shared" si="11"/>
        <v>694.34035432048768</v>
      </c>
      <c r="CD66" s="59">
        <f ca="1">AVERAGE(OFFSET($CC$3,0,0,'Données projet'!$E$12+1,1))-AVERAGE(OFFSET($H$3,0,0,'Données projet'!$E$12+1,1))</f>
        <v>374.38550202939507</v>
      </c>
      <c r="CE66" s="59">
        <f t="shared" si="40"/>
        <v>324.37486924296718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5.8798293490451146</v>
      </c>
      <c r="CL66" s="21">
        <f>EXP(-LN(2)/25)*CL65+(1-EXP(-LN(2)/25))/(LN(2)/25)*Calculateur!CG66*Calculateur!CI66*VLOOKUP('Données projet'!$B$12,Paramètres!$A$1:$I$89,3,0)*0.475*44/12</f>
        <v>14.185958466204921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20.065787815250037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63.857261011123782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5.9431089743589762</v>
      </c>
      <c r="CT66" s="12">
        <f>IF('Données projet'!$A$140&gt;35,CT65+CS66-DB65,IF(A66&lt;'Données projet'!$A$140,$CQ$205^A66,IF(A66='Données projet'!$A$140,'Données projet'!$B$140,CT65+CS66-DB65)))</f>
        <v>144.08653846153845</v>
      </c>
      <c r="CU66" s="17">
        <f>CT66*VLOOKUP('Données projet'!$B$13,Paramètres!$A$1:$I$89,3,0)*VLOOKUP('Données projet'!$B$13,Paramètres!$A$1:$I$89,5,0)</f>
        <v>137.11275000000001</v>
      </c>
      <c r="CV66" s="13">
        <f t="shared" si="41"/>
        <v>35.634777010540766</v>
      </c>
      <c r="CW66" s="20">
        <f t="shared" si="13"/>
        <v>300.86860954335856</v>
      </c>
      <c r="CX66" s="59">
        <f t="shared" si="14"/>
        <v>571.67856658414576</v>
      </c>
      <c r="CY66" s="59">
        <f ca="1">AVERAGE(OFFSET($CX$3,0,0,'Données projet'!$E$13+1,1))-AVERAGE(OFFSET($H$3,0,0,'Données projet'!$E$13+1,1))</f>
        <v>392.81074187112989</v>
      </c>
      <c r="CZ66" s="59">
        <f t="shared" si="42"/>
        <v>236.19146849073687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63.857261011123782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5.9431089743589762</v>
      </c>
      <c r="DO66" s="12">
        <f>IF('Données projet'!$A$166&gt;35,DO65+DN66-DW65,IF(A66&lt;'Données projet'!$A$166,$DL$205^A66,IF(A66='Données projet'!$A$166,'Données projet'!$B$166,DO65+DN66-DW65)))</f>
        <v>144.08653846153845</v>
      </c>
      <c r="DP66" s="17">
        <f>DO66*VLOOKUP('Données projet'!$B$14,Paramètres!$A$1:$I$89,3,0)*VLOOKUP('Données projet'!$B$14,Paramètres!$A$1:$I$89,5,0)</f>
        <v>155.09474999999998</v>
      </c>
      <c r="DQ66" s="13">
        <f t="shared" si="43"/>
        <v>39.734125562430116</v>
      </c>
      <c r="DR66" s="20">
        <f t="shared" si="16"/>
        <v>339.3269582712324</v>
      </c>
      <c r="DS66" s="59">
        <f t="shared" si="17"/>
        <v>610.1369153120196</v>
      </c>
      <c r="DT66" s="59">
        <f ca="1">AVERAGE(OFFSET($DS$3,0,0,'Données projet'!$E$14+1,1))-AVERAGE(OFFSET($H$3,0,0,'Données projet'!$E$14+1,1))</f>
        <v>434.77799524785502</v>
      </c>
      <c r="DU66" s="59">
        <f t="shared" si="44"/>
        <v>259.85949838170006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63.857261011123782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5.9431089743589762</v>
      </c>
      <c r="EJ66" s="12">
        <f>IF('Données projet'!$A$192&gt;35,EJ65+EI66-ER65,IF(A66&lt;'Données projet'!$A$192,$EG$205^A66,IF(A66='Données projet'!$A$192,'Données projet'!$B$192,EJ65+EI66-ER65)))</f>
        <v>144.08653846153845</v>
      </c>
      <c r="EK66" s="17">
        <f>EJ66*VLOOKUP('Données projet'!$B$15,Paramètres!$A$1:$I$89,3,0)*VLOOKUP('Données projet'!$B$15,Paramètres!$A$1:$I$89,5,0)</f>
        <v>139.3605</v>
      </c>
      <c r="EL66" s="13">
        <f t="shared" si="45"/>
        <v>36.150466011752201</v>
      </c>
      <c r="EM66" s="20">
        <f t="shared" si="19"/>
        <v>305.68159913713504</v>
      </c>
      <c r="EN66" s="59">
        <f t="shared" si="20"/>
        <v>576.49155617792223</v>
      </c>
      <c r="EO66" s="59">
        <f ca="1">AVERAGE(OFFSET($EN$3,0,0,'Données projet'!$E$15+1,1))-AVERAGE(OFFSET($H$3,0,0,'Données projet'!$E$15+1,1))</f>
        <v>398.06270423055565</v>
      </c>
      <c r="EP66" s="59">
        <f t="shared" si="46"/>
        <v>239.15364562040614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63.857261011123782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-1.7053025658242404E-13</v>
      </c>
      <c r="FF66" s="17">
        <f>FE66*VLOOKUP('Données projet'!$B$16,Paramètres!$A$1:$I$89,3,0)*VLOOKUP('Données projet'!$B$16,Paramètres!$A$1:$I$89,5,0)</f>
        <v>-1.0197709343628959E-13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334.13861979962491</v>
      </c>
      <c r="FK66" s="59">
        <f t="shared" si="48"/>
        <v>416.48635183664305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141.76735530150782</v>
      </c>
      <c r="FR66" s="21">
        <f>EXP(-LN(2)/25)*FR65+(1-EXP(-LN(2)/25))/(LN(2)/25)*Calculateur!FM66*Calculateur!FO66*VLOOKUP('Données projet'!$B$16,Paramètres!$A$1:$I$89,3,0)*0.475*44/12</f>
        <v>36.403198663724368</v>
      </c>
      <c r="FS66" s="21">
        <f>EXP(-LN(2)/2)*FS65+(1-EXP(-LN(2)/2))/(LN(2)/2)*FM66*FP66*VLOOKUP('Données projet'!$B$16,Paramètres!$A$1:$I$89,3,0)*0.475*44/12</f>
        <v>3.5714523620999592</v>
      </c>
      <c r="FT66" s="22">
        <f t="shared" si="24"/>
        <v>181.74200632733215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63.857261011123782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>
        <f>VLOOKUP(A66,'Données projet'!$A$243:$I$263,2,0)</f>
        <v>375.17692307692306</v>
      </c>
      <c r="FX66" s="12">
        <f>VLOOKUP(A66,'Données projet'!$A$243:$I$263,9,0)</f>
        <v>14.270329670329668</v>
      </c>
      <c r="FY66" s="12">
        <f t="array" ref="FY66">INDEX(FX:FX,MIN(IF(ISNUMBER(FX66:FX262),ROW(FX66:FX262),"")))</f>
        <v>14.270329670329668</v>
      </c>
      <c r="FZ66" s="12">
        <f>IF('Données projet'!$A$244&gt;35,FZ65+FY66-GH65,IF(A66&lt;'Données projet'!$A$244,$FW$205^A66,IF(A66='Données projet'!$A$244,'Données projet'!$B$244,FZ65+FY66-GH65)))</f>
        <v>375.176923076923</v>
      </c>
      <c r="GA66" s="17">
        <f>FZ66*VLOOKUP('Données projet'!$B$17,Paramètres!$A$1:$I$89,3,0)*VLOOKUP('Données projet'!$B$17,Paramètres!$A$1:$I$89,5,0)</f>
        <v>175.58279999999996</v>
      </c>
      <c r="GB66" s="13">
        <f t="shared" si="49"/>
        <v>44.338023977070598</v>
      </c>
      <c r="GC66" s="20">
        <f t="shared" si="25"/>
        <v>383.02876842673123</v>
      </c>
      <c r="GD66" s="59">
        <f t="shared" si="26"/>
        <v>653.83872546751843</v>
      </c>
      <c r="GE66" s="59">
        <f ca="1">AVERAGE(OFFSET($GD$3,0,0,'Données projet'!$E$17+1,1))-AVERAGE(OFFSET($H$3,0,0,'Données projet'!$E$17+1,1))</f>
        <v>317.79829681023142</v>
      </c>
      <c r="GF66" s="59">
        <f t="shared" si="50"/>
        <v>275.07716943523621</v>
      </c>
      <c r="GG66" s="15">
        <f>IF(ISNA(VLOOKUP(A66,'Données projet'!$A$243:$I$263,3,0)),0,VLOOKUP(A66,'Données projet'!$A$243:$I$263,3,0))</f>
        <v>4</v>
      </c>
      <c r="GH66" s="15">
        <f>IF(ISNA(VLOOKUP(A66,'Données projet'!$A$243:$I$263,4,0)),0,VLOOKUP(A66,'Données projet'!$A$243:$I$263,4,0))</f>
        <v>71.123076923076923</v>
      </c>
      <c r="GI66" s="16">
        <f>IF(ISNA(VLOOKUP(A66,'Données projet'!$A$243:$I$263,5,0)),0%,VLOOKUP(A66,'Données projet'!$A$243:$I$263,5,0)*VLOOKUP('Données projet'!$B$17,Paramètres!$A$1:$I$89,7,0))</f>
        <v>0.38500000000000001</v>
      </c>
      <c r="GJ66" s="16">
        <f>IF(ISNA(VLOOKUP(A66,'Données projet'!$A$243:$I$263,6,0)),0%,VLOOKUP(A66,'Données projet'!$A$243:$I$263,6,0)*VLOOKUP('Données projet'!$B$17,Paramètres!$A$1:$I$89,7,0))</f>
        <v>9.240000000000001E-2</v>
      </c>
      <c r="GK66" s="16">
        <f>IF(ISNA(VLOOKUP(A66,'Données projet'!$A$243:$I$263,7,0)),0%,VLOOKUP(A66,'Données projet'!$A$243:$I$263,7,0))</f>
        <v>0.13200000000000001</v>
      </c>
      <c r="GL66" s="21">
        <f>EXP(-LN(2)/35)*GL65+(1-EXP(-LN(2)/35))/(LN(2)/35)*GH66*GI66*VLOOKUP('Données projet'!$B$17,Paramètres!$A$1:$I$89,3,0)*0.475*44/12</f>
        <v>49.255525722471489</v>
      </c>
      <c r="GM66" s="21">
        <f>EXP(-LN(2)/25)*GM65+(1-EXP(-LN(2)/25))/(LN(2)/25)*Calculateur!GH66*Calculateur!GJ66*VLOOKUP('Données projet'!$B$17,Paramètres!$A$1:$I$89,3,0)*0.475*44/12</f>
        <v>30.285895506996454</v>
      </c>
      <c r="GN66" s="21">
        <f>EXP(-LN(2)/2)*GN65+(1-EXP(-LN(2)/2))/(LN(2)/2)*GH66*GK66*VLOOKUP('Données projet'!$B$17,Paramètres!$A$1:$I$89,3,0)*0.475*44/12</f>
        <v>5.5051507187979212</v>
      </c>
      <c r="GO66" s="21">
        <f t="shared" si="27"/>
        <v>85.046571948265864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63.857261011123782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>
        <f>VLOOKUP(A66,'Données projet'!$A$269:$I$289,2,0)</f>
        <v>455.71538461538466</v>
      </c>
      <c r="GS66" s="12">
        <f>VLOOKUP(A66,'Données projet'!$A$269:$I$289,9,0)</f>
        <v>14.839560439560453</v>
      </c>
      <c r="GT66" s="12">
        <f t="array" ref="GT66">INDEX(GS:GS,MIN(IF(ISNUMBER(GS66:GS262),ROW(GS66:GS262),"")))</f>
        <v>14.839560439560453</v>
      </c>
      <c r="GU66" s="12">
        <f>IF('Données projet'!$A$270&gt;35,GU65+GT66-HC65,IF(A66&lt;'Données projet'!$A$270,$GR$205^A66,IF(A66='Données projet'!$A$270,'Données projet'!$B$270,GU65+GT66-HC65)))</f>
        <v>455.71538461538455</v>
      </c>
      <c r="GV66" s="17">
        <f>GU66*VLOOKUP('Données projet'!$B$18,Paramètres!$A$1:$I$89,3,0)*VLOOKUP('Données projet'!$B$18,Paramètres!$A$1:$I$89,5,0)</f>
        <v>254.74489999999997</v>
      </c>
      <c r="GW66" s="13">
        <f t="shared" si="51"/>
        <v>61.600875281297732</v>
      </c>
      <c r="GX66" s="20">
        <f t="shared" si="28"/>
        <v>550.96889194826019</v>
      </c>
      <c r="GY66" s="59">
        <f t="shared" si="29"/>
        <v>821.77884898904745</v>
      </c>
      <c r="GZ66" s="59">
        <f ca="1">AVERAGE(OFFSET($GY$3,0,0,'Données projet'!$E$18+1,1))-AVERAGE(OFFSET($H$3,0,0,'Données projet'!$E$18+1,1))</f>
        <v>336.21787234885699</v>
      </c>
      <c r="HA66" s="59">
        <f t="shared" si="52"/>
        <v>315.36156736899113</v>
      </c>
      <c r="HB66" s="15">
        <f>IF(ISNA(VLOOKUP(A66,'Données projet'!$A$269:$I$289,3,0)),0,VLOOKUP(A66,'Données projet'!$A$269:$I$289,3,0))</f>
        <v>7</v>
      </c>
      <c r="HC66" s="15">
        <f>IF(ISNA(VLOOKUP(A66,'Données projet'!$A$269:$I$289,4,0)),0,VLOOKUP(A66,'Données projet'!$A$269:$I$289,4,0))</f>
        <v>79.723076923076917</v>
      </c>
      <c r="HD66" s="16">
        <f>IF(ISNA(VLOOKUP(A66,'Données projet'!$A$269:$I$289,5,0)),0%,VLOOKUP(A66,'Données projet'!$A$269:$I$289,5,0)*VLOOKUP('Données projet'!$B$18,Paramètres!$A$1:$I$89,7,0))</f>
        <v>0.38500000000000001</v>
      </c>
      <c r="HE66" s="16">
        <f>IF(ISNA(VLOOKUP(A66,'Données projet'!$A$269:$I$289,6,0)),0%,VLOOKUP(A66,'Données projet'!$A$269:$I$289,6,0)*VLOOKUP('Données projet'!$B$18,Paramètres!$A$1:$I$89,7,0))</f>
        <v>9.240000000000001E-2</v>
      </c>
      <c r="HF66" s="16">
        <f>IF(ISNA(VLOOKUP(A66,'Données projet'!$A$269:$I$289,7,0)),0%,VLOOKUP(A66,'Données projet'!$A$269:$I$289,7,0))</f>
        <v>0.13200000000000001</v>
      </c>
      <c r="HG66" s="21">
        <f>EXP(-LN(2)/35)*HG65+(1-EXP(-LN(2)/35))/(LN(2)/35)*HC66*HD66*VLOOKUP('Données projet'!$B$18,Paramètres!$A$1:$I$89,3,0)*0.475*44/12</f>
        <v>87.943145887863921</v>
      </c>
      <c r="HH66" s="21">
        <f>EXP(-LN(2)/25)*HH65+(1-EXP(-LN(2)/25))/(LN(2)/25)*Calculateur!HC66*Calculateur!HE66*VLOOKUP('Données projet'!$B$18,Paramètres!$A$1:$I$89,3,0)*0.475*44/12</f>
        <v>28.431863727023469</v>
      </c>
      <c r="HI66" s="21">
        <f>EXP(-LN(2)/2)*HI65+(1-EXP(-LN(2)/2))/(LN(2)/2)*HC66*HF66*VLOOKUP('Données projet'!$B$18,Paramètres!$A$1:$I$89,3,0)*0.475*44/12</f>
        <v>7.2848730058929609</v>
      </c>
      <c r="HJ66" s="22">
        <f t="shared" si="30"/>
        <v>123.65988262078035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3.7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13.566666666666668</v>
      </c>
      <c r="H67" s="67">
        <f t="shared" si="1"/>
        <v>202.4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63.963823799473772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8.1001602564102626</v>
      </c>
      <c r="N67" s="13">
        <f>IF('Données projet'!$A$36&gt;35,N66+M67-V66,IF(A67&lt;'Données projet'!$A$36,$K$205^A67,IF(A67='Données projet'!$A$36,'Données projet'!$B$36,N66+M67-V66)))</f>
        <v>186.66426282051296</v>
      </c>
      <c r="O67" s="13">
        <f>N67*VLOOKUP('Données projet'!$B$9,Paramètres!$A$1:$I$89,3,0)*VLOOKUP('Données projet'!$B$9,Paramètres!$A$1:$I$89,5,0)</f>
        <v>168.89382500000013</v>
      </c>
      <c r="P67" s="13">
        <f t="shared" si="33"/>
        <v>42.842183132845896</v>
      </c>
      <c r="Q67" s="20">
        <f t="shared" ref="Q67:Q98" si="54">(O67+P67)*0.475*44/12</f>
        <v>368.77354749804016</v>
      </c>
      <c r="R67" s="59">
        <f t="shared" ref="R67:R130" si="55">Q67+(I67+J67)*44/12</f>
        <v>639.97423476277731</v>
      </c>
      <c r="S67" s="59">
        <f ca="1">AVERAGE(OFFSET($R$3,0,0,'Données projet'!$E$9+1,1))-AVERAGE(OFFSET($H$3,0,0,'Données projet'!$E$9+1,1))</f>
        <v>411.64357329340851</v>
      </c>
      <c r="T67" s="59">
        <f t="shared" si="34"/>
        <v>294.07942258675632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12.315584094667875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12.315584094667875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63.963823799473772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8.1001602564102626</v>
      </c>
      <c r="AI67" s="13">
        <f>IF('Données projet'!$A$62&gt;35,AI66+AH67-AQ66,IF(A67&lt;'Données projet'!$A$62,$AF$205^A67,IF(A67='Données projet'!$A$62,'Données projet'!$B$62,AI66+AH67-AQ66)))</f>
        <v>186.66426282051296</v>
      </c>
      <c r="AJ67" s="13">
        <f>AI67*VLOOKUP('Données projet'!$B$10,Paramètres!$A$1:$I$89,3,0)*VLOOKUP('Données projet'!$B$10,Paramètres!$A$1:$I$89,5,0)</f>
        <v>189.27756250000016</v>
      </c>
      <c r="AK67" s="13">
        <f t="shared" si="35"/>
        <v>47.380196781958283</v>
      </c>
      <c r="AL67" s="20">
        <f t="shared" si="4"/>
        <v>412.17893074941094</v>
      </c>
      <c r="AM67" s="59">
        <f t="shared" si="5"/>
        <v>683.37961801414804</v>
      </c>
      <c r="AN67" s="59">
        <f ca="1">AVERAGE(OFFSET($AM$3,0,0,'Données projet'!$E$10+1,1))-AVERAGE(OFFSET($H$3,0,0,'Données projet'!$E$10+1,1))</f>
        <v>453.05577105995508</v>
      </c>
      <c r="AO67" s="59">
        <f t="shared" si="36"/>
        <v>322.6839824496758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13.801947692300208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13.801947692300208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63.963823799473772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4.8774928774928794</v>
      </c>
      <c r="BD67" s="12">
        <f>IF('Données projet'!$A$88&gt;35,BD66+BC67-BL66,IF(A67&lt;'Données projet'!$A$88,$BA$205^A67,IF(A67='Données projet'!$A$88,'Données projet'!$B$88,BD66+BC67-BL66)))</f>
        <v>121.73433048433061</v>
      </c>
      <c r="BE67" s="13">
        <f>BD67*VLOOKUP('Données projet'!$B$11,Paramètres!$A$1:$I$89,3,0)*VLOOKUP('Données projet'!$B$11,Paramètres!$A$1:$I$89,5,0)</f>
        <v>121.53955555555569</v>
      </c>
      <c r="BF67" s="13">
        <f t="shared" si="37"/>
        <v>32.033808500039328</v>
      </c>
      <c r="BG67" s="20">
        <f t="shared" si="7"/>
        <v>267.47360906349462</v>
      </c>
      <c r="BH67" s="59">
        <f t="shared" si="8"/>
        <v>538.67429632823178</v>
      </c>
      <c r="BI67" s="59">
        <f ca="1">AVERAGE(OFFSET($BH$3,0,0,'Données projet'!$E$11+1,1))-AVERAGE(OFFSET($H$3,0,0,'Données projet'!$E$11+1,1))</f>
        <v>411.38162678377478</v>
      </c>
      <c r="BJ67" s="59">
        <f t="shared" si="38"/>
        <v>177.89903563360403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63.963823799473772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190.6</v>
      </c>
      <c r="BZ67" s="13">
        <f>BY67*VLOOKUP('Données projet'!$B$12,Paramètres!$A$1:$I$89,3,0)*VLOOKUP('Données projet'!$B$12,Paramètres!$A$1:$I$89,5,0)</f>
        <v>199.21512000000001</v>
      </c>
      <c r="CA67" s="13">
        <f t="shared" si="39"/>
        <v>49.571635402297147</v>
      </c>
      <c r="CB67" s="20">
        <f t="shared" si="10"/>
        <v>433.30359899233423</v>
      </c>
      <c r="CC67" s="59">
        <f t="shared" si="11"/>
        <v>704.50428625707139</v>
      </c>
      <c r="CD67" s="59">
        <f ca="1">AVERAGE(OFFSET($CC$3,0,0,'Données projet'!$E$12+1,1))-AVERAGE(OFFSET($H$3,0,0,'Données projet'!$E$12+1,1))</f>
        <v>374.38550202939507</v>
      </c>
      <c r="CE67" s="59">
        <f t="shared" si="40"/>
        <v>324.37486924296718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5.7645294818521213</v>
      </c>
      <c r="CL67" s="21">
        <f>EXP(-LN(2)/25)*CL66+(1-EXP(-LN(2)/25))/(LN(2)/25)*Calculateur!CG67*Calculateur!CI67*VLOOKUP('Données projet'!$B$12,Paramètres!$A$1:$I$89,3,0)*0.475*44/12</f>
        <v>13.798042685939414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19.562572167791537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63.963823799473772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5.9431089743589762</v>
      </c>
      <c r="CT67" s="12">
        <f>IF('Données projet'!$A$140&gt;35,CT66+CS67-DB66,IF(A67&lt;'Données projet'!$A$140,$CQ$205^A67,IF(A67='Données projet'!$A$140,'Données projet'!$B$140,CT66+CS67-DB66)))</f>
        <v>150.02964743589743</v>
      </c>
      <c r="CU67" s="17">
        <f>CT67*VLOOKUP('Données projet'!$B$13,Paramètres!$A$1:$I$89,3,0)*VLOOKUP('Données projet'!$B$13,Paramètres!$A$1:$I$89,5,0)</f>
        <v>142.7682125</v>
      </c>
      <c r="CV67" s="13">
        <f t="shared" si="41"/>
        <v>36.93043964007272</v>
      </c>
      <c r="CW67" s="20">
        <f t="shared" si="13"/>
        <v>312.97515247729331</v>
      </c>
      <c r="CX67" s="59">
        <f t="shared" si="14"/>
        <v>584.17583974203046</v>
      </c>
      <c r="CY67" s="59">
        <f ca="1">AVERAGE(OFFSET($CX$3,0,0,'Données projet'!$E$13+1,1))-AVERAGE(OFFSET($H$3,0,0,'Données projet'!$E$13+1,1))</f>
        <v>392.81074187112989</v>
      </c>
      <c r="CZ67" s="59">
        <f t="shared" si="42"/>
        <v>236.19146849073687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63.963823799473772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5.9431089743589762</v>
      </c>
      <c r="DO67" s="12">
        <f>IF('Données projet'!$A$166&gt;35,DO66+DN67-DW66,IF(A67&lt;'Données projet'!$A$166,$DL$205^A67,IF(A67='Données projet'!$A$166,'Données projet'!$B$166,DO66+DN67-DW66)))</f>
        <v>150.02964743589743</v>
      </c>
      <c r="DP67" s="17">
        <f>DO67*VLOOKUP('Données projet'!$B$14,Paramètres!$A$1:$I$89,3,0)*VLOOKUP('Données projet'!$B$14,Paramètres!$A$1:$I$89,5,0)</f>
        <v>161.49191249999998</v>
      </c>
      <c r="DQ67" s="13">
        <f t="shared" si="43"/>
        <v>41.1788384504368</v>
      </c>
      <c r="DR67" s="20">
        <f t="shared" si="16"/>
        <v>352.98489123867739</v>
      </c>
      <c r="DS67" s="59">
        <f t="shared" si="17"/>
        <v>624.18557850341449</v>
      </c>
      <c r="DT67" s="59">
        <f ca="1">AVERAGE(OFFSET($DS$3,0,0,'Données projet'!$E$14+1,1))-AVERAGE(OFFSET($H$3,0,0,'Données projet'!$E$14+1,1))</f>
        <v>434.77799524785502</v>
      </c>
      <c r="DU67" s="59">
        <f t="shared" si="44"/>
        <v>259.85949838170006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63.963823799473772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5.9431089743589762</v>
      </c>
      <c r="EJ67" s="12">
        <f>IF('Données projet'!$A$192&gt;35,EJ66+EI67-ER66,IF(A67&lt;'Données projet'!$A$192,$EG$205^A67,IF(A67='Données projet'!$A$192,'Données projet'!$B$192,EJ66+EI67-ER66)))</f>
        <v>150.02964743589743</v>
      </c>
      <c r="EK67" s="17">
        <f>EJ67*VLOOKUP('Données projet'!$B$15,Paramètres!$A$1:$I$89,3,0)*VLOOKUP('Données projet'!$B$15,Paramètres!$A$1:$I$89,5,0)</f>
        <v>145.10867500000001</v>
      </c>
      <c r="EL67" s="13">
        <f t="shared" si="45"/>
        <v>37.464878834869843</v>
      </c>
      <c r="EM67" s="20">
        <f t="shared" si="19"/>
        <v>317.982272929065</v>
      </c>
      <c r="EN67" s="59">
        <f t="shared" si="20"/>
        <v>589.18296019380216</v>
      </c>
      <c r="EO67" s="59">
        <f ca="1">AVERAGE(OFFSET($EN$3,0,0,'Données projet'!$E$15+1,1))-AVERAGE(OFFSET($H$3,0,0,'Données projet'!$E$15+1,1))</f>
        <v>398.06270423055565</v>
      </c>
      <c r="EP67" s="59">
        <f t="shared" si="46"/>
        <v>239.15364562040614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63.963823799473772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-1.7053025658242404E-13</v>
      </c>
      <c r="FF67" s="17">
        <f>FE67*VLOOKUP('Données projet'!$B$16,Paramètres!$A$1:$I$89,3,0)*VLOOKUP('Données projet'!$B$16,Paramètres!$A$1:$I$89,5,0)</f>
        <v>-1.0197709343628959E-13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334.13861979962491</v>
      </c>
      <c r="FK67" s="59">
        <f t="shared" si="48"/>
        <v>416.48635183664305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138.98738393359383</v>
      </c>
      <c r="FR67" s="21">
        <f>EXP(-LN(2)/25)*FR66+(1-EXP(-LN(2)/25))/(LN(2)/25)*Calculateur!FM67*Calculateur!FO67*VLOOKUP('Données projet'!$B$16,Paramètres!$A$1:$I$89,3,0)*0.475*44/12</f>
        <v>35.407751281903806</v>
      </c>
      <c r="FS67" s="21">
        <f>EXP(-LN(2)/2)*FS66+(1-EXP(-LN(2)/2))/(LN(2)/2)*FM67*FP67*VLOOKUP('Données projet'!$B$16,Paramètres!$A$1:$I$89,3,0)*0.475*44/12</f>
        <v>2.5253981839255943</v>
      </c>
      <c r="FT67" s="22">
        <f t="shared" si="24"/>
        <v>176.92053339942325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63.963823799473772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13.737499999999997</v>
      </c>
      <c r="FZ67" s="12">
        <f>IF('Données projet'!$A$244&gt;35,FZ66+FY67-GH66,IF(A67&lt;'Données projet'!$A$244,$FW$205^A67,IF(A67='Données projet'!$A$244,'Données projet'!$B$244,FZ66+FY67-GH66)))</f>
        <v>317.79134615384612</v>
      </c>
      <c r="GA67" s="17">
        <f>FZ67*VLOOKUP('Données projet'!$B$17,Paramètres!$A$1:$I$89,3,0)*VLOOKUP('Données projet'!$B$17,Paramètres!$A$1:$I$89,5,0)</f>
        <v>148.72635</v>
      </c>
      <c r="GB67" s="13">
        <f t="shared" si="49"/>
        <v>38.289000598915827</v>
      </c>
      <c r="GC67" s="20">
        <f t="shared" si="25"/>
        <v>325.71840229311169</v>
      </c>
      <c r="GD67" s="59">
        <f t="shared" si="26"/>
        <v>596.91908955784879</v>
      </c>
      <c r="GE67" s="59">
        <f ca="1">AVERAGE(OFFSET($GD$3,0,0,'Données projet'!$E$17+1,1))-AVERAGE(OFFSET($H$3,0,0,'Données projet'!$E$17+1,1))</f>
        <v>317.79829681023142</v>
      </c>
      <c r="GF67" s="59">
        <f t="shared" si="50"/>
        <v>275.07716943523621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48.289654905958024</v>
      </c>
      <c r="GM67" s="21">
        <f>EXP(-LN(2)/25)*GM66+(1-EXP(-LN(2)/25))/(LN(2)/25)*Calculateur!GH67*Calculateur!GJ67*VLOOKUP('Données projet'!$B$17,Paramètres!$A$1:$I$89,3,0)*0.475*44/12</f>
        <v>29.457726101691609</v>
      </c>
      <c r="GN67" s="21">
        <f>EXP(-LN(2)/2)*GN66+(1-EXP(-LN(2)/2))/(LN(2)/2)*GH67*GK67*VLOOKUP('Données projet'!$B$17,Paramètres!$A$1:$I$89,3,0)*0.475*44/12</f>
        <v>3.8927294047160066</v>
      </c>
      <c r="GO67" s="21">
        <f t="shared" si="27"/>
        <v>81.640110412365644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63.963823799473772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13.296703296703283</v>
      </c>
      <c r="GU67" s="12">
        <f>IF('Données projet'!$A$270&gt;35,GU66+GT67-HC66,IF(A67&lt;'Données projet'!$A$270,$GR$205^A67,IF(A67='Données projet'!$A$270,'Données projet'!$B$270,GU66+GT67-HC66)))</f>
        <v>389.28901098901093</v>
      </c>
      <c r="GV67" s="17">
        <f>GU67*VLOOKUP('Données projet'!$B$18,Paramètres!$A$1:$I$89,3,0)*VLOOKUP('Données projet'!$B$18,Paramètres!$A$1:$I$89,5,0)</f>
        <v>217.61255714285713</v>
      </c>
      <c r="GW67" s="13">
        <f t="shared" si="51"/>
        <v>53.595657750447323</v>
      </c>
      <c r="GX67" s="20">
        <f t="shared" si="28"/>
        <v>472.35430760583853</v>
      </c>
      <c r="GY67" s="59">
        <f t="shared" si="29"/>
        <v>743.55499487057568</v>
      </c>
      <c r="GZ67" s="59">
        <f ca="1">AVERAGE(OFFSET($GY$3,0,0,'Données projet'!$E$18+1,1))-AVERAGE(OFFSET($H$3,0,0,'Données projet'!$E$18+1,1))</f>
        <v>336.21787234885699</v>
      </c>
      <c r="HA67" s="59">
        <f t="shared" si="52"/>
        <v>315.36156736899113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86.218634437025386</v>
      </c>
      <c r="HH67" s="21">
        <f>EXP(-LN(2)/25)*HH66+(1-EXP(-LN(2)/25))/(LN(2)/25)*Calculateur!HC67*Calculateur!HE67*VLOOKUP('Données projet'!$B$18,Paramètres!$A$1:$I$89,3,0)*0.475*44/12</f>
        <v>27.654392918241282</v>
      </c>
      <c r="HI67" s="21">
        <f>EXP(-LN(2)/2)*HI66+(1-EXP(-LN(2)/2))/(LN(2)/2)*HC67*HF67*VLOOKUP('Données projet'!$B$18,Paramètres!$A$1:$I$89,3,0)*0.475*44/12</f>
        <v>5.1511831025497408</v>
      </c>
      <c r="HJ67" s="22">
        <f t="shared" si="30"/>
        <v>119.02421045781641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3.7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13.566666666666668</v>
      </c>
      <c r="H68" s="67">
        <f t="shared" ref="H68:H131" si="56">(B68+E68+F68)*44/12+(C68+D68)*0.475*44/12</f>
        <v>202.4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64.068537961684598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8.1001602564102626</v>
      </c>
      <c r="N68" s="13">
        <f>IF('Données projet'!$A$36&gt;35,N67+M68-V67,IF(A68&lt;'Données projet'!$A$36,$K$205^A68,IF(A68='Données projet'!$A$36,'Données projet'!$B$36,N67+M68-V67)))</f>
        <v>194.76442307692321</v>
      </c>
      <c r="O68" s="13">
        <f>N68*VLOOKUP('Données projet'!$B$9,Paramètres!$A$1:$I$89,3,0)*VLOOKUP('Données projet'!$B$9,Paramètres!$A$1:$I$89,5,0)</f>
        <v>176.22285000000011</v>
      </c>
      <c r="P68" s="13">
        <f t="shared" si="33"/>
        <v>44.480805480154558</v>
      </c>
      <c r="Q68" s="20">
        <f t="shared" si="54"/>
        <v>384.3921999612694</v>
      </c>
      <c r="R68" s="59">
        <f t="shared" si="55"/>
        <v>655.97683915411289</v>
      </c>
      <c r="S68" s="59">
        <f ca="1">AVERAGE(OFFSET($R$3,0,0,'Données projet'!$E$9+1,1))-AVERAGE(OFFSET($H$3,0,0,'Données projet'!$E$9+1,1))</f>
        <v>411.64357329340851</v>
      </c>
      <c r="T68" s="59">
        <f t="shared" si="34"/>
        <v>294.07942258675632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12.07408300233601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12.07408300233601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64.068537961684598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8.1001602564102626</v>
      </c>
      <c r="AI68" s="13">
        <f>IF('Données projet'!$A$62&gt;35,AI67+AH68-AQ67,IF(A68&lt;'Données projet'!$A$62,$AF$205^A68,IF(A68='Données projet'!$A$62,'Données projet'!$B$62,AI67+AH68-AQ67)))</f>
        <v>194.76442307692321</v>
      </c>
      <c r="AJ68" s="13">
        <f>AI68*VLOOKUP('Données projet'!$B$10,Paramètres!$A$1:$I$89,3,0)*VLOOKUP('Données projet'!$B$10,Paramètres!$A$1:$I$89,5,0)</f>
        <v>197.49112500000015</v>
      </c>
      <c r="AK68" s="13">
        <f t="shared" si="35"/>
        <v>49.192388495579841</v>
      </c>
      <c r="AL68" s="20">
        <f t="shared" ref="AL68:AL131" si="58">(AJ68+AK68)*0.475*44/12</f>
        <v>429.64045267146849</v>
      </c>
      <c r="AM68" s="59">
        <f t="shared" ref="AM68:AM131" si="59">AL68+(AD68+AE68)*44/12</f>
        <v>701.22509186431205</v>
      </c>
      <c r="AN68" s="59">
        <f ca="1">AVERAGE(OFFSET($AM$3,0,0,'Données projet'!$E$10+1,1))-AVERAGE(OFFSET($H$3,0,0,'Données projet'!$E$10+1,1))</f>
        <v>453.05577105995508</v>
      </c>
      <c r="AO68" s="59">
        <f t="shared" si="36"/>
        <v>322.6839824496758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13.531299916411051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13.531299916411051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64.068537961684598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4.8774928774928794</v>
      </c>
      <c r="BD68" s="12">
        <f>IF('Données projet'!$A$88&gt;35,BD67+BC68-BL67,IF(A68&lt;'Données projet'!$A$88,$BA$205^A68,IF(A68='Données projet'!$A$88,'Données projet'!$B$88,BD67+BC68-BL67)))</f>
        <v>126.6118233618235</v>
      </c>
      <c r="BE68" s="13">
        <f>BD68*VLOOKUP('Données projet'!$B$11,Paramètres!$A$1:$I$89,3,0)*VLOOKUP('Données projet'!$B$11,Paramètres!$A$1:$I$89,5,0)</f>
        <v>126.4092444444446</v>
      </c>
      <c r="BF68" s="13">
        <f t="shared" si="37"/>
        <v>33.165293420285408</v>
      </c>
      <c r="BG68" s="20">
        <f t="shared" ref="BG68:BG131" si="61">(BE68+BF68)*0.475*44/12</f>
        <v>277.92565344773811</v>
      </c>
      <c r="BH68" s="59">
        <f t="shared" ref="BH68:BH131" si="62">BG68+(AY68+AZ68)*44/12</f>
        <v>549.51029264058161</v>
      </c>
      <c r="BI68" s="59">
        <f ca="1">AVERAGE(OFFSET($BH$3,0,0,'Données projet'!$E$11+1,1))-AVERAGE(OFFSET($H$3,0,0,'Données projet'!$E$11+1,1))</f>
        <v>411.38162678377478</v>
      </c>
      <c r="BJ68" s="59">
        <f t="shared" si="38"/>
        <v>177.89903563360403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64.068537961684598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195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195</v>
      </c>
      <c r="BZ68" s="13">
        <f>BY68*VLOOKUP('Données projet'!$B$12,Paramètres!$A$1:$I$89,3,0)*VLOOKUP('Données projet'!$B$12,Paramètres!$A$1:$I$89,5,0)</f>
        <v>203.81400000000002</v>
      </c>
      <c r="CA68" s="13">
        <f t="shared" si="39"/>
        <v>50.581445724851562</v>
      </c>
      <c r="CB68" s="20">
        <f t="shared" ref="CB68:CB131" si="64">(BZ68+CA68)*0.475*44/12</f>
        <v>443.07206797078311</v>
      </c>
      <c r="CC68" s="59">
        <f t="shared" ref="CC68:CC131" si="65">CB68+(BT68+BU68)*44/12</f>
        <v>714.65670716362661</v>
      </c>
      <c r="CD68" s="59">
        <f ca="1">AVERAGE(OFFSET($CC$3,0,0,'Données projet'!$E$12+1,1))-AVERAGE(OFFSET($H$3,0,0,'Données projet'!$E$12+1,1))</f>
        <v>374.38550202939507</v>
      </c>
      <c r="CE68" s="59">
        <f t="shared" si="40"/>
        <v>324.37486924296718</v>
      </c>
      <c r="CF68" s="15">
        <f>IF(ISNA(VLOOKUP(A68,'Données projet'!$A$113:$I$133,3,0)),0,VLOOKUP(A68,'Données projet'!$A$113:$I$133,3,0))</f>
        <v>10</v>
      </c>
      <c r="CG68" s="15" t="str">
        <f>IF(ISNA(VLOOKUP(A68,'Données projet'!$A$113:$I$133,4,0)),0,VLOOKUP(A68,'Données projet'!$A$113:$I$133,4,0))</f>
        <v>15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0.17200000000000001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8.632519687703434</v>
      </c>
      <c r="CL68" s="21">
        <f>EXP(-LN(2)/25)*CL67+(1-EXP(-LN(2)/25))/(LN(2)/25)*Calculateur!CG68*Calculateur!CI68*VLOOKUP('Données projet'!$B$12,Paramètres!$A$1:$I$89,3,0)*0.475*44/12</f>
        <v>16.390026148580574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25.02254583628401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64.068537961684598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5.9431089743589762</v>
      </c>
      <c r="CT68" s="12">
        <f>IF('Données projet'!$A$140&gt;35,CT67+CS68-DB67,IF(A68&lt;'Données projet'!$A$140,$CQ$205^A68,IF(A68='Données projet'!$A$140,'Données projet'!$B$140,CT67+CS68-DB67)))</f>
        <v>155.97275641025641</v>
      </c>
      <c r="CU68" s="17">
        <f>CT68*VLOOKUP('Données projet'!$B$13,Paramètres!$A$1:$I$89,3,0)*VLOOKUP('Données projet'!$B$13,Paramètres!$A$1:$I$89,5,0)</f>
        <v>148.423675</v>
      </c>
      <c r="CV68" s="13">
        <f t="shared" si="41"/>
        <v>38.220140150790883</v>
      </c>
      <c r="CW68" s="20">
        <f t="shared" ref="CW68:CW131" si="67">(CU68+CV68)*0.475*44/12</f>
        <v>325.07131138762742</v>
      </c>
      <c r="CX68" s="59">
        <f t="shared" ref="CX68:CX131" si="68">CW68+(CO68+CP68)*44/12</f>
        <v>596.65595058047097</v>
      </c>
      <c r="CY68" s="59">
        <f ca="1">AVERAGE(OFFSET($CX$3,0,0,'Données projet'!$E$13+1,1))-AVERAGE(OFFSET($H$3,0,0,'Données projet'!$E$13+1,1))</f>
        <v>392.81074187112989</v>
      </c>
      <c r="CZ68" s="59">
        <f t="shared" si="42"/>
        <v>236.19146849073687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64.068537961684598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5.9431089743589762</v>
      </c>
      <c r="DO68" s="12">
        <f>IF('Données projet'!$A$166&gt;35,DO67+DN68-DW67,IF(A68&lt;'Données projet'!$A$166,$DL$205^A68,IF(A68='Données projet'!$A$166,'Données projet'!$B$166,DO67+DN68-DW67)))</f>
        <v>155.97275641025641</v>
      </c>
      <c r="DP68" s="17">
        <f>DO68*VLOOKUP('Données projet'!$B$14,Paramètres!$A$1:$I$89,3,0)*VLOOKUP('Données projet'!$B$14,Paramètres!$A$1:$I$89,5,0)</f>
        <v>167.88907499999999</v>
      </c>
      <c r="DQ68" s="13">
        <f t="shared" si="43"/>
        <v>42.616903350229627</v>
      </c>
      <c r="DR68" s="20">
        <f t="shared" ref="DR68:DR131" si="70">(DP68+DQ68)*0.475*44/12</f>
        <v>366.6312456266499</v>
      </c>
      <c r="DS68" s="59">
        <f t="shared" ref="DS68:DS131" si="71">DR68+(DJ68+DK68)*44/12</f>
        <v>638.21588481949345</v>
      </c>
      <c r="DT68" s="59">
        <f ca="1">AVERAGE(OFFSET($DS$3,0,0,'Données projet'!$E$14+1,1))-AVERAGE(OFFSET($H$3,0,0,'Données projet'!$E$14+1,1))</f>
        <v>434.77799524785502</v>
      </c>
      <c r="DU68" s="59">
        <f t="shared" si="44"/>
        <v>259.85949838170006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64.068537961684598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5.9431089743589762</v>
      </c>
      <c r="EJ68" s="12">
        <f>IF('Données projet'!$A$192&gt;35,EJ67+EI68-ER67,IF(A68&lt;'Données projet'!$A$192,$EG$205^A68,IF(A68='Données projet'!$A$192,'Données projet'!$B$192,EJ67+EI68-ER67)))</f>
        <v>155.97275641025641</v>
      </c>
      <c r="EK68" s="17">
        <f>EJ68*VLOOKUP('Données projet'!$B$15,Paramètres!$A$1:$I$89,3,0)*VLOOKUP('Données projet'!$B$15,Paramètres!$A$1:$I$89,5,0)</f>
        <v>150.85685000000001</v>
      </c>
      <c r="EL68" s="13">
        <f t="shared" si="45"/>
        <v>38.773243258316775</v>
      </c>
      <c r="EM68" s="20">
        <f t="shared" ref="EM68:EM131" si="73">(EK68+EL68)*0.475*44/12</f>
        <v>330.27241242490169</v>
      </c>
      <c r="EN68" s="59">
        <f t="shared" ref="EN68:EN131" si="74">EM68+(EE68+EF68)*44/12</f>
        <v>601.85705161774524</v>
      </c>
      <c r="EO68" s="59">
        <f ca="1">AVERAGE(OFFSET($EN$3,0,0,'Données projet'!$E$15+1,1))-AVERAGE(OFFSET($H$3,0,0,'Données projet'!$E$15+1,1))</f>
        <v>398.06270423055565</v>
      </c>
      <c r="EP68" s="59">
        <f t="shared" si="46"/>
        <v>239.15364562040614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64.068537961684598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-1.7053025658242404E-13</v>
      </c>
      <c r="FF68" s="17">
        <f>FE68*VLOOKUP('Données projet'!$B$16,Paramètres!$A$1:$I$89,3,0)*VLOOKUP('Données projet'!$B$16,Paramètres!$A$1:$I$89,5,0)</f>
        <v>-1.0197709343628959E-13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334.13861979962491</v>
      </c>
      <c r="FK68" s="59">
        <f t="shared" si="48"/>
        <v>416.48635183664305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136.26192610858953</v>
      </c>
      <c r="FR68" s="21">
        <f>EXP(-LN(2)/25)*FR67+(1-EXP(-LN(2)/25))/(LN(2)/25)*Calculateur!FM68*Calculateur!FO68*VLOOKUP('Données projet'!$B$16,Paramètres!$A$1:$I$89,3,0)*0.475*44/12</f>
        <v>34.43952446108743</v>
      </c>
      <c r="FS68" s="21">
        <f>EXP(-LN(2)/2)*FS67+(1-EXP(-LN(2)/2))/(LN(2)/2)*FM68*FP68*VLOOKUP('Données projet'!$B$16,Paramètres!$A$1:$I$89,3,0)*0.475*44/12</f>
        <v>1.7857261810499798</v>
      </c>
      <c r="FT68" s="22">
        <f t="shared" ref="FT68:FT131" si="78">SUM(FQ68:FS68)</f>
        <v>172.48717675072695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64.068537961684598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13.737499999999997</v>
      </c>
      <c r="FZ68" s="12">
        <f>IF('Données projet'!$A$244&gt;35,FZ67+FY68-GH67,IF(A68&lt;'Données projet'!$A$244,$FW$205^A68,IF(A68='Données projet'!$A$244,'Données projet'!$B$244,FZ67+FY68-GH67)))</f>
        <v>331.52884615384613</v>
      </c>
      <c r="GA68" s="17">
        <f>FZ68*VLOOKUP('Données projet'!$B$17,Paramètres!$A$1:$I$89,3,0)*VLOOKUP('Données projet'!$B$17,Paramètres!$A$1:$I$89,5,0)</f>
        <v>155.15549999999999</v>
      </c>
      <c r="GB68" s="13">
        <f t="shared" si="49"/>
        <v>39.74787733410745</v>
      </c>
      <c r="GC68" s="20">
        <f t="shared" ref="GC68:GC131" si="79">(GA68+GB68)*0.475*44/12</f>
        <v>339.45671552357044</v>
      </c>
      <c r="GD68" s="59">
        <f t="shared" ref="GD68:GD131" si="80">GC68+(FU68+FV68)*44/12</f>
        <v>611.04135471641393</v>
      </c>
      <c r="GE68" s="59">
        <f ca="1">AVERAGE(OFFSET($GD$3,0,0,'Données projet'!$E$17+1,1))-AVERAGE(OFFSET($H$3,0,0,'Données projet'!$E$17+1,1))</f>
        <v>317.79829681023142</v>
      </c>
      <c r="GF68" s="59">
        <f t="shared" si="50"/>
        <v>275.07716943523621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47.342724227033358</v>
      </c>
      <c r="GM68" s="21">
        <f>EXP(-LN(2)/25)*GM67+(1-EXP(-LN(2)/25))/(LN(2)/25)*Calculateur!GH68*Calculateur!GJ68*VLOOKUP('Données projet'!$B$17,Paramètres!$A$1:$I$89,3,0)*0.475*44/12</f>
        <v>28.652203032326362</v>
      </c>
      <c r="GN68" s="21">
        <f>EXP(-LN(2)/2)*GN67+(1-EXP(-LN(2)/2))/(LN(2)/2)*GH68*GK68*VLOOKUP('Données projet'!$B$17,Paramètres!$A$1:$I$89,3,0)*0.475*44/12</f>
        <v>2.752575359398961</v>
      </c>
      <c r="GO68" s="21">
        <f t="shared" ref="GO68:GO131" si="81">SUM(GL68:GN68)</f>
        <v>78.747502618758674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64.068537961684598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13.296703296703283</v>
      </c>
      <c r="GU68" s="12">
        <f>IF('Données projet'!$A$270&gt;35,GU67+GT68-HC67,IF(A68&lt;'Données projet'!$A$270,$GR$205^A68,IF(A68='Données projet'!$A$270,'Données projet'!$B$270,GU67+GT68-HC67)))</f>
        <v>402.58571428571423</v>
      </c>
      <c r="GV68" s="17">
        <f>GU68*VLOOKUP('Données projet'!$B$18,Paramètres!$A$1:$I$89,3,0)*VLOOKUP('Données projet'!$B$18,Paramètres!$A$1:$I$89,5,0)</f>
        <v>225.04541428571423</v>
      </c>
      <c r="GW68" s="13">
        <f t="shared" si="51"/>
        <v>55.210030257376133</v>
      </c>
      <c r="GX68" s="20">
        <f t="shared" ref="GX68:GX131" si="82">(GV68+GW68)*0.475*44/12</f>
        <v>488.11156591254894</v>
      </c>
      <c r="GY68" s="59">
        <f t="shared" ref="GY68:GY131" si="83">GX68+(GP68+GQ68)*44/12</f>
        <v>759.69620510539244</v>
      </c>
      <c r="GZ68" s="59">
        <f ca="1">AVERAGE(OFFSET($GY$3,0,0,'Données projet'!$E$18+1,1))-AVERAGE(OFFSET($H$3,0,0,'Données projet'!$E$18+1,1))</f>
        <v>336.21787234885699</v>
      </c>
      <c r="HA68" s="59">
        <f t="shared" si="52"/>
        <v>315.36156736899113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84.527939603889678</v>
      </c>
      <c r="HH68" s="21">
        <f>EXP(-LN(2)/25)*HH67+(1-EXP(-LN(2)/25))/(LN(2)/25)*Calculateur!HC68*Calculateur!HE68*VLOOKUP('Données projet'!$B$18,Paramètres!$A$1:$I$89,3,0)*0.475*44/12</f>
        <v>26.898182089610657</v>
      </c>
      <c r="HI68" s="21">
        <f>EXP(-LN(2)/2)*HI67+(1-EXP(-LN(2)/2))/(LN(2)/2)*HC68*HF68*VLOOKUP('Données projet'!$B$18,Paramètres!$A$1:$I$89,3,0)*0.475*44/12</f>
        <v>3.6424365029464809</v>
      </c>
      <c r="HJ68" s="22">
        <f t="shared" ref="HJ68:HJ131" si="84">SUM(HG68:HI68)</f>
        <v>115.06855819644682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3.7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13.566666666666668</v>
      </c>
      <c r="H69" s="67">
        <f t="shared" si="56"/>
        <v>202.4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64.171435567286849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8.1001602564102626</v>
      </c>
      <c r="N69" s="13">
        <f>IF('Données projet'!$A$36&gt;35,N68+M69-V68,IF(A69&lt;'Données projet'!$A$36,$K$205^A69,IF(A69='Données projet'!$A$36,'Données projet'!$B$36,N68+M69-V68)))</f>
        <v>202.86458333333348</v>
      </c>
      <c r="O69" s="13">
        <f>N69*VLOOKUP('Données projet'!$B$9,Paramètres!$A$1:$I$89,3,0)*VLOOKUP('Données projet'!$B$9,Paramètres!$A$1:$I$89,5,0)</f>
        <v>183.55187500000014</v>
      </c>
      <c r="P69" s="13">
        <f t="shared" ref="P69:P132" si="87">EXP(-1.0587+0.8836*LN(O69)+0.284)</f>
        <v>46.11151198237242</v>
      </c>
      <c r="Q69" s="20">
        <f t="shared" si="54"/>
        <v>399.99706566096552</v>
      </c>
      <c r="R69" s="59">
        <f t="shared" si="55"/>
        <v>671.95899607435058</v>
      </c>
      <c r="S69" s="59">
        <f ca="1">AVERAGE(OFFSET($R$3,0,0,'Données projet'!$E$9+1,1))-AVERAGE(OFFSET($H$3,0,0,'Données projet'!$E$9+1,1))</f>
        <v>411.64357329340851</v>
      </c>
      <c r="T69" s="59">
        <f t="shared" ref="T69:T132" si="88">$T$3</f>
        <v>294.07942258675632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11.837317599123653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11.837317599123653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64.171435567286849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8.1001602564102626</v>
      </c>
      <c r="AI69" s="13">
        <f>IF('Données projet'!$A$62&gt;35,AI68+AH69-AQ68,IF(A69&lt;'Données projet'!$A$62,$AF$205^A69,IF(A69='Données projet'!$A$62,'Données projet'!$B$62,AI68+AH69-AQ68)))</f>
        <v>202.86458333333348</v>
      </c>
      <c r="AJ69" s="13">
        <f>AI69*VLOOKUP('Données projet'!$B$10,Paramètres!$A$1:$I$89,3,0)*VLOOKUP('Données projet'!$B$10,Paramètres!$A$1:$I$89,5,0)</f>
        <v>205.70468750000018</v>
      </c>
      <c r="AK69" s="13">
        <f t="shared" ref="AK69:AK132" si="89">EXP(-1.0587+0.8836*LN(AJ69)+0.284)</f>
        <v>50.995825886459762</v>
      </c>
      <c r="AL69" s="20">
        <f t="shared" si="58"/>
        <v>447.08672748141771</v>
      </c>
      <c r="AM69" s="59">
        <f t="shared" si="59"/>
        <v>719.04865789480277</v>
      </c>
      <c r="AN69" s="59">
        <f ca="1">AVERAGE(OFFSET($AM$3,0,0,'Données projet'!$E$10+1,1))-AVERAGE(OFFSET($H$3,0,0,'Données projet'!$E$10+1,1))</f>
        <v>453.05577105995508</v>
      </c>
      <c r="AO69" s="59">
        <f t="shared" ref="AO69:AO132" si="90">$AO$3</f>
        <v>322.6839824496758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13.265959378328235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13.265959378328235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64.171435567286849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4.8774928774928794</v>
      </c>
      <c r="BD69" s="12">
        <f>IF('Données projet'!$A$88&gt;35,BD68+BC69-BL68,IF(A69&lt;'Données projet'!$A$88,$BA$205^A69,IF(A69='Données projet'!$A$88,'Données projet'!$B$88,BD68+BC69-BL68)))</f>
        <v>131.48931623931637</v>
      </c>
      <c r="BE69" s="13">
        <f>BD69*VLOOKUP('Données projet'!$B$11,Paramètres!$A$1:$I$89,3,0)*VLOOKUP('Données projet'!$B$11,Paramètres!$A$1:$I$89,5,0)</f>
        <v>131.27893333333347</v>
      </c>
      <c r="BF69" s="13">
        <f t="shared" ref="BF69:BF132" si="91">EXP(-1.0587+0.8836*LN(BE69)+0.284)</f>
        <v>34.291714683810987</v>
      </c>
      <c r="BG69" s="20">
        <f t="shared" si="61"/>
        <v>288.36887862985992</v>
      </c>
      <c r="BH69" s="59">
        <f t="shared" si="62"/>
        <v>560.33080904324504</v>
      </c>
      <c r="BI69" s="59">
        <f ca="1">AVERAGE(OFFSET($BH$3,0,0,'Données projet'!$E$11+1,1))-AVERAGE(OFFSET($H$3,0,0,'Données projet'!$E$11+1,1))</f>
        <v>411.38162678377478</v>
      </c>
      <c r="BJ69" s="59">
        <f t="shared" ref="BJ69:BJ132" si="92">$BJ$3</f>
        <v>177.89903563360403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64.171435567286849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4.2</v>
      </c>
      <c r="BY69" s="12">
        <f>IF('Données projet'!$A$114&gt;35,BY68+BX69-CG68,IF(A69&lt;'Données projet'!$A$114,$BV$205^A69,IF(A69='Données projet'!$A$114,'Données projet'!$B$114,BY68+BX69-CG68)))</f>
        <v>184.2</v>
      </c>
      <c r="BZ69" s="13">
        <f>BY69*VLOOKUP('Données projet'!$B$12,Paramètres!$A$1:$I$89,3,0)*VLOOKUP('Données projet'!$B$12,Paramètres!$A$1:$I$89,5,0)</f>
        <v>192.52584000000002</v>
      </c>
      <c r="CA69" s="13">
        <f t="shared" ref="CA69:CA132" si="93">EXP(-1.0587+0.8836*LN(BZ69)+0.284)</f>
        <v>48.097950277474887</v>
      </c>
      <c r="CB69" s="20">
        <f t="shared" si="64"/>
        <v>419.08643473326879</v>
      </c>
      <c r="CC69" s="59">
        <f t="shared" si="65"/>
        <v>691.04836514665385</v>
      </c>
      <c r="CD69" s="59">
        <f ca="1">AVERAGE(OFFSET($CC$3,0,0,'Données projet'!$E$12+1,1))-AVERAGE(OFFSET($H$3,0,0,'Données projet'!$E$12+1,1))</f>
        <v>374.38550202939507</v>
      </c>
      <c r="CE69" s="59">
        <f t="shared" ref="CE69:CE132" si="94">$CE$3</f>
        <v>324.37486924296718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8.4632412419446723</v>
      </c>
      <c r="CL69" s="21">
        <f>EXP(-LN(2)/25)*CL68+(1-EXP(-LN(2)/25))/(LN(2)/25)*Calculateur!CG69*Calculateur!CI69*VLOOKUP('Données projet'!$B$12,Paramètres!$A$1:$I$89,3,0)*0.475*44/12</f>
        <v>15.941840021633624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24.405081263578296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64.171435567286849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5.9431089743589762</v>
      </c>
      <c r="CT69" s="12">
        <f>IF('Données projet'!$A$140&gt;35,CT68+CS69-DB68,IF(A69&lt;'Données projet'!$A$140,$CQ$205^A69,IF(A69='Données projet'!$A$140,'Données projet'!$B$140,CT68+CS69-DB68)))</f>
        <v>161.91586538461539</v>
      </c>
      <c r="CU69" s="17">
        <f>CT69*VLOOKUP('Données projet'!$B$13,Paramètres!$A$1:$I$89,3,0)*VLOOKUP('Données projet'!$B$13,Paramètres!$A$1:$I$89,5,0)</f>
        <v>154.0791375</v>
      </c>
      <c r="CV69" s="13">
        <f t="shared" ref="CV69:CV132" si="95">EXP(-1.0587+0.8836*LN(CU69)+0.284)</f>
        <v>39.504131726932535</v>
      </c>
      <c r="CW69" s="20">
        <f t="shared" si="67"/>
        <v>337.15752723690747</v>
      </c>
      <c r="CX69" s="59">
        <f t="shared" si="68"/>
        <v>609.11945765029259</v>
      </c>
      <c r="CY69" s="59">
        <f ca="1">AVERAGE(OFFSET($CX$3,0,0,'Données projet'!$E$13+1,1))-AVERAGE(OFFSET($H$3,0,0,'Données projet'!$E$13+1,1))</f>
        <v>392.81074187112989</v>
      </c>
      <c r="CZ69" s="59">
        <f t="shared" ref="CZ69:CZ132" si="96">$CZ$3</f>
        <v>236.19146849073687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64.171435567286849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5.9431089743589762</v>
      </c>
      <c r="DO69" s="12">
        <f>IF('Données projet'!$A$166&gt;35,DO68+DN69-DW68,IF(A69&lt;'Données projet'!$A$166,$DL$205^A69,IF(A69='Données projet'!$A$166,'Données projet'!$B$166,DO68+DN69-DW68)))</f>
        <v>161.91586538461539</v>
      </c>
      <c r="DP69" s="17">
        <f>DO69*VLOOKUP('Données projet'!$B$14,Paramètres!$A$1:$I$89,3,0)*VLOOKUP('Données projet'!$B$14,Paramètres!$A$1:$I$89,5,0)</f>
        <v>174.2862375</v>
      </c>
      <c r="DQ69" s="13">
        <f t="shared" ref="DQ69:DQ132" si="97">EXP(-1.0587+0.8836*LN(DP69)+0.284)</f>
        <v>44.048602571819437</v>
      </c>
      <c r="DR69" s="20">
        <f t="shared" si="70"/>
        <v>380.26651312508551</v>
      </c>
      <c r="DS69" s="59">
        <f t="shared" si="71"/>
        <v>652.22844353847063</v>
      </c>
      <c r="DT69" s="59">
        <f ca="1">AVERAGE(OFFSET($DS$3,0,0,'Données projet'!$E$14+1,1))-AVERAGE(OFFSET($H$3,0,0,'Données projet'!$E$14+1,1))</f>
        <v>434.77799524785502</v>
      </c>
      <c r="DU69" s="59">
        <f t="shared" ref="DU69:DU132" si="98">$DU$3</f>
        <v>259.85949838170006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64.171435567286849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5.9431089743589762</v>
      </c>
      <c r="EJ69" s="12">
        <f>IF('Données projet'!$A$192&gt;35,EJ68+EI69-ER68,IF(A69&lt;'Données projet'!$A$192,$EG$205^A69,IF(A69='Données projet'!$A$192,'Données projet'!$B$192,EJ68+EI69-ER68)))</f>
        <v>161.91586538461539</v>
      </c>
      <c r="EK69" s="17">
        <f>EJ69*VLOOKUP('Données projet'!$B$15,Paramètres!$A$1:$I$89,3,0)*VLOOKUP('Données projet'!$B$15,Paramètres!$A$1:$I$89,5,0)</f>
        <v>156.60502500000001</v>
      </c>
      <c r="EL69" s="13">
        <f t="shared" ref="EL69:EL132" si="99">EXP(-1.0587+0.8836*LN(EK69)+0.284)</f>
        <v>40.075816130288338</v>
      </c>
      <c r="EM69" s="20">
        <f t="shared" si="73"/>
        <v>342.55246496858553</v>
      </c>
      <c r="EN69" s="59">
        <f t="shared" si="74"/>
        <v>614.51439538197064</v>
      </c>
      <c r="EO69" s="59">
        <f ca="1">AVERAGE(OFFSET($EN$3,0,0,'Données projet'!$E$15+1,1))-AVERAGE(OFFSET($H$3,0,0,'Données projet'!$E$15+1,1))</f>
        <v>398.06270423055565</v>
      </c>
      <c r="EP69" s="59">
        <f t="shared" ref="EP69:EP132" si="100">$EP$3</f>
        <v>239.15364562040614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64.171435567286849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-1.7053025658242404E-13</v>
      </c>
      <c r="FF69" s="17">
        <f>FE69*VLOOKUP('Données projet'!$B$16,Paramètres!$A$1:$I$89,3,0)*VLOOKUP('Données projet'!$B$16,Paramètres!$A$1:$I$89,5,0)</f>
        <v>-1.0197709343628959E-13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334.13861979962491</v>
      </c>
      <c r="FK69" s="59">
        <f t="shared" ref="FK69:FK132" si="102">$FK$3</f>
        <v>416.48635183664305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133.58991284916843</v>
      </c>
      <c r="FR69" s="21">
        <f>EXP(-LN(2)/25)*FR68+(1-EXP(-LN(2)/25))/(LN(2)/25)*Calculateur!FM69*Calculateur!FO69*VLOOKUP('Données projet'!$B$16,Paramètres!$A$1:$I$89,3,0)*0.475*44/12</f>
        <v>33.497773853603114</v>
      </c>
      <c r="FS69" s="21">
        <f>EXP(-LN(2)/2)*FS68+(1-EXP(-LN(2)/2))/(LN(2)/2)*FM69*FP69*VLOOKUP('Données projet'!$B$16,Paramètres!$A$1:$I$89,3,0)*0.475*44/12</f>
        <v>1.2626990919627974</v>
      </c>
      <c r="FT69" s="22">
        <f t="shared" si="78"/>
        <v>168.35038579473434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64.171435567286849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13.737499999999997</v>
      </c>
      <c r="FZ69" s="12">
        <f>IF('Données projet'!$A$244&gt;35,FZ68+FY69-GH68,IF(A69&lt;'Données projet'!$A$244,$FW$205^A69,IF(A69='Données projet'!$A$244,'Données projet'!$B$244,FZ68+FY69-GH68)))</f>
        <v>345.26634615384614</v>
      </c>
      <c r="GA69" s="17">
        <f>FZ69*VLOOKUP('Données projet'!$B$17,Paramètres!$A$1:$I$89,3,0)*VLOOKUP('Données projet'!$B$17,Paramètres!$A$1:$I$89,5,0)</f>
        <v>161.58464999999998</v>
      </c>
      <c r="GB69" s="13">
        <f t="shared" ref="GB69:GB132" si="103">EXP(-1.0587+0.8836*LN(GA69)+0.284)</f>
        <v>41.199732368807574</v>
      </c>
      <c r="GC69" s="20">
        <f t="shared" si="79"/>
        <v>353.18279929233978</v>
      </c>
      <c r="GD69" s="59">
        <f t="shared" si="80"/>
        <v>625.1447297057249</v>
      </c>
      <c r="GE69" s="59">
        <f ca="1">AVERAGE(OFFSET($GD$3,0,0,'Données projet'!$E$17+1,1))-AVERAGE(OFFSET($H$3,0,0,'Données projet'!$E$17+1,1))</f>
        <v>317.79829681023142</v>
      </c>
      <c r="GF69" s="59">
        <f t="shared" ref="GF69:GF132" si="104">$GF$3</f>
        <v>275.07716943523621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46.414362281151725</v>
      </c>
      <c r="GM69" s="21">
        <f>EXP(-LN(2)/25)*GM68+(1-EXP(-LN(2)/25))/(LN(2)/25)*Calculateur!GH69*Calculateur!GJ69*VLOOKUP('Données projet'!$B$17,Paramètres!$A$1:$I$89,3,0)*0.475*44/12</f>
        <v>27.868707033653525</v>
      </c>
      <c r="GN69" s="21">
        <f>EXP(-LN(2)/2)*GN68+(1-EXP(-LN(2)/2))/(LN(2)/2)*GH69*GK69*VLOOKUP('Données projet'!$B$17,Paramètres!$A$1:$I$89,3,0)*0.475*44/12</f>
        <v>1.9463647023580037</v>
      </c>
      <c r="GO69" s="21">
        <f t="shared" si="81"/>
        <v>76.229434017163243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64.171435567286849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13.296703296703283</v>
      </c>
      <c r="GU69" s="12">
        <f>IF('Données projet'!$A$270&gt;35,GU68+GT69-HC68,IF(A69&lt;'Données projet'!$A$270,$GR$205^A69,IF(A69='Données projet'!$A$270,'Données projet'!$B$270,GU68+GT69-HC68)))</f>
        <v>415.88241758241753</v>
      </c>
      <c r="GV69" s="17">
        <f>GU69*VLOOKUP('Données projet'!$B$18,Paramètres!$A$1:$I$89,3,0)*VLOOKUP('Données projet'!$B$18,Paramètres!$A$1:$I$89,5,0)</f>
        <v>232.47827142857142</v>
      </c>
      <c r="GW69" s="13">
        <f t="shared" ref="GW69:GW132" si="105">EXP(-1.0587+0.8836*LN(GV69)+0.284)</f>
        <v>56.818207052289068</v>
      </c>
      <c r="GX69" s="20">
        <f t="shared" si="82"/>
        <v>503.85803335416534</v>
      </c>
      <c r="GY69" s="59">
        <f t="shared" si="83"/>
        <v>775.81996376755046</v>
      </c>
      <c r="GZ69" s="59">
        <f ca="1">AVERAGE(OFFSET($GY$3,0,0,'Données projet'!$E$18+1,1))-AVERAGE(OFFSET($H$3,0,0,'Données projet'!$E$18+1,1))</f>
        <v>336.21787234885699</v>
      </c>
      <c r="HA69" s="59">
        <f t="shared" ref="HA69:HA132" si="106">$HA$3</f>
        <v>315.36156736899113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82.87039826520973</v>
      </c>
      <c r="HH69" s="21">
        <f>EXP(-LN(2)/25)*HH68+(1-EXP(-LN(2)/25))/(LN(2)/25)*Calculateur!HC69*Calculateur!HE69*VLOOKUP('Données projet'!$B$18,Paramètres!$A$1:$I$89,3,0)*0.475*44/12</f>
        <v>26.162649885856332</v>
      </c>
      <c r="HI69" s="21">
        <f>EXP(-LN(2)/2)*HI68+(1-EXP(-LN(2)/2))/(LN(2)/2)*HC69*HF69*VLOOKUP('Données projet'!$B$18,Paramètres!$A$1:$I$89,3,0)*0.475*44/12</f>
        <v>2.5755915512748708</v>
      </c>
      <c r="HJ69" s="22">
        <f t="shared" si="84"/>
        <v>111.60863970234092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3.7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13.566666666666668</v>
      </c>
      <c r="H70" s="67">
        <f t="shared" si="56"/>
        <v>202.4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64.27254812947649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8.1001602564102626</v>
      </c>
      <c r="N70" s="13">
        <f>IF('Données projet'!$A$36&gt;35,N69+M70-V69,IF(A70&lt;'Données projet'!$A$36,$K$205^A70,IF(A70='Données projet'!$A$36,'Données projet'!$B$36,N69+M70-V69)))</f>
        <v>210.96474358974376</v>
      </c>
      <c r="O70" s="13">
        <f>N70*VLOOKUP('Données projet'!$B$9,Paramètres!$A$1:$I$89,3,0)*VLOOKUP('Données projet'!$B$9,Paramètres!$A$1:$I$89,5,0)</f>
        <v>190.88090000000014</v>
      </c>
      <c r="P70" s="13">
        <f t="shared" si="87"/>
        <v>47.734654873168694</v>
      </c>
      <c r="Q70" s="20">
        <f t="shared" si="54"/>
        <v>415.58875807076902</v>
      </c>
      <c r="R70" s="59">
        <f t="shared" si="55"/>
        <v>687.92143454551615</v>
      </c>
      <c r="S70" s="59">
        <f ca="1">AVERAGE(OFFSET($R$3,0,0,'Données projet'!$E$9+1,1))-AVERAGE(OFFSET($H$3,0,0,'Données projet'!$E$9+1,1))</f>
        <v>411.64357329340851</v>
      </c>
      <c r="T70" s="59">
        <f t="shared" si="88"/>
        <v>294.07942258675632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11.605195021055652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11.605195021055652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64.27254812947649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8.1001602564102626</v>
      </c>
      <c r="AI70" s="13">
        <f>IF('Données projet'!$A$62&gt;35,AI69+AH70-AQ69,IF(A70&lt;'Données projet'!$A$62,$AF$205^A70,IF(A70='Données projet'!$A$62,'Données projet'!$B$62,AI69+AH70-AQ69)))</f>
        <v>210.96474358974376</v>
      </c>
      <c r="AJ70" s="13">
        <f>AI70*VLOOKUP('Données projet'!$B$10,Paramètres!$A$1:$I$89,3,0)*VLOOKUP('Données projet'!$B$10,Paramètres!$A$1:$I$89,5,0)</f>
        <v>213.91825000000017</v>
      </c>
      <c r="AK70" s="13">
        <f t="shared" si="89"/>
        <v>52.790898498252169</v>
      </c>
      <c r="AL70" s="20">
        <f t="shared" si="58"/>
        <v>464.51843363445613</v>
      </c>
      <c r="AM70" s="59">
        <f t="shared" si="59"/>
        <v>736.85111010920332</v>
      </c>
      <c r="AN70" s="59">
        <f ca="1">AVERAGE(OFFSET($AM$3,0,0,'Données projet'!$E$10+1,1))-AVERAGE(OFFSET($H$3,0,0,'Données projet'!$E$10+1,1))</f>
        <v>453.05577105995508</v>
      </c>
      <c r="AO70" s="59">
        <f t="shared" si="90"/>
        <v>322.6839824496758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13.005822006355476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13.005822006355476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64.27254812947649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4.8774928774928794</v>
      </c>
      <c r="BD70" s="12">
        <f>IF('Données projet'!$A$88&gt;35,BD69+BC70-BL69,IF(A70&lt;'Données projet'!$A$88,$BA$205^A70,IF(A70='Données projet'!$A$88,'Données projet'!$B$88,BD69+BC70-BL69)))</f>
        <v>136.36680911680924</v>
      </c>
      <c r="BE70" s="13">
        <f>BD70*VLOOKUP('Données projet'!$B$11,Paramètres!$A$1:$I$89,3,0)*VLOOKUP('Données projet'!$B$11,Paramètres!$A$1:$I$89,5,0)</f>
        <v>136.14862222222234</v>
      </c>
      <c r="BF70" s="13">
        <f t="shared" si="91"/>
        <v>35.41328163230569</v>
      </c>
      <c r="BG70" s="20">
        <f t="shared" si="61"/>
        <v>298.803649213303</v>
      </c>
      <c r="BH70" s="59">
        <f t="shared" si="62"/>
        <v>571.13632568805019</v>
      </c>
      <c r="BI70" s="59">
        <f ca="1">AVERAGE(OFFSET($BH$3,0,0,'Données projet'!$E$11+1,1))-AVERAGE(OFFSET($H$3,0,0,'Données projet'!$E$11+1,1))</f>
        <v>411.38162678377478</v>
      </c>
      <c r="BJ70" s="59">
        <f t="shared" si="92"/>
        <v>177.89903563360403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64.27254812947649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4.2</v>
      </c>
      <c r="BY70" s="12">
        <f>IF('Données projet'!$A$114&gt;35,BY69+BX70-CG69,IF(A70&lt;'Données projet'!$A$114,$BV$205^A70,IF(A70='Données projet'!$A$114,'Données projet'!$B$114,BY69+BX70-CG69)))</f>
        <v>188.39999999999998</v>
      </c>
      <c r="BZ70" s="13">
        <f>BY70*VLOOKUP('Données projet'!$B$12,Paramètres!$A$1:$I$89,3,0)*VLOOKUP('Données projet'!$B$12,Paramètres!$A$1:$I$89,5,0)</f>
        <v>196.91568000000001</v>
      </c>
      <c r="CA70" s="13">
        <f t="shared" si="93"/>
        <v>49.065715635506891</v>
      </c>
      <c r="CB70" s="20">
        <f t="shared" si="64"/>
        <v>428.41759739850778</v>
      </c>
      <c r="CC70" s="59">
        <f t="shared" si="65"/>
        <v>700.75027387325486</v>
      </c>
      <c r="CD70" s="59">
        <f ca="1">AVERAGE(OFFSET($CC$3,0,0,'Données projet'!$E$12+1,1))-AVERAGE(OFFSET($H$3,0,0,'Données projet'!$E$12+1,1))</f>
        <v>374.38550202939507</v>
      </c>
      <c r="CE70" s="59">
        <f t="shared" si="94"/>
        <v>324.37486924296718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8.2972822432575839</v>
      </c>
      <c r="CL70" s="21">
        <f>EXP(-LN(2)/25)*CL69+(1-EXP(-LN(2)/25))/(LN(2)/25)*Calculateur!CG70*Calculateur!CI70*VLOOKUP('Données projet'!$B$12,Paramètres!$A$1:$I$89,3,0)*0.475*44/12</f>
        <v>15.50590956789712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23.803191811154704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64.27254812947649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167.85897435897436</v>
      </c>
      <c r="CR70" s="12">
        <f>VLOOKUP(A70,'Données projet'!$A$139:$I$159,9,0)</f>
        <v>5.9431089743589762</v>
      </c>
      <c r="CS70" s="12">
        <f t="array" ref="CS70">INDEX(CR:CR,MIN(IF(ISNUMBER(CR70:CR266),ROW(CR70:CR266),"")))</f>
        <v>5.9431089743589762</v>
      </c>
      <c r="CT70" s="12">
        <f>IF('Données projet'!$A$140&gt;35,CT69+CS70-DB69,IF(A70&lt;'Données projet'!$A$140,$CQ$205^A70,IF(A70='Données projet'!$A$140,'Données projet'!$B$140,CT69+CS70-DB69)))</f>
        <v>167.85897435897436</v>
      </c>
      <c r="CU70" s="17">
        <f>CT70*VLOOKUP('Données projet'!$B$13,Paramètres!$A$1:$I$89,3,0)*VLOOKUP('Données projet'!$B$13,Paramètres!$A$1:$I$89,5,0)</f>
        <v>159.7346</v>
      </c>
      <c r="CV70" s="13">
        <f t="shared" si="95"/>
        <v>40.782647913300906</v>
      </c>
      <c r="CW70" s="20">
        <f t="shared" si="67"/>
        <v>349.23420678233242</v>
      </c>
      <c r="CX70" s="59">
        <f t="shared" si="68"/>
        <v>621.56688325707955</v>
      </c>
      <c r="CY70" s="59">
        <f ca="1">AVERAGE(OFFSET($CX$3,0,0,'Données projet'!$E$13+1,1))-AVERAGE(OFFSET($H$3,0,0,'Données projet'!$E$13+1,1))</f>
        <v>392.81074187112989</v>
      </c>
      <c r="CZ70" s="59">
        <f t="shared" si="96"/>
        <v>236.19146849073687</v>
      </c>
      <c r="DA70" s="15">
        <f>IF(ISNA(VLOOKUP(A70,'Données projet'!$A$139:$I$159,3,0)),0,VLOOKUP(A70,'Données projet'!$A$139:$I$159,3,0))</f>
        <v>4</v>
      </c>
      <c r="DB70" s="15">
        <f>IF(ISNA(VLOOKUP(A70,'Données projet'!$A$139:$I$159,4,0)),0,VLOOKUP(A70,'Données projet'!$A$139:$I$159,4,0))</f>
        <v>31.993589743589741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64.27254812947649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projet'!$A$165:$I$185,2,0)</f>
        <v>167.85897435897436</v>
      </c>
      <c r="DM70" s="12">
        <f>VLOOKUP(A70,'Données projet'!$A$165:$I$185,9,0)</f>
        <v>5.9431089743589762</v>
      </c>
      <c r="DN70" s="12">
        <f t="array" ref="DN70">INDEX(DM:DM,MIN(IF(ISNUMBER(DM70:DM266),ROW(DM70:DM266),"")))</f>
        <v>5.9431089743589762</v>
      </c>
      <c r="DO70" s="12">
        <f>IF('Données projet'!$A$166&gt;35,DO69+DN70-DW69,IF(A70&lt;'Données projet'!$A$166,$DL$205^A70,IF(A70='Données projet'!$A$166,'Données projet'!$B$166,DO69+DN70-DW69)))</f>
        <v>167.85897435897436</v>
      </c>
      <c r="DP70" s="17">
        <f>DO70*VLOOKUP('Données projet'!$B$14,Paramètres!$A$1:$I$89,3,0)*VLOOKUP('Données projet'!$B$14,Paramètres!$A$1:$I$89,5,0)</f>
        <v>180.68340000000001</v>
      </c>
      <c r="DQ70" s="13">
        <f t="shared" si="97"/>
        <v>45.474196526503945</v>
      </c>
      <c r="DR70" s="20">
        <f t="shared" si="70"/>
        <v>393.89114728366098</v>
      </c>
      <c r="DS70" s="59">
        <f t="shared" si="71"/>
        <v>666.22382375840812</v>
      </c>
      <c r="DT70" s="59">
        <f ca="1">AVERAGE(OFFSET($DS$3,0,0,'Données projet'!$E$14+1,1))-AVERAGE(OFFSET($H$3,0,0,'Données projet'!$E$14+1,1))</f>
        <v>434.77799524785502</v>
      </c>
      <c r="DU70" s="59">
        <f t="shared" si="98"/>
        <v>259.85949838170006</v>
      </c>
      <c r="DV70" s="15">
        <f>IF(ISNA(VLOOKUP(A70,'Données projet'!$A$165:$I$185,3,0)),0,VLOOKUP(A70,'Données projet'!$A$165:$I$185,3,0))</f>
        <v>4</v>
      </c>
      <c r="DW70" s="15">
        <f>IF(ISNA(VLOOKUP(A70,'Données projet'!$A$165:$I$185,4,0)),0,VLOOKUP(A70,'Données projet'!$A$165:$I$185,4,0))</f>
        <v>31.993589743589741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64.27254812947649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>
        <f>VLOOKUP(A70,'Données projet'!$A$191:$I$211,2,0)</f>
        <v>167.85897435897436</v>
      </c>
      <c r="EH70" s="12">
        <f>VLOOKUP(A70,'Données projet'!$A$191:$I$211,9,0)</f>
        <v>5.9431089743589762</v>
      </c>
      <c r="EI70" s="12">
        <f t="array" ref="EI70">INDEX(EH:EH,MIN(IF(ISNUMBER(EH70:EH266),ROW(EH70:EH266),"")))</f>
        <v>5.9431089743589762</v>
      </c>
      <c r="EJ70" s="12">
        <f>IF('Données projet'!$A$192&gt;35,EJ69+EI70-ER69,IF(A70&lt;'Données projet'!$A$192,$EG$205^A70,IF(A70='Données projet'!$A$192,'Données projet'!$B$192,EJ69+EI70-ER69)))</f>
        <v>167.85897435897436</v>
      </c>
      <c r="EK70" s="17">
        <f>EJ70*VLOOKUP('Données projet'!$B$15,Paramètres!$A$1:$I$89,3,0)*VLOOKUP('Données projet'!$B$15,Paramètres!$A$1:$I$89,5,0)</f>
        <v>162.35320000000002</v>
      </c>
      <c r="EL70" s="13">
        <f t="shared" si="99"/>
        <v>41.372834375333397</v>
      </c>
      <c r="EM70" s="20">
        <f t="shared" si="73"/>
        <v>354.82284320370565</v>
      </c>
      <c r="EN70" s="59">
        <f t="shared" si="74"/>
        <v>627.15551967845272</v>
      </c>
      <c r="EO70" s="59">
        <f ca="1">AVERAGE(OFFSET($EN$3,0,0,'Données projet'!$E$15+1,1))-AVERAGE(OFFSET($H$3,0,0,'Données projet'!$E$15+1,1))</f>
        <v>398.06270423055565</v>
      </c>
      <c r="EP70" s="59">
        <f t="shared" si="100"/>
        <v>239.15364562040614</v>
      </c>
      <c r="EQ70" s="15">
        <f>IF(ISNA(VLOOKUP(A70,'Données projet'!$A$191:$I$211,3,0)),0,VLOOKUP(A70,'Données projet'!$A$191:$I$211,3,0))</f>
        <v>4</v>
      </c>
      <c r="ER70" s="15">
        <f>IF(ISNA(VLOOKUP(A70,'Données projet'!$A$191:$I$211,4,0)),0,VLOOKUP(A70,'Données projet'!$A$191:$I$211,4,0))</f>
        <v>31.993589743589741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64.27254812947649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-1.7053025658242404E-13</v>
      </c>
      <c r="FF70" s="17">
        <f>FE70*VLOOKUP('Données projet'!$B$16,Paramètres!$A$1:$I$89,3,0)*VLOOKUP('Données projet'!$B$16,Paramètres!$A$1:$I$89,5,0)</f>
        <v>-1.0197709343628959E-13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334.13861979962491</v>
      </c>
      <c r="FK70" s="59">
        <f t="shared" si="102"/>
        <v>416.48635183664305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130.9702961399974</v>
      </c>
      <c r="FR70" s="21">
        <f>EXP(-LN(2)/25)*FR69+(1-EXP(-LN(2)/25))/(LN(2)/25)*Calculateur!FM70*Calculateur!FO70*VLOOKUP('Données projet'!$B$16,Paramètres!$A$1:$I$89,3,0)*0.475*44/12</f>
        <v>32.58177546600497</v>
      </c>
      <c r="FS70" s="21">
        <f>EXP(-LN(2)/2)*FS69+(1-EXP(-LN(2)/2))/(LN(2)/2)*FM70*FP70*VLOOKUP('Données projet'!$B$16,Paramètres!$A$1:$I$89,3,0)*0.475*44/12</f>
        <v>0.89286309052499013</v>
      </c>
      <c r="FT70" s="22">
        <f t="shared" si="78"/>
        <v>164.44493469652735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64.27254812947649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13.737499999999997</v>
      </c>
      <c r="FZ70" s="12">
        <f>IF('Données projet'!$A$244&gt;35,FZ69+FY70-GH69,IF(A70&lt;'Données projet'!$A$244,$FW$205^A70,IF(A70='Données projet'!$A$244,'Données projet'!$B$244,FZ69+FY70-GH69)))</f>
        <v>359.00384615384615</v>
      </c>
      <c r="GA70" s="17">
        <f>FZ70*VLOOKUP('Données projet'!$B$17,Paramètres!$A$1:$I$89,3,0)*VLOOKUP('Données projet'!$B$17,Paramètres!$A$1:$I$89,5,0)</f>
        <v>168.0138</v>
      </c>
      <c r="GB70" s="13">
        <f t="shared" si="103"/>
        <v>42.644877049412187</v>
      </c>
      <c r="GC70" s="20">
        <f t="shared" si="79"/>
        <v>366.89719586105952</v>
      </c>
      <c r="GD70" s="59">
        <f t="shared" si="80"/>
        <v>639.2298723358067</v>
      </c>
      <c r="GE70" s="59">
        <f ca="1">AVERAGE(OFFSET($GD$3,0,0,'Données projet'!$E$17+1,1))-AVERAGE(OFFSET($H$3,0,0,'Données projet'!$E$17+1,1))</f>
        <v>317.79829681023142</v>
      </c>
      <c r="GF70" s="59">
        <f t="shared" si="104"/>
        <v>275.07716943523621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45.50420494678395</v>
      </c>
      <c r="GM70" s="21">
        <f>EXP(-LN(2)/25)*GM69+(1-EXP(-LN(2)/25))/(LN(2)/25)*Calculateur!GH70*Calculateur!GJ70*VLOOKUP('Données projet'!$B$17,Paramètres!$A$1:$I$89,3,0)*0.475*44/12</f>
        <v>27.10663577426666</v>
      </c>
      <c r="GN70" s="21">
        <f>EXP(-LN(2)/2)*GN69+(1-EXP(-LN(2)/2))/(LN(2)/2)*GH70*GK70*VLOOKUP('Données projet'!$B$17,Paramètres!$A$1:$I$89,3,0)*0.475*44/12</f>
        <v>1.3762876796994807</v>
      </c>
      <c r="GO70" s="21">
        <f t="shared" si="81"/>
        <v>73.987128400750095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64.27254812947649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13.296703296703283</v>
      </c>
      <c r="GU70" s="12">
        <f>IF('Données projet'!$A$270&gt;35,GU69+GT70-HC69,IF(A70&lt;'Données projet'!$A$270,$GR$205^A70,IF(A70='Données projet'!$A$270,'Données projet'!$B$270,GU69+GT70-HC69)))</f>
        <v>429.17912087912083</v>
      </c>
      <c r="GV70" s="17">
        <f>GU70*VLOOKUP('Données projet'!$B$18,Paramètres!$A$1:$I$89,3,0)*VLOOKUP('Données projet'!$B$18,Paramètres!$A$1:$I$89,5,0)</f>
        <v>239.91112857142855</v>
      </c>
      <c r="GW70" s="13">
        <f t="shared" si="105"/>
        <v>58.420408949287598</v>
      </c>
      <c r="GX70" s="20">
        <f t="shared" si="82"/>
        <v>519.59409451524732</v>
      </c>
      <c r="GY70" s="59">
        <f t="shared" si="83"/>
        <v>791.92677098999445</v>
      </c>
      <c r="GZ70" s="59">
        <f ca="1">AVERAGE(OFFSET($GY$3,0,0,'Données projet'!$E$18+1,1))-AVERAGE(OFFSET($H$3,0,0,'Données projet'!$E$18+1,1))</f>
        <v>336.21787234885699</v>
      </c>
      <c r="HA70" s="59">
        <f t="shared" si="106"/>
        <v>315.36156736899113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81.245360301180909</v>
      </c>
      <c r="HH70" s="21">
        <f>EXP(-LN(2)/25)*HH69+(1-EXP(-LN(2)/25))/(LN(2)/25)*Calculateur!HC70*Calculateur!HE70*VLOOKUP('Données projet'!$B$18,Paramètres!$A$1:$I$89,3,0)*0.475*44/12</f>
        <v>25.447230848893629</v>
      </c>
      <c r="HI70" s="21">
        <f>EXP(-LN(2)/2)*HI69+(1-EXP(-LN(2)/2))/(LN(2)/2)*HC70*HF70*VLOOKUP('Données projet'!$B$18,Paramètres!$A$1:$I$89,3,0)*0.475*44/12</f>
        <v>1.8212182514732407</v>
      </c>
      <c r="HJ70" s="22">
        <f t="shared" si="84"/>
        <v>108.51380940154777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3.7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13.566666666666668</v>
      </c>
      <c r="H71" s="67">
        <f t="shared" si="56"/>
        <v>202.4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64.371906614765976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8.1001602564102626</v>
      </c>
      <c r="N71" s="13">
        <f>IF('Données projet'!$A$36&gt;35,N70+M71-V70,IF(A71&lt;'Données projet'!$A$36,$K$205^A71,IF(A71='Données projet'!$A$36,'Données projet'!$B$36,N70+M71-V70)))</f>
        <v>219.06490384615404</v>
      </c>
      <c r="O71" s="13">
        <f>N71*VLOOKUP('Données projet'!$B$9,Paramètres!$A$1:$I$89,3,0)*VLOOKUP('Données projet'!$B$9,Paramètres!$A$1:$I$89,5,0)</f>
        <v>198.20992500000017</v>
      </c>
      <c r="P71" s="13">
        <f t="shared" si="87"/>
        <v>49.350557805795496</v>
      </c>
      <c r="Q71" s="20">
        <f t="shared" si="54"/>
        <v>431.16784088676076</v>
      </c>
      <c r="R71" s="59">
        <f t="shared" si="55"/>
        <v>703.86483180756932</v>
      </c>
      <c r="S71" s="59">
        <f ca="1">AVERAGE(OFFSET($R$3,0,0,'Données projet'!$E$9+1,1))-AVERAGE(OFFSET($H$3,0,0,'Données projet'!$E$9+1,1))</f>
        <v>411.64357329340851</v>
      </c>
      <c r="T71" s="59">
        <f t="shared" si="88"/>
        <v>294.07942258675632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11.377624225162773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11.377624225162773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64.371906614765976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8.1001602564102626</v>
      </c>
      <c r="AI71" s="13">
        <f>IF('Données projet'!$A$62&gt;35,AI70+AH71-AQ70,IF(A71&lt;'Données projet'!$A$62,$AF$205^A71,IF(A71='Données projet'!$A$62,'Données projet'!$B$62,AI70+AH71-AQ70)))</f>
        <v>219.06490384615404</v>
      </c>
      <c r="AJ71" s="13">
        <f>AI71*VLOOKUP('Données projet'!$B$10,Paramètres!$A$1:$I$89,3,0)*VLOOKUP('Données projet'!$B$10,Paramètres!$A$1:$I$89,5,0)</f>
        <v>222.13181250000019</v>
      </c>
      <c r="AK71" s="13">
        <f t="shared" si="89"/>
        <v>54.577964266842784</v>
      </c>
      <c r="AL71" s="20">
        <f t="shared" si="58"/>
        <v>481.93619453558489</v>
      </c>
      <c r="AM71" s="59">
        <f t="shared" si="59"/>
        <v>754.63318545639345</v>
      </c>
      <c r="AN71" s="59">
        <f ca="1">AVERAGE(OFFSET($AM$3,0,0,'Données projet'!$E$10+1,1))-AVERAGE(OFFSET($H$3,0,0,'Données projet'!$E$10+1,1))</f>
        <v>453.05577105995508</v>
      </c>
      <c r="AO71" s="59">
        <f t="shared" si="90"/>
        <v>322.6839824496758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12.750785769578973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12.750785769578973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64.371906614765976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4.8774928774928794</v>
      </c>
      <c r="BD71" s="12">
        <f>IF('Données projet'!$A$88&gt;35,BD70+BC71-BL70,IF(A71&lt;'Données projet'!$A$88,$BA$205^A71,IF(A71='Données projet'!$A$88,'Données projet'!$B$88,BD70+BC71-BL70)))</f>
        <v>141.24430199430211</v>
      </c>
      <c r="BE71" s="13">
        <f>BD71*VLOOKUP('Données projet'!$B$11,Paramètres!$A$1:$I$89,3,0)*VLOOKUP('Données projet'!$B$11,Paramètres!$A$1:$I$89,5,0)</f>
        <v>141.01831111111125</v>
      </c>
      <c r="BF71" s="13">
        <f t="shared" si="91"/>
        <v>36.530187783320038</v>
      </c>
      <c r="BG71" s="20">
        <f t="shared" si="61"/>
        <v>309.23030224113444</v>
      </c>
      <c r="BH71" s="59">
        <f t="shared" si="62"/>
        <v>581.927293161943</v>
      </c>
      <c r="BI71" s="59">
        <f ca="1">AVERAGE(OFFSET($BH$3,0,0,'Données projet'!$E$11+1,1))-AVERAGE(OFFSET($H$3,0,0,'Données projet'!$E$11+1,1))</f>
        <v>411.38162678377478</v>
      </c>
      <c r="BJ71" s="59">
        <f t="shared" si="92"/>
        <v>177.89903563360403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64.371906614765976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4.2</v>
      </c>
      <c r="BY71" s="12">
        <f>IF('Données projet'!$A$114&gt;35,BY70+BX71-CG70,IF(A71&lt;'Données projet'!$A$114,$BV$205^A71,IF(A71='Données projet'!$A$114,'Données projet'!$B$114,BY70+BX71-CG70)))</f>
        <v>192.59999999999997</v>
      </c>
      <c r="BZ71" s="13">
        <f>BY71*VLOOKUP('Données projet'!$B$12,Paramètres!$A$1:$I$89,3,0)*VLOOKUP('Données projet'!$B$12,Paramètres!$A$1:$I$89,5,0)</f>
        <v>201.30551999999997</v>
      </c>
      <c r="CA71" s="13">
        <f t="shared" si="93"/>
        <v>50.030972770730415</v>
      </c>
      <c r="CB71" s="20">
        <f t="shared" si="64"/>
        <v>437.74439157568872</v>
      </c>
      <c r="CC71" s="59">
        <f t="shared" si="65"/>
        <v>710.44138249649723</v>
      </c>
      <c r="CD71" s="59">
        <f ca="1">AVERAGE(OFFSET($CC$3,0,0,'Données projet'!$E$12+1,1))-AVERAGE(OFFSET($H$3,0,0,'Données projet'!$E$12+1,1))</f>
        <v>374.38550202939507</v>
      </c>
      <c r="CE71" s="59">
        <f t="shared" si="94"/>
        <v>324.37486924296718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8.134577599309754</v>
      </c>
      <c r="CL71" s="21">
        <f>EXP(-LN(2)/25)*CL70+(1-EXP(-LN(2)/25))/(LN(2)/25)*Calculateur!CG71*Calculateur!CI71*VLOOKUP('Données projet'!$B$12,Paramètres!$A$1:$I$89,3,0)*0.475*44/12</f>
        <v>15.081899655342628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23.216477254652382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64.371906614765976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5.6899038461538431</v>
      </c>
      <c r="CT71" s="12">
        <f>IF('Données projet'!$A$140&gt;35,CT70+CS71-DB70,IF(A71&lt;'Données projet'!$A$140,$CQ$205^A71,IF(A71='Données projet'!$A$140,'Données projet'!$B$140,CT70+CS71-DB70)))</f>
        <v>141.55528846153845</v>
      </c>
      <c r="CU71" s="17">
        <f>CT71*VLOOKUP('Données projet'!$B$13,Paramètres!$A$1:$I$89,3,0)*VLOOKUP('Données projet'!$B$13,Paramètres!$A$1:$I$89,5,0)</f>
        <v>134.70401249999998</v>
      </c>
      <c r="CV71" s="13">
        <f t="shared" si="95"/>
        <v>35.081059672563008</v>
      </c>
      <c r="CW71" s="20">
        <f t="shared" si="67"/>
        <v>295.70900070054716</v>
      </c>
      <c r="CX71" s="59">
        <f t="shared" si="68"/>
        <v>568.40599162135572</v>
      </c>
      <c r="CY71" s="59">
        <f ca="1">AVERAGE(OFFSET($CX$3,0,0,'Données projet'!$E$13+1,1))-AVERAGE(OFFSET($H$3,0,0,'Données projet'!$E$13+1,1))</f>
        <v>392.81074187112989</v>
      </c>
      <c r="CZ71" s="59">
        <f t="shared" si="96"/>
        <v>236.19146849073687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64.371906614765976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5.6899038461538431</v>
      </c>
      <c r="DO71" s="12">
        <f>IF('Données projet'!$A$166&gt;35,DO70+DN71-DW70,IF(A71&lt;'Données projet'!$A$166,$DL$205^A71,IF(A71='Données projet'!$A$166,'Données projet'!$B$166,DO70+DN71-DW70)))</f>
        <v>141.55528846153845</v>
      </c>
      <c r="DP71" s="17">
        <f>DO71*VLOOKUP('Données projet'!$B$14,Paramètres!$A$1:$I$89,3,0)*VLOOKUP('Données projet'!$B$14,Paramètres!$A$1:$I$89,5,0)</f>
        <v>152.3701125</v>
      </c>
      <c r="DQ71" s="13">
        <f t="shared" si="97"/>
        <v>39.116709765867299</v>
      </c>
      <c r="DR71" s="20">
        <f t="shared" si="70"/>
        <v>333.50621544638557</v>
      </c>
      <c r="DS71" s="59">
        <f t="shared" si="71"/>
        <v>606.20320636719407</v>
      </c>
      <c r="DT71" s="59">
        <f ca="1">AVERAGE(OFFSET($DS$3,0,0,'Données projet'!$E$14+1,1))-AVERAGE(OFFSET($H$3,0,0,'Données projet'!$E$14+1,1))</f>
        <v>434.77799524785502</v>
      </c>
      <c r="DU71" s="59">
        <f t="shared" si="98"/>
        <v>259.85949838170006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64.371906614765976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5.6899038461538431</v>
      </c>
      <c r="EJ71" s="12">
        <f>IF('Données projet'!$A$192&gt;35,EJ70+EI71-ER70,IF(A71&lt;'Données projet'!$A$192,$EG$205^A71,IF(A71='Données projet'!$A$192,'Données projet'!$B$192,EJ70+EI71-ER70)))</f>
        <v>141.55528846153845</v>
      </c>
      <c r="EK71" s="17">
        <f>EJ71*VLOOKUP('Données projet'!$B$15,Paramètres!$A$1:$I$89,3,0)*VLOOKUP('Données projet'!$B$15,Paramètres!$A$1:$I$89,5,0)</f>
        <v>136.91227499999999</v>
      </c>
      <c r="EL71" s="13">
        <f t="shared" si="99"/>
        <v>35.588735548256899</v>
      </c>
      <c r="EM71" s="20">
        <f t="shared" si="73"/>
        <v>300.43926003821406</v>
      </c>
      <c r="EN71" s="59">
        <f t="shared" si="74"/>
        <v>573.13625095902262</v>
      </c>
      <c r="EO71" s="59">
        <f ca="1">AVERAGE(OFFSET($EN$3,0,0,'Données projet'!$E$15+1,1))-AVERAGE(OFFSET($H$3,0,0,'Données projet'!$E$15+1,1))</f>
        <v>398.06270423055565</v>
      </c>
      <c r="EP71" s="59">
        <f t="shared" si="100"/>
        <v>239.15364562040614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64.371906614765976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-1.7053025658242404E-13</v>
      </c>
      <c r="FF71" s="17">
        <f>FE71*VLOOKUP('Données projet'!$B$16,Paramètres!$A$1:$I$89,3,0)*VLOOKUP('Données projet'!$B$16,Paramètres!$A$1:$I$89,5,0)</f>
        <v>-1.0197709343628959E-13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334.13861979962491</v>
      </c>
      <c r="FK71" s="59">
        <f t="shared" si="102"/>
        <v>416.48635183664305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128.4020485166848</v>
      </c>
      <c r="FR71" s="21">
        <f>EXP(-LN(2)/25)*FR70+(1-EXP(-LN(2)/25))/(LN(2)/25)*Calculateur!FM71*Calculateur!FO71*VLOOKUP('Données projet'!$B$16,Paramètres!$A$1:$I$89,3,0)*0.475*44/12</f>
        <v>31.69082510248596</v>
      </c>
      <c r="FS71" s="21">
        <f>EXP(-LN(2)/2)*FS70+(1-EXP(-LN(2)/2))/(LN(2)/2)*FM71*FP71*VLOOKUP('Données projet'!$B$16,Paramètres!$A$1:$I$89,3,0)*0.475*44/12</f>
        <v>0.63134954598139881</v>
      </c>
      <c r="FT71" s="22">
        <f t="shared" si="78"/>
        <v>160.72422316515215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64.371906614765976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13.737499999999997</v>
      </c>
      <c r="FZ71" s="12">
        <f>IF('Données projet'!$A$244&gt;35,FZ70+FY71-GH70,IF(A71&lt;'Données projet'!$A$244,$FW$205^A71,IF(A71='Données projet'!$A$244,'Données projet'!$B$244,FZ70+FY71-GH70)))</f>
        <v>372.74134615384617</v>
      </c>
      <c r="GA71" s="17">
        <f>FZ71*VLOOKUP('Données projet'!$B$17,Paramètres!$A$1:$I$89,3,0)*VLOOKUP('Données projet'!$B$17,Paramètres!$A$1:$I$89,5,0)</f>
        <v>174.44295000000002</v>
      </c>
      <c r="GB71" s="13">
        <f t="shared" si="103"/>
        <v>44.083597545116064</v>
      </c>
      <c r="GC71" s="20">
        <f t="shared" si="79"/>
        <v>380.60040364107721</v>
      </c>
      <c r="GD71" s="59">
        <f t="shared" si="80"/>
        <v>653.29739456188577</v>
      </c>
      <c r="GE71" s="59">
        <f ca="1">AVERAGE(OFFSET($GD$3,0,0,'Données projet'!$E$17+1,1))-AVERAGE(OFFSET($H$3,0,0,'Données projet'!$E$17+1,1))</f>
        <v>317.79829681023142</v>
      </c>
      <c r="GF71" s="59">
        <f t="shared" si="104"/>
        <v>275.07716943523621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44.611895242601975</v>
      </c>
      <c r="GM71" s="21">
        <f>EXP(-LN(2)/25)*GM70+(1-EXP(-LN(2)/25))/(LN(2)/25)*Calculateur!GH71*Calculateur!GJ71*VLOOKUP('Données projet'!$B$17,Paramètres!$A$1:$I$89,3,0)*0.475*44/12</f>
        <v>26.365403393543318</v>
      </c>
      <c r="GN71" s="21">
        <f>EXP(-LN(2)/2)*GN70+(1-EXP(-LN(2)/2))/(LN(2)/2)*GH71*GK71*VLOOKUP('Données projet'!$B$17,Paramètres!$A$1:$I$89,3,0)*0.475*44/12</f>
        <v>0.97318235117900198</v>
      </c>
      <c r="GO71" s="21">
        <f t="shared" si="81"/>
        <v>71.950480987324298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64.371906614765976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13.296703296703283</v>
      </c>
      <c r="GU71" s="12">
        <f>IF('Données projet'!$A$270&gt;35,GU70+GT71-HC70,IF(A71&lt;'Données projet'!$A$270,$GR$205^A71,IF(A71='Données projet'!$A$270,'Données projet'!$B$270,GU70+GT71-HC70)))</f>
        <v>442.47582417582413</v>
      </c>
      <c r="GV71" s="17">
        <f>GU71*VLOOKUP('Données projet'!$B$18,Paramètres!$A$1:$I$89,3,0)*VLOOKUP('Données projet'!$B$18,Paramètres!$A$1:$I$89,5,0)</f>
        <v>247.34398571428571</v>
      </c>
      <c r="GW71" s="13">
        <f t="shared" si="105"/>
        <v>60.016842302819605</v>
      </c>
      <c r="GX71" s="20">
        <f t="shared" si="82"/>
        <v>535.32010879645838</v>
      </c>
      <c r="GY71" s="59">
        <f t="shared" si="83"/>
        <v>808.017099717267</v>
      </c>
      <c r="GZ71" s="59">
        <f ca="1">AVERAGE(OFFSET($GY$3,0,0,'Données projet'!$E$18+1,1))-AVERAGE(OFFSET($H$3,0,0,'Données projet'!$E$18+1,1))</f>
        <v>336.21787234885699</v>
      </c>
      <c r="HA71" s="59">
        <f t="shared" si="106"/>
        <v>315.36156736899113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79.652188340451403</v>
      </c>
      <c r="HH71" s="21">
        <f>EXP(-LN(2)/25)*HH70+(1-EXP(-LN(2)/25))/(LN(2)/25)*Calculateur!HC71*Calculateur!HE71*VLOOKUP('Données projet'!$B$18,Paramètres!$A$1:$I$89,3,0)*0.475*44/12</f>
        <v>24.751374983118922</v>
      </c>
      <c r="HI71" s="21">
        <f>EXP(-LN(2)/2)*HI70+(1-EXP(-LN(2)/2))/(LN(2)/2)*HC71*HF71*VLOOKUP('Données projet'!$B$18,Paramètres!$A$1:$I$89,3,0)*0.475*44/12</f>
        <v>1.2877957756374356</v>
      </c>
      <c r="HJ71" s="22">
        <f t="shared" si="84"/>
        <v>105.69135909920776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3.7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13.566666666666668</v>
      </c>
      <c r="H72" s="67">
        <f t="shared" si="56"/>
        <v>202.4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64.469541452467979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8.1001602564102626</v>
      </c>
      <c r="N72" s="13">
        <f>IF('Données projet'!$A$36&gt;35,N71+M72-V71,IF(A72&lt;'Données projet'!$A$36,$K$205^A72,IF(A72='Données projet'!$A$36,'Données projet'!$B$36,N71+M72-V71)))</f>
        <v>227.16506410256432</v>
      </c>
      <c r="O72" s="13">
        <f>N72*VLOOKUP('Données projet'!$B$9,Paramètres!$A$1:$I$89,3,0)*VLOOKUP('Données projet'!$B$9,Paramètres!$A$1:$I$89,5,0)</f>
        <v>205.53895000000017</v>
      </c>
      <c r="P72" s="13">
        <f t="shared" si="87"/>
        <v>50.959519142478193</v>
      </c>
      <c r="Q72" s="20">
        <f t="shared" si="54"/>
        <v>446.73483375648311</v>
      </c>
      <c r="R72" s="59">
        <f t="shared" si="55"/>
        <v>719.78981908219907</v>
      </c>
      <c r="S72" s="59">
        <f ca="1">AVERAGE(OFFSET($R$3,0,0,'Données projet'!$E$9+1,1))-AVERAGE(OFFSET($H$3,0,0,'Données projet'!$E$9+1,1))</f>
        <v>411.64357329340851</v>
      </c>
      <c r="T72" s="59">
        <f t="shared" si="88"/>
        <v>294.07942258675632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11.154515953772874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11.154515953772874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64.469541452467979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8.1001602564102626</v>
      </c>
      <c r="AI72" s="13">
        <f>IF('Données projet'!$A$62&gt;35,AI71+AH72-AQ71,IF(A72&lt;'Données projet'!$A$62,$AF$205^A72,IF(A72='Données projet'!$A$62,'Données projet'!$B$62,AI71+AH72-AQ71)))</f>
        <v>227.16506410256432</v>
      </c>
      <c r="AJ72" s="13">
        <f>AI72*VLOOKUP('Données projet'!$B$10,Paramètres!$A$1:$I$89,3,0)*VLOOKUP('Données projet'!$B$10,Paramètres!$A$1:$I$89,5,0)</f>
        <v>230.34537500000025</v>
      </c>
      <c r="AK72" s="13">
        <f t="shared" si="89"/>
        <v>56.35735315816531</v>
      </c>
      <c r="AL72" s="20">
        <f t="shared" si="58"/>
        <v>499.34058487547162</v>
      </c>
      <c r="AM72" s="59">
        <f t="shared" si="59"/>
        <v>772.39557020118752</v>
      </c>
      <c r="AN72" s="59">
        <f ca="1">AVERAGE(OFFSET($AM$3,0,0,'Données projet'!$E$10+1,1))-AVERAGE(OFFSET($H$3,0,0,'Données projet'!$E$10+1,1))</f>
        <v>453.05577105995508</v>
      </c>
      <c r="AO72" s="59">
        <f t="shared" si="90"/>
        <v>322.6839824496758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12.500750637848913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12.500750637848913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64.469541452467979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146.12179487179489</v>
      </c>
      <c r="BB72" s="12">
        <f>VLOOKUP(A72,'Données projet'!$A$87:$I$107,9,0)</f>
        <v>4.8774928774928794</v>
      </c>
      <c r="BC72" s="12">
        <f t="array" ref="BC72">INDEX(BB:BB,MIN(IF(ISNUMBER(BB72:BB268),ROW(BB72:BB268),"")))</f>
        <v>4.8774928774928794</v>
      </c>
      <c r="BD72" s="12">
        <f>IF('Données projet'!$A$88&gt;35,BD71+BC72-BL71,IF(A72&lt;'Données projet'!$A$88,$BA$205^A72,IF(A72='Données projet'!$A$88,'Données projet'!$B$88,BD71+BC72-BL71)))</f>
        <v>146.12179487179498</v>
      </c>
      <c r="BE72" s="13">
        <f>BD72*VLOOKUP('Données projet'!$B$11,Paramètres!$A$1:$I$89,3,0)*VLOOKUP('Données projet'!$B$11,Paramètres!$A$1:$I$89,5,0)</f>
        <v>145.88800000000012</v>
      </c>
      <c r="BF72" s="13">
        <f t="shared" si="91"/>
        <v>37.642612531170649</v>
      </c>
      <c r="BG72" s="20">
        <f t="shared" si="61"/>
        <v>319.64915015845571</v>
      </c>
      <c r="BH72" s="59">
        <f t="shared" si="62"/>
        <v>592.70413548417162</v>
      </c>
      <c r="BI72" s="59">
        <f ca="1">AVERAGE(OFFSET($BH$3,0,0,'Données projet'!$E$11+1,1))-AVERAGE(OFFSET($H$3,0,0,'Données projet'!$E$11+1,1))</f>
        <v>411.38162678377478</v>
      </c>
      <c r="BJ72" s="59">
        <f t="shared" si="92"/>
        <v>177.89903563360403</v>
      </c>
      <c r="BK72" s="15">
        <f>IF(ISNA(VLOOKUP(A72,'Données projet'!$A$87:$I$107,3,0)),0,VLOOKUP(A72,'Données projet'!$A$87:$I$107,3,0))</f>
        <v>2</v>
      </c>
      <c r="BL72" s="15">
        <f>IF(ISNA(VLOOKUP(A72,'Données projet'!$A$87:$I$107,4,0)),0,VLOOKUP(A72,'Données projet'!$A$87:$I$107,4,0))</f>
        <v>32.807692307692307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64.469541452467979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4.2</v>
      </c>
      <c r="BY72" s="12">
        <f>IF('Données projet'!$A$114&gt;35,BY71+BX72-CG71,IF(A72&lt;'Données projet'!$A$114,$BV$205^A72,IF(A72='Données projet'!$A$114,'Données projet'!$B$114,BY71+BX72-CG71)))</f>
        <v>196.79999999999995</v>
      </c>
      <c r="BZ72" s="13">
        <f>BY72*VLOOKUP('Données projet'!$B$12,Paramètres!$A$1:$I$89,3,0)*VLOOKUP('Données projet'!$B$12,Paramètres!$A$1:$I$89,5,0)</f>
        <v>205.69535999999997</v>
      </c>
      <c r="CA72" s="13">
        <f t="shared" si="93"/>
        <v>50.993782678591273</v>
      </c>
      <c r="CB72" s="20">
        <f t="shared" si="64"/>
        <v>447.06692349854637</v>
      </c>
      <c r="CC72" s="59">
        <f t="shared" si="65"/>
        <v>720.12190882426228</v>
      </c>
      <c r="CD72" s="59">
        <f ca="1">AVERAGE(OFFSET($CC$3,0,0,'Données projet'!$E$12+1,1))-AVERAGE(OFFSET($H$3,0,0,'Données projet'!$E$12+1,1))</f>
        <v>374.38550202939507</v>
      </c>
      <c r="CE72" s="59">
        <f t="shared" si="94"/>
        <v>324.37486924296718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7.9750634941897074</v>
      </c>
      <c r="CL72" s="21">
        <f>EXP(-LN(2)/25)*CL71+(1-EXP(-LN(2)/25))/(LN(2)/25)*Calculateur!CG72*Calculateur!CI72*VLOOKUP('Données projet'!$B$12,Paramètres!$A$1:$I$89,3,0)*0.475*44/12</f>
        <v>14.669484316144651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22.644547810334359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64.469541452467979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5.6899038461538431</v>
      </c>
      <c r="CT72" s="12">
        <f>IF('Données projet'!$A$140&gt;35,CT71+CS72-DB71,IF(A72&lt;'Données projet'!$A$140,$CQ$205^A72,IF(A72='Données projet'!$A$140,'Données projet'!$B$140,CT71+CS72-DB71)))</f>
        <v>147.24519230769229</v>
      </c>
      <c r="CU72" s="17">
        <f>CT72*VLOOKUP('Données projet'!$B$13,Paramètres!$A$1:$I$89,3,0)*VLOOKUP('Données projet'!$B$13,Paramètres!$A$1:$I$89,5,0)</f>
        <v>140.11852499999998</v>
      </c>
      <c r="CV72" s="13">
        <f t="shared" si="95"/>
        <v>36.324156570678291</v>
      </c>
      <c r="CW72" s="20">
        <f t="shared" si="67"/>
        <v>307.30433706893126</v>
      </c>
      <c r="CX72" s="59">
        <f t="shared" si="68"/>
        <v>580.35932239464717</v>
      </c>
      <c r="CY72" s="59">
        <f ca="1">AVERAGE(OFFSET($CX$3,0,0,'Données projet'!$E$13+1,1))-AVERAGE(OFFSET($H$3,0,0,'Données projet'!$E$13+1,1))</f>
        <v>392.81074187112989</v>
      </c>
      <c r="CZ72" s="59">
        <f t="shared" si="96"/>
        <v>236.19146849073687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64.469541452467979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5.6899038461538431</v>
      </c>
      <c r="DO72" s="12">
        <f>IF('Données projet'!$A$166&gt;35,DO71+DN72-DW71,IF(A72&lt;'Données projet'!$A$166,$DL$205^A72,IF(A72='Données projet'!$A$166,'Données projet'!$B$166,DO71+DN72-DW71)))</f>
        <v>147.24519230769229</v>
      </c>
      <c r="DP72" s="17">
        <f>DO72*VLOOKUP('Données projet'!$B$14,Paramètres!$A$1:$I$89,3,0)*VLOOKUP('Données projet'!$B$14,Paramètres!$A$1:$I$89,5,0)</f>
        <v>158.49472499999999</v>
      </c>
      <c r="DQ72" s="13">
        <f t="shared" si="97"/>
        <v>40.502809873112795</v>
      </c>
      <c r="DR72" s="20">
        <f t="shared" si="70"/>
        <v>346.58737323733811</v>
      </c>
      <c r="DS72" s="59">
        <f t="shared" si="71"/>
        <v>619.64235856305402</v>
      </c>
      <c r="DT72" s="59">
        <f ca="1">AVERAGE(OFFSET($DS$3,0,0,'Données projet'!$E$14+1,1))-AVERAGE(OFFSET($H$3,0,0,'Données projet'!$E$14+1,1))</f>
        <v>434.77799524785502</v>
      </c>
      <c r="DU72" s="59">
        <f t="shared" si="98"/>
        <v>259.85949838170006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64.469541452467979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5.6899038461538431</v>
      </c>
      <c r="EJ72" s="12">
        <f>IF('Données projet'!$A$192&gt;35,EJ71+EI72-ER71,IF(A72&lt;'Données projet'!$A$192,$EG$205^A72,IF(A72='Données projet'!$A$192,'Données projet'!$B$192,EJ71+EI72-ER71)))</f>
        <v>147.24519230769229</v>
      </c>
      <c r="EK72" s="17">
        <f>EJ72*VLOOKUP('Données projet'!$B$15,Paramètres!$A$1:$I$89,3,0)*VLOOKUP('Données projet'!$B$15,Paramètres!$A$1:$I$89,5,0)</f>
        <v>142.41555</v>
      </c>
      <c r="EL72" s="13">
        <f t="shared" si="99"/>
        <v>36.849821934495218</v>
      </c>
      <c r="EM72" s="20">
        <f t="shared" si="73"/>
        <v>312.22052278591252</v>
      </c>
      <c r="EN72" s="59">
        <f t="shared" si="74"/>
        <v>585.27550811162837</v>
      </c>
      <c r="EO72" s="59">
        <f ca="1">AVERAGE(OFFSET($EN$3,0,0,'Données projet'!$E$15+1,1))-AVERAGE(OFFSET($H$3,0,0,'Données projet'!$E$15+1,1))</f>
        <v>398.06270423055565</v>
      </c>
      <c r="EP72" s="59">
        <f t="shared" si="100"/>
        <v>239.15364562040614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64.469541452467979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-1.7053025658242404E-13</v>
      </c>
      <c r="FF72" s="17">
        <f>FE72*VLOOKUP('Données projet'!$B$16,Paramètres!$A$1:$I$89,3,0)*VLOOKUP('Données projet'!$B$16,Paramètres!$A$1:$I$89,5,0)</f>
        <v>-1.0197709343628959E-13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334.13861979962491</v>
      </c>
      <c r="FK72" s="59">
        <f t="shared" si="102"/>
        <v>416.48635183664305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125.884162662789</v>
      </c>
      <c r="FR72" s="21">
        <f>EXP(-LN(2)/25)*FR71+(1-EXP(-LN(2)/25))/(LN(2)/25)*Calculateur!FM72*Calculateur!FO72*VLOOKUP('Données projet'!$B$16,Paramètres!$A$1:$I$89,3,0)*0.475*44/12</f>
        <v>30.824237823510419</v>
      </c>
      <c r="FS72" s="21">
        <f>EXP(-LN(2)/2)*FS71+(1-EXP(-LN(2)/2))/(LN(2)/2)*FM72*FP72*VLOOKUP('Données projet'!$B$16,Paramètres!$A$1:$I$89,3,0)*0.475*44/12</f>
        <v>0.44643154526249512</v>
      </c>
      <c r="FT72" s="22">
        <f t="shared" si="78"/>
        <v>157.15483203156191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64.469541452467979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13.737499999999997</v>
      </c>
      <c r="FZ72" s="12">
        <f>IF('Données projet'!$A$244&gt;35,FZ71+FY72-GH71,IF(A72&lt;'Données projet'!$A$244,$FW$205^A72,IF(A72='Données projet'!$A$244,'Données projet'!$B$244,FZ71+FY72-GH71)))</f>
        <v>386.47884615384618</v>
      </c>
      <c r="GA72" s="17">
        <f>FZ72*VLOOKUP('Données projet'!$B$17,Paramètres!$A$1:$I$89,3,0)*VLOOKUP('Données projet'!$B$17,Paramètres!$A$1:$I$89,5,0)</f>
        <v>180.87209999999999</v>
      </c>
      <c r="GB72" s="13">
        <f t="shared" si="103"/>
        <v>45.516157736157588</v>
      </c>
      <c r="GC72" s="20">
        <f t="shared" si="79"/>
        <v>394.29288222380774</v>
      </c>
      <c r="GD72" s="59">
        <f t="shared" si="80"/>
        <v>667.3478675495237</v>
      </c>
      <c r="GE72" s="59">
        <f ca="1">AVERAGE(OFFSET($GD$3,0,0,'Données projet'!$E$17+1,1))-AVERAGE(OFFSET($H$3,0,0,'Données projet'!$E$17+1,1))</f>
        <v>317.79829681023142</v>
      </c>
      <c r="GF72" s="59">
        <f t="shared" si="104"/>
        <v>275.07716943523621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43.737083187463824</v>
      </c>
      <c r="GM72" s="21">
        <f>EXP(-LN(2)/25)*GM71+(1-EXP(-LN(2)/25))/(LN(2)/25)*Calculateur!GH72*Calculateur!GJ72*VLOOKUP('Données projet'!$B$17,Paramètres!$A$1:$I$89,3,0)*0.475*44/12</f>
        <v>25.644440051250569</v>
      </c>
      <c r="GN72" s="21">
        <f>EXP(-LN(2)/2)*GN71+(1-EXP(-LN(2)/2))/(LN(2)/2)*GH72*GK72*VLOOKUP('Données projet'!$B$17,Paramètres!$A$1:$I$89,3,0)*0.475*44/12</f>
        <v>0.68814383984974048</v>
      </c>
      <c r="GO72" s="21">
        <f t="shared" si="81"/>
        <v>70.069667078564137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64.469541452467979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13.296703296703283</v>
      </c>
      <c r="GU72" s="12">
        <f>IF('Données projet'!$A$270&gt;35,GU71+GT72-HC71,IF(A72&lt;'Données projet'!$A$270,$GR$205^A72,IF(A72='Données projet'!$A$270,'Données projet'!$B$270,GU71+GT72-HC71)))</f>
        <v>455.77252747252743</v>
      </c>
      <c r="GV72" s="17">
        <f>GU72*VLOOKUP('Données projet'!$B$18,Paramètres!$A$1:$I$89,3,0)*VLOOKUP('Données projet'!$B$18,Paramètres!$A$1:$I$89,5,0)</f>
        <v>254.77684285714284</v>
      </c>
      <c r="GW72" s="13">
        <f t="shared" si="105"/>
        <v>61.607700360287495</v>
      </c>
      <c r="GX72" s="20">
        <f t="shared" si="82"/>
        <v>551.03641277035774</v>
      </c>
      <c r="GY72" s="59">
        <f t="shared" si="83"/>
        <v>824.09139809607359</v>
      </c>
      <c r="GZ72" s="59">
        <f ca="1">AVERAGE(OFFSET($GY$3,0,0,'Données projet'!$E$18+1,1))-AVERAGE(OFFSET($H$3,0,0,'Données projet'!$E$18+1,1))</f>
        <v>336.21787234885699</v>
      </c>
      <c r="HA72" s="59">
        <f t="shared" si="106"/>
        <v>315.36156736899113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78.090257510132858</v>
      </c>
      <c r="HH72" s="21">
        <f>EXP(-LN(2)/25)*HH71+(1-EXP(-LN(2)/25))/(LN(2)/25)*Calculateur!HC72*Calculateur!HE72*VLOOKUP('Données projet'!$B$18,Paramètres!$A$1:$I$89,3,0)*0.475*44/12</f>
        <v>24.074547332587294</v>
      </c>
      <c r="HI72" s="21">
        <f>EXP(-LN(2)/2)*HI71+(1-EXP(-LN(2)/2))/(LN(2)/2)*HC72*HF72*VLOOKUP('Données projet'!$B$18,Paramètres!$A$1:$I$89,3,0)*0.475*44/12</f>
        <v>0.91060912573662056</v>
      </c>
      <c r="HJ72" s="22">
        <f t="shared" si="84"/>
        <v>103.07541396845677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3.7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13.566666666666668</v>
      </c>
      <c r="H73" s="67">
        <f t="shared" si="56"/>
        <v>202.4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64.565482544014642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8.1001602564102626</v>
      </c>
      <c r="N73" s="13">
        <f>IF('Données projet'!$A$36&gt;35,N72+M73-V72,IF(A73&lt;'Données projet'!$A$36,$K$205^A73,IF(A73='Données projet'!$A$36,'Données projet'!$B$36,N72+M73-V72)))</f>
        <v>235.26522435897459</v>
      </c>
      <c r="O73" s="13">
        <f>N73*VLOOKUP('Données projet'!$B$9,Paramètres!$A$1:$I$89,3,0)*VLOOKUP('Données projet'!$B$9,Paramètres!$A$1:$I$89,5,0)</f>
        <v>212.8679750000002</v>
      </c>
      <c r="P73" s="13">
        <f t="shared" si="87"/>
        <v>52.561814761455608</v>
      </c>
      <c r="Q73" s="20">
        <f t="shared" si="54"/>
        <v>462.29021716786883</v>
      </c>
      <c r="R73" s="59">
        <f t="shared" si="55"/>
        <v>735.6969864959226</v>
      </c>
      <c r="S73" s="59">
        <f ca="1">AVERAGE(OFFSET($R$3,0,0,'Données projet'!$E$9+1,1))-AVERAGE(OFFSET($H$3,0,0,'Données projet'!$E$9+1,1))</f>
        <v>411.64357329340851</v>
      </c>
      <c r="T73" s="59">
        <f t="shared" si="88"/>
        <v>294.07942258675632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10.935782699502322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10.935782699502322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64.565482544014642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8.1001602564102626</v>
      </c>
      <c r="AI73" s="13">
        <f>IF('Données projet'!$A$62&gt;35,AI72+AH73-AQ72,IF(A73&lt;'Données projet'!$A$62,$AF$205^A73,IF(A73='Données projet'!$A$62,'Données projet'!$B$62,AI72+AH73-AQ72)))</f>
        <v>235.26522435897459</v>
      </c>
      <c r="AJ73" s="13">
        <f>AI73*VLOOKUP('Données projet'!$B$10,Paramètres!$A$1:$I$89,3,0)*VLOOKUP('Données projet'!$B$10,Paramètres!$A$1:$I$89,5,0)</f>
        <v>238.55893750000027</v>
      </c>
      <c r="AK73" s="13">
        <f t="shared" si="89"/>
        <v>58.129370272573652</v>
      </c>
      <c r="AL73" s="20">
        <f t="shared" si="58"/>
        <v>516.73213603723286</v>
      </c>
      <c r="AM73" s="59">
        <f t="shared" si="59"/>
        <v>790.13890536528652</v>
      </c>
      <c r="AN73" s="59">
        <f ca="1">AVERAGE(OFFSET($AM$3,0,0,'Données projet'!$E$10+1,1))-AVERAGE(OFFSET($H$3,0,0,'Données projet'!$E$10+1,1))</f>
        <v>453.05577105995508</v>
      </c>
      <c r="AO73" s="59">
        <f t="shared" si="90"/>
        <v>322.6839824496758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12.255618542545708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12.255618542545708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64.565482544014642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4.7339743589743559</v>
      </c>
      <c r="BD73" s="12">
        <f>IF('Données projet'!$A$88&gt;35,BD72+BC73-BL72,IF(A73&lt;'Données projet'!$A$88,$BA$205^A73,IF(A73='Données projet'!$A$88,'Données projet'!$B$88,BD72+BC73-BL72)))</f>
        <v>118.04807692307703</v>
      </c>
      <c r="BE73" s="13">
        <f>BD73*VLOOKUP('Données projet'!$B$11,Paramètres!$A$1:$I$89,3,0)*VLOOKUP('Données projet'!$B$11,Paramètres!$A$1:$I$89,5,0)</f>
        <v>117.85920000000011</v>
      </c>
      <c r="BF73" s="13">
        <f t="shared" si="91"/>
        <v>31.175170951565157</v>
      </c>
      <c r="BG73" s="20">
        <f t="shared" si="61"/>
        <v>259.56819607397614</v>
      </c>
      <c r="BH73" s="59">
        <f t="shared" si="62"/>
        <v>532.97496540202985</v>
      </c>
      <c r="BI73" s="59">
        <f ca="1">AVERAGE(OFFSET($BH$3,0,0,'Données projet'!$E$11+1,1))-AVERAGE(OFFSET($H$3,0,0,'Données projet'!$E$11+1,1))</f>
        <v>411.38162678377478</v>
      </c>
      <c r="BJ73" s="59">
        <f t="shared" si="92"/>
        <v>177.89903563360403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64.565482544014642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201</v>
      </c>
      <c r="BW73" s="12">
        <f>VLOOKUP(A73,'Données projet'!$A$113:$I$133,9,0)</f>
        <v>4.2</v>
      </c>
      <c r="BX73" s="12">
        <f t="array" ref="BX73">INDEX(BW:BW,MIN(IF(ISNUMBER(BW73:BW269),ROW(BW73:BW269),"")))</f>
        <v>4.2</v>
      </c>
      <c r="BY73" s="12">
        <f>IF('Données projet'!$A$114&gt;35,BY72+BX73-CG72,IF(A73&lt;'Données projet'!$A$114,$BV$205^A73,IF(A73='Données projet'!$A$114,'Données projet'!$B$114,BY72+BX73-CG72)))</f>
        <v>200.99999999999994</v>
      </c>
      <c r="BZ73" s="13">
        <f>BY73*VLOOKUP('Données projet'!$B$12,Paramètres!$A$1:$I$89,3,0)*VLOOKUP('Données projet'!$B$12,Paramètres!$A$1:$I$89,5,0)</f>
        <v>210.08519999999993</v>
      </c>
      <c r="CA73" s="13">
        <f t="shared" si="93"/>
        <v>51.954203602341089</v>
      </c>
      <c r="CB73" s="20">
        <f t="shared" si="64"/>
        <v>456.38529460741051</v>
      </c>
      <c r="CC73" s="59">
        <f t="shared" si="65"/>
        <v>729.79206393546428</v>
      </c>
      <c r="CD73" s="59">
        <f ca="1">AVERAGE(OFFSET($CC$3,0,0,'Données projet'!$E$12+1,1))-AVERAGE(OFFSET($H$3,0,0,'Données projet'!$E$12+1,1))</f>
        <v>374.38550202939507</v>
      </c>
      <c r="CE73" s="59">
        <f t="shared" si="94"/>
        <v>324.37486924296718</v>
      </c>
      <c r="CF73" s="15">
        <f>IF(ISNA(VLOOKUP(A73,'Données projet'!$A$113:$I$133,3,0)),0,VLOOKUP(A73,'Données projet'!$A$113:$I$133,3,0))</f>
        <v>11</v>
      </c>
      <c r="CG73" s="15" t="str">
        <f>IF(ISNA(VLOOKUP(A73,'Données projet'!$A$113:$I$133,4,0)),0,VLOOKUP(A73,'Données projet'!$A$113:$I$133,4,0))</f>
        <v>14</v>
      </c>
      <c r="CH73" s="16">
        <f>IF(ISNA(VLOOKUP(A73,'Données projet'!$A$113:$I$133,5,0)),0%,VLOOKUP(A73,'Données projet'!$A$113:$I$133,5,0)*VLOOKUP('Données projet'!$B$12,Paramètres!$A$1:$I$89,7,0))</f>
        <v>0.17200000000000001</v>
      </c>
      <c r="CI73" s="16">
        <f>IF(ISNA(VLOOKUP(A73,'Données projet'!$A$113:$I$133,6,0)),0%,VLOOKUP(A73,'Données projet'!$A$113:$I$133,6,0)*VLOOKUP('Données projet'!$B$12,Paramètres!$A$1:$I$89,7,0))</f>
        <v>0.17200000000000001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10.600971202153387</v>
      </c>
      <c r="CL73" s="21">
        <f>EXP(-LN(2)/25)*CL72+(1-EXP(-LN(2)/25))/(LN(2)/25)*Calculateur!CG73*Calculateur!CI73*VLOOKUP('Données projet'!$B$12,Paramètres!$A$1:$I$89,3,0)*0.475*44/12</f>
        <v>17.039685383881015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27.640656586034403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64.565482544014642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5.6899038461538431</v>
      </c>
      <c r="CT73" s="12">
        <f>IF('Données projet'!$A$140&gt;35,CT72+CS73-DB72,IF(A73&lt;'Données projet'!$A$140,$CQ$205^A73,IF(A73='Données projet'!$A$140,'Données projet'!$B$140,CT72+CS73-DB72)))</f>
        <v>152.93509615384613</v>
      </c>
      <c r="CU73" s="17">
        <f>CT73*VLOOKUP('Données projet'!$B$13,Paramètres!$A$1:$I$89,3,0)*VLOOKUP('Données projet'!$B$13,Paramètres!$A$1:$I$89,5,0)</f>
        <v>145.53303749999998</v>
      </c>
      <c r="CV73" s="13">
        <f t="shared" si="95"/>
        <v>37.5616731426231</v>
      </c>
      <c r="CW73" s="20">
        <f t="shared" si="67"/>
        <v>318.88995436923523</v>
      </c>
      <c r="CX73" s="59">
        <f t="shared" si="68"/>
        <v>592.29672369728894</v>
      </c>
      <c r="CY73" s="59">
        <f ca="1">AVERAGE(OFFSET($CX$3,0,0,'Données projet'!$E$13+1,1))-AVERAGE(OFFSET($H$3,0,0,'Données projet'!$E$13+1,1))</f>
        <v>392.81074187112989</v>
      </c>
      <c r="CZ73" s="59">
        <f t="shared" si="96"/>
        <v>236.19146849073687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64.565482544014642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5.6899038461538431</v>
      </c>
      <c r="DO73" s="12">
        <f>IF('Données projet'!$A$166&gt;35,DO72+DN73-DW72,IF(A73&lt;'Données projet'!$A$166,$DL$205^A73,IF(A73='Données projet'!$A$166,'Données projet'!$B$166,DO72+DN73-DW72)))</f>
        <v>152.93509615384613</v>
      </c>
      <c r="DP73" s="17">
        <f>DO73*VLOOKUP('Données projet'!$B$14,Paramètres!$A$1:$I$89,3,0)*VLOOKUP('Données projet'!$B$14,Paramètres!$A$1:$I$89,5,0)</f>
        <v>164.61933749999997</v>
      </c>
      <c r="DQ73" s="13">
        <f t="shared" si="97"/>
        <v>41.882687705397203</v>
      </c>
      <c r="DR73" s="20">
        <f t="shared" si="70"/>
        <v>359.65769389940004</v>
      </c>
      <c r="DS73" s="59">
        <f t="shared" si="71"/>
        <v>633.06446322745376</v>
      </c>
      <c r="DT73" s="59">
        <f ca="1">AVERAGE(OFFSET($DS$3,0,0,'Données projet'!$E$14+1,1))-AVERAGE(OFFSET($H$3,0,0,'Données projet'!$E$14+1,1))</f>
        <v>434.77799524785502</v>
      </c>
      <c r="DU73" s="59">
        <f t="shared" si="98"/>
        <v>259.85949838170006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64.565482544014642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5.6899038461538431</v>
      </c>
      <c r="EJ73" s="12">
        <f>IF('Données projet'!$A$192&gt;35,EJ72+EI73-ER72,IF(A73&lt;'Données projet'!$A$192,$EG$205^A73,IF(A73='Données projet'!$A$192,'Données projet'!$B$192,EJ72+EI73-ER72)))</f>
        <v>152.93509615384613</v>
      </c>
      <c r="EK73" s="17">
        <f>EJ73*VLOOKUP('Données projet'!$B$15,Paramètres!$A$1:$I$89,3,0)*VLOOKUP('Données projet'!$B$15,Paramètres!$A$1:$I$89,5,0)</f>
        <v>147.91882499999997</v>
      </c>
      <c r="EL73" s="13">
        <f t="shared" si="99"/>
        <v>38.105247238821875</v>
      </c>
      <c r="EM73" s="20">
        <f t="shared" si="73"/>
        <v>323.99192581594804</v>
      </c>
      <c r="EN73" s="59">
        <f t="shared" si="74"/>
        <v>597.39869514400175</v>
      </c>
      <c r="EO73" s="59">
        <f ca="1">AVERAGE(OFFSET($EN$3,0,0,'Données projet'!$E$15+1,1))-AVERAGE(OFFSET($H$3,0,0,'Données projet'!$E$15+1,1))</f>
        <v>398.06270423055565</v>
      </c>
      <c r="EP73" s="59">
        <f t="shared" si="100"/>
        <v>239.15364562040614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64.565482544014642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-1.7053025658242404E-13</v>
      </c>
      <c r="FF73" s="17">
        <f>FE73*VLOOKUP('Données projet'!$B$16,Paramètres!$A$1:$I$89,3,0)*VLOOKUP('Données projet'!$B$16,Paramètres!$A$1:$I$89,5,0)</f>
        <v>-1.0197709343628959E-13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334.13861979962491</v>
      </c>
      <c r="FK73" s="59">
        <f t="shared" si="102"/>
        <v>416.48635183664305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123.41565101472936</v>
      </c>
      <c r="FR73" s="21">
        <f>EXP(-LN(2)/25)*FR72+(1-EXP(-LN(2)/25))/(LN(2)/25)*Calculateur!FM73*Calculateur!FO73*VLOOKUP('Données projet'!$B$16,Paramètres!$A$1:$I$89,3,0)*0.475*44/12</f>
        <v>29.981347419250309</v>
      </c>
      <c r="FS73" s="21">
        <f>EXP(-LN(2)/2)*FS72+(1-EXP(-LN(2)/2))/(LN(2)/2)*FM73*FP73*VLOOKUP('Données projet'!$B$16,Paramètres!$A$1:$I$89,3,0)*0.475*44/12</f>
        <v>0.31567477299069946</v>
      </c>
      <c r="FT73" s="22">
        <f t="shared" si="78"/>
        <v>153.71267320697035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64.565482544014642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13.737499999999997</v>
      </c>
      <c r="FZ73" s="12">
        <f>IF('Données projet'!$A$244&gt;35,FZ72+FY73-GH72,IF(A73&lt;'Données projet'!$A$244,$FW$205^A73,IF(A73='Données projet'!$A$244,'Données projet'!$B$244,FZ72+FY73-GH72)))</f>
        <v>400.21634615384619</v>
      </c>
      <c r="GA73" s="17">
        <f>FZ73*VLOOKUP('Données projet'!$B$17,Paramètres!$A$1:$I$89,3,0)*VLOOKUP('Données projet'!$B$17,Paramètres!$A$1:$I$89,5,0)</f>
        <v>187.30125000000001</v>
      </c>
      <c r="GB73" s="13">
        <f t="shared" si="103"/>
        <v>46.942801679870392</v>
      </c>
      <c r="GC73" s="20">
        <f t="shared" si="79"/>
        <v>407.97505667577428</v>
      </c>
      <c r="GD73" s="59">
        <f t="shared" si="80"/>
        <v>681.381826003828</v>
      </c>
      <c r="GE73" s="59">
        <f ca="1">AVERAGE(OFFSET($GD$3,0,0,'Données projet'!$E$17+1,1))-AVERAGE(OFFSET($H$3,0,0,'Données projet'!$E$17+1,1))</f>
        <v>317.79829681023142</v>
      </c>
      <c r="GF73" s="59">
        <f t="shared" si="104"/>
        <v>275.07716943523621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42.879425663144268</v>
      </c>
      <c r="GM73" s="21">
        <f>EXP(-LN(2)/25)*GM72+(1-EXP(-LN(2)/25))/(LN(2)/25)*Calculateur!GH73*Calculateur!GJ73*VLOOKUP('Données projet'!$B$17,Paramètres!$A$1:$I$89,3,0)*0.475*44/12</f>
        <v>24.943191489466631</v>
      </c>
      <c r="GN73" s="21">
        <f>EXP(-LN(2)/2)*GN72+(1-EXP(-LN(2)/2))/(LN(2)/2)*GH73*GK73*VLOOKUP('Données projet'!$B$17,Paramètres!$A$1:$I$89,3,0)*0.475*44/12</f>
        <v>0.4865911755895011</v>
      </c>
      <c r="GO73" s="21">
        <f t="shared" si="81"/>
        <v>68.309208328200398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64.565482544014642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469.06923076923073</v>
      </c>
      <c r="GS73" s="12">
        <f>VLOOKUP(A73,'Données projet'!$A$269:$I$289,9,0)</f>
        <v>13.296703296703283</v>
      </c>
      <c r="GT73" s="12">
        <f t="array" ref="GT73">INDEX(GS:GS,MIN(IF(ISNUMBER(GS73:GS269),ROW(GS73:GS269),"")))</f>
        <v>13.296703296703283</v>
      </c>
      <c r="GU73" s="12">
        <f>IF('Données projet'!$A$270&gt;35,GU72+GT73-HC72,IF(A73&lt;'Données projet'!$A$270,$GR$205^A73,IF(A73='Données projet'!$A$270,'Données projet'!$B$270,GU72+GT73-HC72)))</f>
        <v>469.06923076923073</v>
      </c>
      <c r="GV73" s="17">
        <f>GU73*VLOOKUP('Données projet'!$B$18,Paramètres!$A$1:$I$89,3,0)*VLOOKUP('Données projet'!$B$18,Paramètres!$A$1:$I$89,5,0)</f>
        <v>262.2097</v>
      </c>
      <c r="GW73" s="13">
        <f t="shared" si="105"/>
        <v>63.193164452376628</v>
      </c>
      <c r="GX73" s="20">
        <f t="shared" si="82"/>
        <v>566.74332225455589</v>
      </c>
      <c r="GY73" s="59">
        <f t="shared" si="83"/>
        <v>840.15009158260955</v>
      </c>
      <c r="GZ73" s="59">
        <f ca="1">AVERAGE(OFFSET($GY$3,0,0,'Données projet'!$E$18+1,1))-AVERAGE(OFFSET($H$3,0,0,'Données projet'!$E$18+1,1))</f>
        <v>336.21787234885699</v>
      </c>
      <c r="HA73" s="59">
        <f t="shared" si="106"/>
        <v>315.36156736899113</v>
      </c>
      <c r="HB73" s="15">
        <f>IF(ISNA(VLOOKUP(A73,'Données projet'!$A$269:$I$289,3,0)),0,VLOOKUP(A73,'Données projet'!$A$269:$I$289,3,0))</f>
        <v>8</v>
      </c>
      <c r="HC73" s="15">
        <f>IF(ISNA(VLOOKUP(A73,'Données projet'!$A$269:$I$289,4,0)),0,VLOOKUP(A73,'Données projet'!$A$269:$I$289,4,0))</f>
        <v>469.06923076923073</v>
      </c>
      <c r="HD73" s="16">
        <f>IF(ISNA(VLOOKUP(A73,'Données projet'!$A$269:$I$289,5,0)),0%,VLOOKUP(A73,'Données projet'!$A$269:$I$289,5,0)*VLOOKUP('Données projet'!$B$18,Paramètres!$A$1:$I$89,7,0))</f>
        <v>0.38500000000000001</v>
      </c>
      <c r="HE73" s="16">
        <f>IF(ISNA(VLOOKUP(A73,'Données projet'!$A$269:$I$289,6,0)),0%,VLOOKUP(A73,'Données projet'!$A$269:$I$289,6,0)*VLOOKUP('Données projet'!$B$18,Paramètres!$A$1:$I$89,7,0))</f>
        <v>9.240000000000001E-2</v>
      </c>
      <c r="HF73" s="16">
        <f>IF(ISNA(VLOOKUP(A73,'Données projet'!$A$269:$I$289,7,0)),0%,VLOOKUP(A73,'Données projet'!$A$269:$I$289,7,0))</f>
        <v>0.13200000000000001</v>
      </c>
      <c r="HG73" s="21">
        <f>EXP(-LN(2)/35)*HG72+(1-EXP(-LN(2)/35))/(LN(2)/35)*HC73*HD73*VLOOKUP('Données projet'!$B$18,Paramètres!$A$1:$I$89,3,0)*0.475*44/12</f>
        <v>210.47661132892722</v>
      </c>
      <c r="HH73" s="21">
        <f>EXP(-LN(2)/25)*HH72+(1-EXP(-LN(2)/25))/(LN(2)/25)*Calculateur!HC73*Calculateur!HE73*VLOOKUP('Données projet'!$B$18,Paramètres!$A$1:$I$89,3,0)*0.475*44/12</f>
        <v>55.429916681601206</v>
      </c>
      <c r="HI73" s="21">
        <f>EXP(-LN(2)/2)*HI72+(1-EXP(-LN(2)/2))/(LN(2)/2)*HC73*HF73*VLOOKUP('Données projet'!$B$18,Paramètres!$A$1:$I$89,3,0)*0.475*44/12</f>
        <v>39.832360308362468</v>
      </c>
      <c r="HJ73" s="22">
        <f t="shared" si="84"/>
        <v>305.73888831889087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3.7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13.566666666666668</v>
      </c>
      <c r="H74" s="67">
        <f t="shared" si="56"/>
        <v>202.4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64.659759272115124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243.36538461538464</v>
      </c>
      <c r="L74" s="12">
        <f>VLOOKUP(A74,'Données projet'!$A$35:$I$55,9,0)</f>
        <v>8.1001602564102626</v>
      </c>
      <c r="M74" s="12">
        <f t="array" ref="M74">INDEX(L:L,MIN(IF(ISNUMBER(L74:L270),ROW(L74:L270),"")))</f>
        <v>8.1001602564102626</v>
      </c>
      <c r="N74" s="13">
        <f>IF('Données projet'!$A$36&gt;35,N73+M74-V73,IF(A74&lt;'Données projet'!$A$36,$K$205^A74,IF(A74='Données projet'!$A$36,'Données projet'!$B$36,N73+M74-V73)))</f>
        <v>243.36538461538487</v>
      </c>
      <c r="O74" s="13">
        <f>N74*VLOOKUP('Données projet'!$B$9,Paramètres!$A$1:$I$89,3,0)*VLOOKUP('Données projet'!$B$9,Paramètres!$A$1:$I$89,5,0)</f>
        <v>220.19700000000023</v>
      </c>
      <c r="P74" s="13">
        <f t="shared" si="87"/>
        <v>54.157700466574305</v>
      </c>
      <c r="Q74" s="20">
        <f t="shared" si="54"/>
        <v>477.83443664595069</v>
      </c>
      <c r="R74" s="59">
        <f t="shared" si="55"/>
        <v>751.58688731037284</v>
      </c>
      <c r="S74" s="59">
        <f ca="1">AVERAGE(OFFSET($R$3,0,0,'Données projet'!$E$9+1,1))-AVERAGE(OFFSET($H$3,0,0,'Données projet'!$E$9+1,1))</f>
        <v>411.64357329340851</v>
      </c>
      <c r="T74" s="59">
        <f t="shared" si="88"/>
        <v>294.07942258675632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0.30099999999999999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22.744803745841033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22.744803745841033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64.659759272115124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243.36538461538464</v>
      </c>
      <c r="AG74" s="12">
        <f>VLOOKUP(A74,'Données projet'!$A$61:$I$81,9,0)</f>
        <v>8.1001602564102626</v>
      </c>
      <c r="AH74" s="12">
        <f t="array" ref="AH74">INDEX(AG:AG,MIN(IF(ISNUMBER(AG74:AG270),ROW(AG74:AG270),"")))</f>
        <v>8.1001602564102626</v>
      </c>
      <c r="AI74" s="13">
        <f>IF('Données projet'!$A$62&gt;35,AI73+AH74-AQ73,IF(A74&lt;'Données projet'!$A$62,$AF$205^A74,IF(A74='Données projet'!$A$62,'Données projet'!$B$62,AI73+AH74-AQ73)))</f>
        <v>243.36538461538487</v>
      </c>
      <c r="AJ74" s="13">
        <f>AI74*VLOOKUP('Données projet'!$B$10,Paramètres!$A$1:$I$89,3,0)*VLOOKUP('Données projet'!$B$10,Paramètres!$A$1:$I$89,5,0)</f>
        <v>246.77250000000026</v>
      </c>
      <c r="AK74" s="13">
        <f t="shared" si="89"/>
        <v>59.894298509670598</v>
      </c>
      <c r="AL74" s="20">
        <f t="shared" si="58"/>
        <v>534.11134073767676</v>
      </c>
      <c r="AM74" s="59">
        <f t="shared" si="59"/>
        <v>807.86379140209897</v>
      </c>
      <c r="AN74" s="59">
        <f ca="1">AVERAGE(OFFSET($AM$3,0,0,'Données projet'!$E$10+1,1))-AVERAGE(OFFSET($H$3,0,0,'Données projet'!$E$10+1,1))</f>
        <v>453.05577105995508</v>
      </c>
      <c r="AO74" s="59">
        <f t="shared" si="90"/>
        <v>322.6839824496758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39.935897435897431</v>
      </c>
      <c r="AR74" s="16">
        <f>IF(ISNA(VLOOKUP(A74,'Données projet'!$A$61:$I$81,5,0)),0%,VLOOKUP(A74,'Données projet'!$A$61:$I$81,5,0)*VLOOKUP('Données projet'!$B$10,Paramètres!$A$1:$I$89,7,0))</f>
        <v>0.30099999999999999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25.489866266890814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25.489866266890814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64.659759272115124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4.7339743589743559</v>
      </c>
      <c r="BD74" s="12">
        <f>IF('Données projet'!$A$88&gt;35,BD73+BC74-BL73,IF(A74&lt;'Données projet'!$A$88,$BA$205^A74,IF(A74='Données projet'!$A$88,'Données projet'!$B$88,BD73+BC74-BL73)))</f>
        <v>122.78205128205138</v>
      </c>
      <c r="BE74" s="13">
        <f>BD74*VLOOKUP('Données projet'!$B$11,Paramètres!$A$1:$I$89,3,0)*VLOOKUP('Données projet'!$B$11,Paramètres!$A$1:$I$89,5,0)</f>
        <v>122.58560000000011</v>
      </c>
      <c r="BF74" s="13">
        <f t="shared" si="91"/>
        <v>32.277297796420164</v>
      </c>
      <c r="BG74" s="20">
        <f t="shared" si="61"/>
        <v>269.71954699543193</v>
      </c>
      <c r="BH74" s="59">
        <f t="shared" si="62"/>
        <v>543.47199765985408</v>
      </c>
      <c r="BI74" s="59">
        <f ca="1">AVERAGE(OFFSET($BH$3,0,0,'Données projet'!$E$11+1,1))-AVERAGE(OFFSET($H$3,0,0,'Données projet'!$E$11+1,1))</f>
        <v>411.38162678377478</v>
      </c>
      <c r="BJ74" s="59">
        <f t="shared" si="92"/>
        <v>177.89903563360403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64.659759272115124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190.39999999999995</v>
      </c>
      <c r="BZ74" s="13">
        <f>BY74*VLOOKUP('Données projet'!$B$12,Paramètres!$A$1:$I$89,3,0)*VLOOKUP('Données projet'!$B$12,Paramètres!$A$1:$I$89,5,0)</f>
        <v>199.00607999999997</v>
      </c>
      <c r="CA74" s="13">
        <f t="shared" si="93"/>
        <v>49.525670897515027</v>
      </c>
      <c r="CB74" s="20">
        <f t="shared" si="64"/>
        <v>432.85946614650521</v>
      </c>
      <c r="CC74" s="59">
        <f t="shared" si="65"/>
        <v>706.61191681092737</v>
      </c>
      <c r="CD74" s="59">
        <f ca="1">AVERAGE(OFFSET($CC$3,0,0,'Données projet'!$E$12+1,1))-AVERAGE(OFFSET($H$3,0,0,'Données projet'!$E$12+1,1))</f>
        <v>374.38550202939507</v>
      </c>
      <c r="CE74" s="59">
        <f t="shared" si="94"/>
        <v>324.37486924296718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10.393092622833132</v>
      </c>
      <c r="CL74" s="21">
        <f>EXP(-LN(2)/25)*CL73+(1-EXP(-LN(2)/25))/(LN(2)/25)*Calculateur!CG74*Calculateur!CI74*VLOOKUP('Données projet'!$B$12,Paramètres!$A$1:$I$89,3,0)*0.475*44/12</f>
        <v>16.573734290980678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26.966826913813811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64.659759272115124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5.6899038461538431</v>
      </c>
      <c r="CT74" s="12">
        <f>IF('Données projet'!$A$140&gt;35,CT73+CS74-DB73,IF(A74&lt;'Données projet'!$A$140,$CQ$205^A74,IF(A74='Données projet'!$A$140,'Données projet'!$B$140,CT73+CS74-DB73)))</f>
        <v>158.62499999999997</v>
      </c>
      <c r="CU74" s="17">
        <f>CT74*VLOOKUP('Données projet'!$B$13,Paramètres!$A$1:$I$89,3,0)*VLOOKUP('Données projet'!$B$13,Paramètres!$A$1:$I$89,5,0)</f>
        <v>150.94754999999998</v>
      </c>
      <c r="CV74" s="13">
        <f t="shared" si="95"/>
        <v>38.793840776526004</v>
      </c>
      <c r="CW74" s="20">
        <f t="shared" si="67"/>
        <v>330.46625560244939</v>
      </c>
      <c r="CX74" s="59">
        <f t="shared" si="68"/>
        <v>604.21870626687155</v>
      </c>
      <c r="CY74" s="59">
        <f ca="1">AVERAGE(OFFSET($CX$3,0,0,'Données projet'!$E$13+1,1))-AVERAGE(OFFSET($H$3,0,0,'Données projet'!$E$13+1,1))</f>
        <v>392.81074187112989</v>
      </c>
      <c r="CZ74" s="59">
        <f t="shared" si="96"/>
        <v>236.19146849073687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64.659759272115124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5.6899038461538431</v>
      </c>
      <c r="DO74" s="12">
        <f>IF('Données projet'!$A$166&gt;35,DO73+DN74-DW73,IF(A74&lt;'Données projet'!$A$166,$DL$205^A74,IF(A74='Données projet'!$A$166,'Données projet'!$B$166,DO73+DN74-DW73)))</f>
        <v>158.62499999999997</v>
      </c>
      <c r="DP74" s="17">
        <f>DO74*VLOOKUP('Données projet'!$B$14,Paramètres!$A$1:$I$89,3,0)*VLOOKUP('Données projet'!$B$14,Paramètres!$A$1:$I$89,5,0)</f>
        <v>170.74394999999996</v>
      </c>
      <c r="DQ74" s="13">
        <f t="shared" si="97"/>
        <v>43.256601269244634</v>
      </c>
      <c r="DR74" s="20">
        <f t="shared" si="70"/>
        <v>372.71762679393436</v>
      </c>
      <c r="DS74" s="59">
        <f t="shared" si="71"/>
        <v>646.47007745835651</v>
      </c>
      <c r="DT74" s="59">
        <f ca="1">AVERAGE(OFFSET($DS$3,0,0,'Données projet'!$E$14+1,1))-AVERAGE(OFFSET($H$3,0,0,'Données projet'!$E$14+1,1))</f>
        <v>434.77799524785502</v>
      </c>
      <c r="DU74" s="59">
        <f t="shared" si="98"/>
        <v>259.85949838170006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64.659759272115124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5.6899038461538431</v>
      </c>
      <c r="EJ74" s="12">
        <f>IF('Données projet'!$A$192&gt;35,EJ73+EI74-ER73,IF(A74&lt;'Données projet'!$A$192,$EG$205^A74,IF(A74='Données projet'!$A$192,'Données projet'!$B$192,EJ73+EI74-ER73)))</f>
        <v>158.62499999999997</v>
      </c>
      <c r="EK74" s="17">
        <f>EJ74*VLOOKUP('Données projet'!$B$15,Paramètres!$A$1:$I$89,3,0)*VLOOKUP('Données projet'!$B$15,Paramètres!$A$1:$I$89,5,0)</f>
        <v>153.42209999999997</v>
      </c>
      <c r="EL74" s="13">
        <f t="shared" si="99"/>
        <v>39.355246197900911</v>
      </c>
      <c r="EM74" s="20">
        <f t="shared" si="73"/>
        <v>335.75387796134402</v>
      </c>
      <c r="EN74" s="59">
        <f t="shared" si="74"/>
        <v>609.50632862576617</v>
      </c>
      <c r="EO74" s="59">
        <f ca="1">AVERAGE(OFFSET($EN$3,0,0,'Données projet'!$E$15+1,1))-AVERAGE(OFFSET($H$3,0,0,'Données projet'!$E$15+1,1))</f>
        <v>398.06270423055565</v>
      </c>
      <c r="EP74" s="59">
        <f t="shared" si="100"/>
        <v>239.15364562040614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64.659759272115124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-1.7053025658242404E-13</v>
      </c>
      <c r="FF74" s="17">
        <f>FE74*VLOOKUP('Données projet'!$B$16,Paramètres!$A$1:$I$89,3,0)*VLOOKUP('Données projet'!$B$16,Paramètres!$A$1:$I$89,5,0)</f>
        <v>-1.0197709343628959E-13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334.13861979962491</v>
      </c>
      <c r="FK74" s="59">
        <f t="shared" si="102"/>
        <v>416.48635183664305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120.99554537444475</v>
      </c>
      <c r="FR74" s="21">
        <f>EXP(-LN(2)/25)*FR73+(1-EXP(-LN(2)/25))/(LN(2)/25)*Calculateur!FM74*Calculateur!FO74*VLOOKUP('Données projet'!$B$16,Paramètres!$A$1:$I$89,3,0)*0.475*44/12</f>
        <v>29.161505897420373</v>
      </c>
      <c r="FS74" s="21">
        <f>EXP(-LN(2)/2)*FS73+(1-EXP(-LN(2)/2))/(LN(2)/2)*FM74*FP74*VLOOKUP('Données projet'!$B$16,Paramètres!$A$1:$I$89,3,0)*0.475*44/12</f>
        <v>0.22321577263124759</v>
      </c>
      <c r="FT74" s="22">
        <f t="shared" si="78"/>
        <v>150.38026704449638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64.659759272115124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>
        <f>VLOOKUP(A74,'Données projet'!$A$243:$I$263,2,0)</f>
        <v>413.95384615384614</v>
      </c>
      <c r="FX74" s="12">
        <f>VLOOKUP(A74,'Données projet'!$A$243:$I$263,9,0)</f>
        <v>13.737499999999997</v>
      </c>
      <c r="FY74" s="12">
        <f t="array" ref="FY74">INDEX(FX:FX,MIN(IF(ISNUMBER(FX74:FX270),ROW(FX74:FX270),"")))</f>
        <v>13.737499999999997</v>
      </c>
      <c r="FZ74" s="12">
        <f>IF('Données projet'!$A$244&gt;35,FZ73+FY74-GH73,IF(A74&lt;'Données projet'!$A$244,$FW$205^A74,IF(A74='Données projet'!$A$244,'Données projet'!$B$244,FZ73+FY74-GH73)))</f>
        <v>413.9538461538462</v>
      </c>
      <c r="GA74" s="17">
        <f>FZ74*VLOOKUP('Données projet'!$B$17,Paramètres!$A$1:$I$89,3,0)*VLOOKUP('Données projet'!$B$17,Paramètres!$A$1:$I$89,5,0)</f>
        <v>193.73040000000003</v>
      </c>
      <c r="GB74" s="13">
        <f t="shared" si="103"/>
        <v>48.363755728631737</v>
      </c>
      <c r="GC74" s="20">
        <f t="shared" si="79"/>
        <v>421.647321227367</v>
      </c>
      <c r="GD74" s="59">
        <f t="shared" si="80"/>
        <v>695.39977189178921</v>
      </c>
      <c r="GE74" s="59">
        <f ca="1">AVERAGE(OFFSET($GD$3,0,0,'Données projet'!$E$17+1,1))-AVERAGE(OFFSET($H$3,0,0,'Données projet'!$E$17+1,1))</f>
        <v>317.79829681023142</v>
      </c>
      <c r="GF74" s="59">
        <f t="shared" si="104"/>
        <v>275.07716943523621</v>
      </c>
      <c r="GG74" s="15">
        <f>IF(ISNA(VLOOKUP(A74,'Données projet'!$A$243:$I$263,3,0)),0,VLOOKUP(A74,'Données projet'!$A$243:$I$263,3,0))</f>
        <v>5</v>
      </c>
      <c r="GH74" s="15">
        <f>IF(ISNA(VLOOKUP(A74,'Données projet'!$A$243:$I$263,4,0)),0,VLOOKUP(A74,'Données projet'!$A$243:$I$263,4,0))</f>
        <v>80.399999999999991</v>
      </c>
      <c r="GI74" s="16">
        <f>IF(ISNA(VLOOKUP(A74,'Données projet'!$A$243:$I$263,5,0)),0%,VLOOKUP(A74,'Données projet'!$A$243:$I$263,5,0)*VLOOKUP('Données projet'!$B$17,Paramètres!$A$1:$I$89,7,0))</f>
        <v>0.38500000000000001</v>
      </c>
      <c r="GJ74" s="16">
        <f>IF(ISNA(VLOOKUP(A74,'Données projet'!$A$243:$I$263,6,0)),0%,VLOOKUP(A74,'Données projet'!$A$243:$I$263,6,0)*VLOOKUP('Données projet'!$B$17,Paramètres!$A$1:$I$89,7,0))</f>
        <v>9.240000000000001E-2</v>
      </c>
      <c r="GK74" s="16">
        <f>IF(ISNA(VLOOKUP(A74,'Données projet'!$A$243:$I$263,7,0)),0%,VLOOKUP(A74,'Données projet'!$A$243:$I$263,7,0))</f>
        <v>0.13200000000000001</v>
      </c>
      <c r="GL74" s="21">
        <f>EXP(-LN(2)/35)*GL73+(1-EXP(-LN(2)/35))/(LN(2)/35)*GH74*GI74*VLOOKUP('Données projet'!$B$17,Paramètres!$A$1:$I$89,3,0)*0.475*44/12</f>
        <v>61.255825119677326</v>
      </c>
      <c r="GM74" s="21">
        <f>EXP(-LN(2)/25)*GM73+(1-EXP(-LN(2)/25))/(LN(2)/25)*Calculateur!GH74*Calculateur!GJ74*VLOOKUP('Données projet'!$B$17,Paramètres!$A$1:$I$89,3,0)*0.475*44/12</f>
        <v>28.85509618606541</v>
      </c>
      <c r="GN74" s="21">
        <f>EXP(-LN(2)/2)*GN73+(1-EXP(-LN(2)/2))/(LN(2)/2)*GH74*GK74*VLOOKUP('Données projet'!$B$17,Paramètres!$A$1:$I$89,3,0)*0.475*44/12</f>
        <v>5.9676324258492643</v>
      </c>
      <c r="GO74" s="21">
        <f t="shared" si="81"/>
        <v>96.078553731591995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64.659759272115124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>
        <f>GU74*VLOOKUP('Données projet'!$B$18,Paramètres!$A$1:$I$89,3,0)*VLOOKUP('Données projet'!$B$18,Paramètres!$A$1:$I$89,5,0)</f>
        <v>0</v>
      </c>
      <c r="GW74" s="13" t="e">
        <f t="shared" si="105"/>
        <v>#NUM!</v>
      </c>
      <c r="GX74" s="20" t="e">
        <f t="shared" si="82"/>
        <v>#NUM!</v>
      </c>
      <c r="GY74" s="59" t="e">
        <f t="shared" si="83"/>
        <v>#NUM!</v>
      </c>
      <c r="GZ74" s="59">
        <f ca="1">AVERAGE(OFFSET($GY$3,0,0,'Données projet'!$E$18+1,1))-AVERAGE(OFFSET($H$3,0,0,'Données projet'!$E$18+1,1))</f>
        <v>336.21787234885699</v>
      </c>
      <c r="HA74" s="59">
        <f t="shared" si="106"/>
        <v>315.36156736899113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206.34929335882359</v>
      </c>
      <c r="HH74" s="21">
        <f>EXP(-LN(2)/25)*HH73+(1-EXP(-LN(2)/25))/(LN(2)/25)*Calculateur!HC74*Calculateur!HE74*VLOOKUP('Données projet'!$B$18,Paramètres!$A$1:$I$89,3,0)*0.475*44/12</f>
        <v>53.91418269501019</v>
      </c>
      <c r="HI74" s="21">
        <f>EXP(-LN(2)/2)*HI73+(1-EXP(-LN(2)/2))/(LN(2)/2)*HC74*HF74*VLOOKUP('Données projet'!$B$18,Paramètres!$A$1:$I$89,3,0)*0.475*44/12</f>
        <v>28.165732084708981</v>
      </c>
      <c r="HJ74" s="22">
        <f t="shared" si="84"/>
        <v>288.42920813854272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3.7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13.566666666666668</v>
      </c>
      <c r="H75" s="67">
        <f t="shared" si="56"/>
        <v>202.4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64.752400509754253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211.27207977208002</v>
      </c>
      <c r="O75" s="13">
        <f>N75*VLOOKUP('Données projet'!$B$9,Paramètres!$A$1:$I$89,3,0)*VLOOKUP('Données projet'!$B$9,Paramètres!$A$1:$I$89,5,0)</f>
        <v>191.15897777777801</v>
      </c>
      <c r="P75" s="13">
        <f t="shared" si="87"/>
        <v>47.796095622022989</v>
      </c>
      <c r="Q75" s="20">
        <f t="shared" si="54"/>
        <v>416.18008617132006</v>
      </c>
      <c r="R75" s="59">
        <f t="shared" si="55"/>
        <v>690.27222137375225</v>
      </c>
      <c r="S75" s="59">
        <f ca="1">AVERAGE(OFFSET($R$3,0,0,'Données projet'!$E$9+1,1))-AVERAGE(OFFSET($H$3,0,0,'Données projet'!$E$9+1,1))</f>
        <v>411.64357329340851</v>
      </c>
      <c r="T75" s="59">
        <f t="shared" si="88"/>
        <v>294.07942258675632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22.298792017345534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22.298792017345534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64.752400509754253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7.8425925925925934</v>
      </c>
      <c r="AI75" s="13">
        <f>IF('Données projet'!$A$62&gt;35,AI74+AH75-AQ74,IF(A75&lt;'Données projet'!$A$62,$AF$205^A75,IF(A75='Données projet'!$A$62,'Données projet'!$B$62,AI74+AH75-AQ74)))</f>
        <v>211.27207977208002</v>
      </c>
      <c r="AJ75" s="13">
        <f>AI75*VLOOKUP('Données projet'!$B$10,Paramètres!$A$1:$I$89,3,0)*VLOOKUP('Données projet'!$B$10,Paramètres!$A$1:$I$89,5,0)</f>
        <v>214.22988888888915</v>
      </c>
      <c r="AK75" s="13">
        <f t="shared" si="89"/>
        <v>52.858847294468234</v>
      </c>
      <c r="AL75" s="20">
        <f t="shared" si="58"/>
        <v>465.17954885268068</v>
      </c>
      <c r="AM75" s="59">
        <f t="shared" si="59"/>
        <v>739.27168405511293</v>
      </c>
      <c r="AN75" s="59">
        <f ca="1">AVERAGE(OFFSET($AM$3,0,0,'Données projet'!$E$10+1,1))-AVERAGE(OFFSET($H$3,0,0,'Données projet'!$E$10+1,1))</f>
        <v>453.05577105995508</v>
      </c>
      <c r="AO75" s="59">
        <f t="shared" si="90"/>
        <v>322.6839824496758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24.990025536680342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24.990025536680342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64.752400509754253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4.7339743589743559</v>
      </c>
      <c r="BD75" s="12">
        <f>IF('Données projet'!$A$88&gt;35,BD74+BC75-BL74,IF(A75&lt;'Données projet'!$A$88,$BA$205^A75,IF(A75='Données projet'!$A$88,'Données projet'!$B$88,BD74+BC75-BL74)))</f>
        <v>127.51602564102573</v>
      </c>
      <c r="BE75" s="13">
        <f>BD75*VLOOKUP('Données projet'!$B$11,Paramètres!$A$1:$I$89,3,0)*VLOOKUP('Données projet'!$B$11,Paramètres!$A$1:$I$89,5,0)</f>
        <v>127.3120000000001</v>
      </c>
      <c r="BF75" s="13">
        <f t="shared" si="91"/>
        <v>33.374488187567074</v>
      </c>
      <c r="BG75" s="20">
        <f t="shared" si="61"/>
        <v>279.86230026001277</v>
      </c>
      <c r="BH75" s="59">
        <f t="shared" si="62"/>
        <v>553.95443546244496</v>
      </c>
      <c r="BI75" s="59">
        <f ca="1">AVERAGE(OFFSET($BH$3,0,0,'Données projet'!$E$11+1,1))-AVERAGE(OFFSET($H$3,0,0,'Données projet'!$E$11+1,1))</f>
        <v>411.38162678377478</v>
      </c>
      <c r="BJ75" s="59">
        <f t="shared" si="92"/>
        <v>177.89903563360403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64.752400509754253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193.79999999999995</v>
      </c>
      <c r="BZ75" s="13">
        <f>BY75*VLOOKUP('Données projet'!$B$12,Paramètres!$A$1:$I$89,3,0)*VLOOKUP('Données projet'!$B$12,Paramètres!$A$1:$I$89,5,0)</f>
        <v>202.55975999999995</v>
      </c>
      <c r="CA75" s="13">
        <f t="shared" si="93"/>
        <v>50.306308435844208</v>
      </c>
      <c r="CB75" s="20">
        <f t="shared" si="64"/>
        <v>440.40840252576191</v>
      </c>
      <c r="CC75" s="59">
        <f t="shared" si="65"/>
        <v>714.5005377281941</v>
      </c>
      <c r="CD75" s="59">
        <f ca="1">AVERAGE(OFFSET($CC$3,0,0,'Données projet'!$E$12+1,1))-AVERAGE(OFFSET($H$3,0,0,'Données projet'!$E$12+1,1))</f>
        <v>374.38550202939507</v>
      </c>
      <c r="CE75" s="59">
        <f t="shared" si="94"/>
        <v>324.37486924296718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10.189290415659935</v>
      </c>
      <c r="CL75" s="21">
        <f>EXP(-LN(2)/25)*CL74+(1-EXP(-LN(2)/25))/(LN(2)/25)*Calculateur!CG75*Calculateur!CI75*VLOOKUP('Données projet'!$B$12,Paramètres!$A$1:$I$89,3,0)*0.475*44/12</f>
        <v>16.120524655219004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26.30981507087894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64.752400509754253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5.6899038461538431</v>
      </c>
      <c r="CT75" s="12">
        <f>IF('Données projet'!$A$140&gt;35,CT74+CS75-DB74,IF(A75&lt;'Données projet'!$A$140,$CQ$205^A75,IF(A75='Données projet'!$A$140,'Données projet'!$B$140,CT74+CS75-DB74)))</f>
        <v>164.31490384615381</v>
      </c>
      <c r="CU75" s="17">
        <f>CT75*VLOOKUP('Données projet'!$B$13,Paramètres!$A$1:$I$89,3,0)*VLOOKUP('Données projet'!$B$13,Paramètres!$A$1:$I$89,5,0)</f>
        <v>156.36206249999998</v>
      </c>
      <c r="CV75" s="13">
        <f t="shared" si="95"/>
        <v>40.020873319698083</v>
      </c>
      <c r="CW75" s="20">
        <f t="shared" si="67"/>
        <v>342.03361321930743</v>
      </c>
      <c r="CX75" s="59">
        <f t="shared" si="68"/>
        <v>616.12574842173967</v>
      </c>
      <c r="CY75" s="59">
        <f ca="1">AVERAGE(OFFSET($CX$3,0,0,'Données projet'!$E$13+1,1))-AVERAGE(OFFSET($H$3,0,0,'Données projet'!$E$13+1,1))</f>
        <v>392.81074187112989</v>
      </c>
      <c r="CZ75" s="59">
        <f t="shared" si="96"/>
        <v>236.19146849073687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64.752400509754253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5.6899038461538431</v>
      </c>
      <c r="DO75" s="12">
        <f>IF('Données projet'!$A$166&gt;35,DO74+DN75-DW74,IF(A75&lt;'Données projet'!$A$166,$DL$205^A75,IF(A75='Données projet'!$A$166,'Données projet'!$B$166,DO74+DN75-DW74)))</f>
        <v>164.31490384615381</v>
      </c>
      <c r="DP75" s="17">
        <f>DO75*VLOOKUP('Données projet'!$B$14,Paramètres!$A$1:$I$89,3,0)*VLOOKUP('Données projet'!$B$14,Paramètres!$A$1:$I$89,5,0)</f>
        <v>176.86856249999997</v>
      </c>
      <c r="DQ75" s="13">
        <f t="shared" si="97"/>
        <v>44.624789012503541</v>
      </c>
      <c r="DR75" s="20">
        <f t="shared" si="70"/>
        <v>385.76758721761024</v>
      </c>
      <c r="DS75" s="59">
        <f t="shared" si="71"/>
        <v>659.85972242004254</v>
      </c>
      <c r="DT75" s="59">
        <f ca="1">AVERAGE(OFFSET($DS$3,0,0,'Données projet'!$E$14+1,1))-AVERAGE(OFFSET($H$3,0,0,'Données projet'!$E$14+1,1))</f>
        <v>434.77799524785502</v>
      </c>
      <c r="DU75" s="59">
        <f t="shared" si="98"/>
        <v>259.85949838170006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64.752400509754253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5.6899038461538431</v>
      </c>
      <c r="EJ75" s="12">
        <f>IF('Données projet'!$A$192&gt;35,EJ74+EI75-ER74,IF(A75&lt;'Données projet'!$A$192,$EG$205^A75,IF(A75='Données projet'!$A$192,'Données projet'!$B$192,EJ74+EI75-ER74)))</f>
        <v>164.31490384615381</v>
      </c>
      <c r="EK75" s="17">
        <f>EJ75*VLOOKUP('Données projet'!$B$15,Paramètres!$A$1:$I$89,3,0)*VLOOKUP('Données projet'!$B$15,Paramètres!$A$1:$I$89,5,0)</f>
        <v>158.92537499999997</v>
      </c>
      <c r="EL75" s="13">
        <f t="shared" si="99"/>
        <v>40.600035753736599</v>
      </c>
      <c r="EM75" s="20">
        <f t="shared" si="73"/>
        <v>347.5067570627578</v>
      </c>
      <c r="EN75" s="59">
        <f t="shared" si="74"/>
        <v>621.59889226518999</v>
      </c>
      <c r="EO75" s="59">
        <f ca="1">AVERAGE(OFFSET($EN$3,0,0,'Données projet'!$E$15+1,1))-AVERAGE(OFFSET($H$3,0,0,'Données projet'!$E$15+1,1))</f>
        <v>398.06270423055565</v>
      </c>
      <c r="EP75" s="59">
        <f t="shared" si="100"/>
        <v>239.15364562040614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64.752400509754253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-1.7053025658242404E-13</v>
      </c>
      <c r="FF75" s="17">
        <f>FE75*VLOOKUP('Données projet'!$B$16,Paramètres!$A$1:$I$89,3,0)*VLOOKUP('Données projet'!$B$16,Paramètres!$A$1:$I$89,5,0)</f>
        <v>-1.0197709343628959E-13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334.13861979962491</v>
      </c>
      <c r="FK75" s="59">
        <f t="shared" si="102"/>
        <v>416.48635183664305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118.62289652964742</v>
      </c>
      <c r="FR75" s="21">
        <f>EXP(-LN(2)/25)*FR74+(1-EXP(-LN(2)/25))/(LN(2)/25)*Calculateur!FM75*Calculateur!FO75*VLOOKUP('Données projet'!$B$16,Paramètres!$A$1:$I$89,3,0)*0.475*44/12</f>
        <v>28.364082985118468</v>
      </c>
      <c r="FS75" s="21">
        <f>EXP(-LN(2)/2)*FS74+(1-EXP(-LN(2)/2))/(LN(2)/2)*FM75*FP75*VLOOKUP('Données projet'!$B$16,Paramètres!$A$1:$I$89,3,0)*0.475*44/12</f>
        <v>0.15783738649534973</v>
      </c>
      <c r="FT75" s="22">
        <f t="shared" si="78"/>
        <v>147.14481690126124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64.752400509754253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12.913461538461533</v>
      </c>
      <c r="FZ75" s="12">
        <f>IF('Données projet'!$A$244&gt;35,FZ74+FY75-GH74,IF(A75&lt;'Données projet'!$A$244,$FW$205^A75,IF(A75='Données projet'!$A$244,'Données projet'!$B$244,FZ74+FY75-GH74)))</f>
        <v>346.46730769230777</v>
      </c>
      <c r="GA75" s="17">
        <f>FZ75*VLOOKUP('Données projet'!$B$17,Paramètres!$A$1:$I$89,3,0)*VLOOKUP('Données projet'!$B$17,Paramètres!$A$1:$I$89,5,0)</f>
        <v>162.14670000000004</v>
      </c>
      <c r="GB75" s="13">
        <f t="shared" si="103"/>
        <v>41.326333369414826</v>
      </c>
      <c r="GC75" s="20">
        <f t="shared" si="79"/>
        <v>354.38219978506419</v>
      </c>
      <c r="GD75" s="59">
        <f t="shared" si="80"/>
        <v>628.47433498749638</v>
      </c>
      <c r="GE75" s="59">
        <f ca="1">AVERAGE(OFFSET($GD$3,0,0,'Données projet'!$E$17+1,1))-AVERAGE(OFFSET($H$3,0,0,'Données projet'!$E$17+1,1))</f>
        <v>317.79829681023142</v>
      </c>
      <c r="GF75" s="59">
        <f t="shared" si="104"/>
        <v>275.07716943523621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60.05463575144455</v>
      </c>
      <c r="GM75" s="21">
        <f>EXP(-LN(2)/25)*GM74+(1-EXP(-LN(2)/25))/(LN(2)/25)*Calculateur!GH75*Calculateur!GJ75*VLOOKUP('Données projet'!$B$17,Paramètres!$A$1:$I$89,3,0)*0.475*44/12</f>
        <v>28.066052063433894</v>
      </c>
      <c r="GN75" s="21">
        <f>EXP(-LN(2)/2)*GN74+(1-EXP(-LN(2)/2))/(LN(2)/2)*GH75*GK75*VLOOKUP('Données projet'!$B$17,Paramètres!$A$1:$I$89,3,0)*0.475*44/12</f>
        <v>4.2197533559467422</v>
      </c>
      <c r="GO75" s="21">
        <f t="shared" si="81"/>
        <v>92.340441170825173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64.752400509754253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>
        <f>GU75*VLOOKUP('Données projet'!$B$18,Paramètres!$A$1:$I$89,3,0)*VLOOKUP('Données projet'!$B$18,Paramètres!$A$1:$I$89,5,0)</f>
        <v>0</v>
      </c>
      <c r="GW75" s="13" t="e">
        <f t="shared" si="105"/>
        <v>#NUM!</v>
      </c>
      <c r="GX75" s="20" t="e">
        <f t="shared" si="82"/>
        <v>#NUM!</v>
      </c>
      <c r="GY75" s="59" t="e">
        <f t="shared" si="83"/>
        <v>#NUM!</v>
      </c>
      <c r="GZ75" s="59">
        <f ca="1">AVERAGE(OFFSET($GY$3,0,0,'Données projet'!$E$18+1,1))-AVERAGE(OFFSET($H$3,0,0,'Données projet'!$E$18+1,1))</f>
        <v>336.21787234885699</v>
      </c>
      <c r="HA75" s="59">
        <f t="shared" si="106"/>
        <v>315.36156736899113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202.30290957669831</v>
      </c>
      <c r="HH75" s="21">
        <f>EXP(-LN(2)/25)*HH74+(1-EXP(-LN(2)/25))/(LN(2)/25)*Calculateur!HC75*Calculateur!HE75*VLOOKUP('Données projet'!$B$18,Paramètres!$A$1:$I$89,3,0)*0.475*44/12</f>
        <v>52.439896533991494</v>
      </c>
      <c r="HI75" s="21">
        <f>EXP(-LN(2)/2)*HI74+(1-EXP(-LN(2)/2))/(LN(2)/2)*HC75*HF75*VLOOKUP('Données projet'!$B$18,Paramètres!$A$1:$I$89,3,0)*0.475*44/12</f>
        <v>19.916180154181237</v>
      </c>
      <c r="HJ75" s="22">
        <f t="shared" si="84"/>
        <v>274.65898626487103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3.7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13.566666666666668</v>
      </c>
      <c r="H76" s="67">
        <f t="shared" si="56"/>
        <v>202.4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64.843434629035116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219.1146723646726</v>
      </c>
      <c r="O76" s="13">
        <f>N76*VLOOKUP('Données projet'!$B$9,Paramètres!$A$1:$I$89,3,0)*VLOOKUP('Données projet'!$B$9,Paramètres!$A$1:$I$89,5,0)</f>
        <v>198.25495555555577</v>
      </c>
      <c r="P76" s="13">
        <f t="shared" si="87"/>
        <v>49.360464390082804</v>
      </c>
      <c r="Q76" s="20">
        <f t="shared" si="54"/>
        <v>431.26352307198721</v>
      </c>
      <c r="R76" s="59">
        <f t="shared" si="55"/>
        <v>705.68945004511602</v>
      </c>
      <c r="S76" s="59">
        <f ca="1">AVERAGE(OFFSET($R$3,0,0,'Données projet'!$E$9+1,1))-AVERAGE(OFFSET($H$3,0,0,'Données projet'!$E$9+1,1))</f>
        <v>411.64357329340851</v>
      </c>
      <c r="T76" s="59">
        <f t="shared" si="88"/>
        <v>294.07942258675632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21.861526306805541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21.861526306805541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64.843434629035116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7.8425925925925934</v>
      </c>
      <c r="AI76" s="13">
        <f>IF('Données projet'!$A$62&gt;35,AI75+AH76-AQ75,IF(A76&lt;'Données projet'!$A$62,$AF$205^A76,IF(A76='Données projet'!$A$62,'Données projet'!$B$62,AI75+AH76-AQ75)))</f>
        <v>219.1146723646726</v>
      </c>
      <c r="AJ76" s="13">
        <f>AI76*VLOOKUP('Données projet'!$B$10,Paramètres!$A$1:$I$89,3,0)*VLOOKUP('Données projet'!$B$10,Paramètres!$A$1:$I$89,5,0)</f>
        <v>222.18227777777804</v>
      </c>
      <c r="AK76" s="13">
        <f t="shared" si="89"/>
        <v>54.588920195757851</v>
      </c>
      <c r="AL76" s="20">
        <f t="shared" si="58"/>
        <v>482.04316980390831</v>
      </c>
      <c r="AM76" s="59">
        <f t="shared" si="59"/>
        <v>756.46909677703707</v>
      </c>
      <c r="AN76" s="59">
        <f ca="1">AVERAGE(OFFSET($AM$3,0,0,'Données projet'!$E$10+1,1))-AVERAGE(OFFSET($H$3,0,0,'Données projet'!$E$10+1,1))</f>
        <v>453.05577105995508</v>
      </c>
      <c r="AO76" s="59">
        <f t="shared" si="90"/>
        <v>322.6839824496758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24.499986378316557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24.499986378316557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64.843434629035116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4.7339743589743559</v>
      </c>
      <c r="BD76" s="12">
        <f>IF('Données projet'!$A$88&gt;35,BD75+BC76-BL75,IF(A76&lt;'Données projet'!$A$88,$BA$205^A76,IF(A76='Données projet'!$A$88,'Données projet'!$B$88,BD75+BC76-BL75)))</f>
        <v>132.25000000000009</v>
      </c>
      <c r="BE76" s="13">
        <f>BD76*VLOOKUP('Données projet'!$B$11,Paramètres!$A$1:$I$89,3,0)*VLOOKUP('Données projet'!$B$11,Paramètres!$A$1:$I$89,5,0)</f>
        <v>132.03840000000008</v>
      </c>
      <c r="BF76" s="13">
        <f t="shared" si="91"/>
        <v>34.466946374534373</v>
      </c>
      <c r="BG76" s="20">
        <f t="shared" si="61"/>
        <v>289.99681160231415</v>
      </c>
      <c r="BH76" s="59">
        <f t="shared" si="62"/>
        <v>564.42273857544296</v>
      </c>
      <c r="BI76" s="59">
        <f ca="1">AVERAGE(OFFSET($BH$3,0,0,'Données projet'!$E$11+1,1))-AVERAGE(OFFSET($H$3,0,0,'Données projet'!$E$11+1,1))</f>
        <v>411.38162678377478</v>
      </c>
      <c r="BJ76" s="59">
        <f t="shared" si="92"/>
        <v>177.89903563360403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64.843434629035116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197.19999999999996</v>
      </c>
      <c r="BZ76" s="13">
        <f>BY76*VLOOKUP('Données projet'!$B$12,Paramètres!$A$1:$I$89,3,0)*VLOOKUP('Données projet'!$B$12,Paramètres!$A$1:$I$89,5,0)</f>
        <v>206.11344</v>
      </c>
      <c r="CA76" s="13">
        <f t="shared" si="93"/>
        <v>51.085353370375145</v>
      </c>
      <c r="CB76" s="20">
        <f t="shared" si="64"/>
        <v>447.95456512007007</v>
      </c>
      <c r="CC76" s="59">
        <f t="shared" si="65"/>
        <v>722.38049209319888</v>
      </c>
      <c r="CD76" s="59">
        <f ca="1">AVERAGE(OFFSET($CC$3,0,0,'Données projet'!$E$12+1,1))-AVERAGE(OFFSET($H$3,0,0,'Données projet'!$E$12+1,1))</f>
        <v>374.38550202939507</v>
      </c>
      <c r="CE76" s="59">
        <f t="shared" si="94"/>
        <v>324.37486924296718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9.9894846454623316</v>
      </c>
      <c r="CL76" s="21">
        <f>EXP(-LN(2)/25)*CL75+(1-EXP(-LN(2)/25))/(LN(2)/25)*Calculateur!CG76*Calculateur!CI76*VLOOKUP('Données projet'!$B$12,Paramètres!$A$1:$I$89,3,0)*0.475*44/12</f>
        <v>15.679708060780493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25.669192706242825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64.843434629035116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5.6899038461538431</v>
      </c>
      <c r="CT76" s="12">
        <f>IF('Données projet'!$A$140&gt;35,CT75+CS76-DB75,IF(A76&lt;'Données projet'!$A$140,$CQ$205^A76,IF(A76='Données projet'!$A$140,'Données projet'!$B$140,CT75+CS76-DB75)))</f>
        <v>170.00480769230765</v>
      </c>
      <c r="CU76" s="17">
        <f>CT76*VLOOKUP('Données projet'!$B$13,Paramètres!$A$1:$I$89,3,0)*VLOOKUP('Données projet'!$B$13,Paramètres!$A$1:$I$89,5,0)</f>
        <v>161.77657499999998</v>
      </c>
      <c r="CV76" s="13">
        <f t="shared" si="95"/>
        <v>41.242968969285535</v>
      </c>
      <c r="CW76" s="20">
        <f t="shared" si="67"/>
        <v>353.5923724131722</v>
      </c>
      <c r="CX76" s="59">
        <f t="shared" si="68"/>
        <v>628.0182993863009</v>
      </c>
      <c r="CY76" s="59">
        <f ca="1">AVERAGE(OFFSET($CX$3,0,0,'Données projet'!$E$13+1,1))-AVERAGE(OFFSET($H$3,0,0,'Données projet'!$E$13+1,1))</f>
        <v>392.81074187112989</v>
      </c>
      <c r="CZ76" s="59">
        <f t="shared" si="96"/>
        <v>236.19146849073687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64.843434629035116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5.6899038461538431</v>
      </c>
      <c r="DO76" s="12">
        <f>IF('Données projet'!$A$166&gt;35,DO75+DN76-DW75,IF(A76&lt;'Données projet'!$A$166,$DL$205^A76,IF(A76='Données projet'!$A$166,'Données projet'!$B$166,DO75+DN76-DW75)))</f>
        <v>170.00480769230765</v>
      </c>
      <c r="DP76" s="17">
        <f>DO76*VLOOKUP('Données projet'!$B$14,Paramètres!$A$1:$I$89,3,0)*VLOOKUP('Données projet'!$B$14,Paramètres!$A$1:$I$89,5,0)</f>
        <v>182.99317499999995</v>
      </c>
      <c r="DQ76" s="13">
        <f t="shared" si="97"/>
        <v>45.987471932496092</v>
      </c>
      <c r="DR76" s="20">
        <f t="shared" si="70"/>
        <v>398.80796007409725</v>
      </c>
      <c r="DS76" s="59">
        <f t="shared" si="71"/>
        <v>673.23388704722606</v>
      </c>
      <c r="DT76" s="59">
        <f ca="1">AVERAGE(OFFSET($DS$3,0,0,'Données projet'!$E$14+1,1))-AVERAGE(OFFSET($H$3,0,0,'Données projet'!$E$14+1,1))</f>
        <v>434.77799524785502</v>
      </c>
      <c r="DU76" s="59">
        <f t="shared" si="98"/>
        <v>259.85949838170006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64.843434629035116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5.6899038461538431</v>
      </c>
      <c r="EJ76" s="12">
        <f>IF('Données projet'!$A$192&gt;35,EJ75+EI76-ER75,IF(A76&lt;'Données projet'!$A$192,$EG$205^A76,IF(A76='Données projet'!$A$192,'Données projet'!$B$192,EJ75+EI76-ER75)))</f>
        <v>170.00480769230765</v>
      </c>
      <c r="EK76" s="17">
        <f>EJ76*VLOOKUP('Données projet'!$B$15,Paramètres!$A$1:$I$89,3,0)*VLOOKUP('Données projet'!$B$15,Paramètres!$A$1:$I$89,5,0)</f>
        <v>164.42864999999995</v>
      </c>
      <c r="EL76" s="13">
        <f t="shared" si="99"/>
        <v>41.839816971687064</v>
      </c>
      <c r="EM76" s="20">
        <f t="shared" si="73"/>
        <v>359.25091330902154</v>
      </c>
      <c r="EN76" s="59">
        <f t="shared" si="74"/>
        <v>633.67684028215035</v>
      </c>
      <c r="EO76" s="59">
        <f ca="1">AVERAGE(OFFSET($EN$3,0,0,'Données projet'!$E$15+1,1))-AVERAGE(OFFSET($H$3,0,0,'Données projet'!$E$15+1,1))</f>
        <v>398.06270423055565</v>
      </c>
      <c r="EP76" s="59">
        <f t="shared" si="100"/>
        <v>239.15364562040614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64.843434629035116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-1.7053025658242404E-13</v>
      </c>
      <c r="FF76" s="17">
        <f>FE76*VLOOKUP('Données projet'!$B$16,Paramètres!$A$1:$I$89,3,0)*VLOOKUP('Données projet'!$B$16,Paramètres!$A$1:$I$89,5,0)</f>
        <v>-1.0197709343628959E-13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334.13861979962491</v>
      </c>
      <c r="FK76" s="59">
        <f t="shared" si="102"/>
        <v>416.48635183664305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116.29677388152366</v>
      </c>
      <c r="FR76" s="21">
        <f>EXP(-LN(2)/25)*FR75+(1-EXP(-LN(2)/25))/(LN(2)/25)*Calculateur!FM76*Calculateur!FO76*VLOOKUP('Données projet'!$B$16,Paramètres!$A$1:$I$89,3,0)*0.475*44/12</f>
        <v>27.588465644288107</v>
      </c>
      <c r="FS76" s="21">
        <f>EXP(-LN(2)/2)*FS75+(1-EXP(-LN(2)/2))/(LN(2)/2)*FM76*FP76*VLOOKUP('Données projet'!$B$16,Paramètres!$A$1:$I$89,3,0)*0.475*44/12</f>
        <v>0.11160788631562379</v>
      </c>
      <c r="FT76" s="22">
        <f t="shared" si="78"/>
        <v>143.99684741212738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64.843434629035116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12.913461538461533</v>
      </c>
      <c r="FZ76" s="12">
        <f>IF('Données projet'!$A$244&gt;35,FZ75+FY76-GH75,IF(A76&lt;'Données projet'!$A$244,$FW$205^A76,IF(A76='Données projet'!$A$244,'Données projet'!$B$244,FZ75+FY76-GH75)))</f>
        <v>359.38076923076932</v>
      </c>
      <c r="GA76" s="17">
        <f>FZ76*VLOOKUP('Données projet'!$B$17,Paramètres!$A$1:$I$89,3,0)*VLOOKUP('Données projet'!$B$17,Paramètres!$A$1:$I$89,5,0)</f>
        <v>168.19020000000003</v>
      </c>
      <c r="GB76" s="13">
        <f t="shared" si="103"/>
        <v>42.684436447240749</v>
      </c>
      <c r="GC76" s="20">
        <f t="shared" si="79"/>
        <v>367.27332514561107</v>
      </c>
      <c r="GD76" s="59">
        <f t="shared" si="80"/>
        <v>641.69925211873988</v>
      </c>
      <c r="GE76" s="59">
        <f ca="1">AVERAGE(OFFSET($GD$3,0,0,'Données projet'!$E$17+1,1))-AVERAGE(OFFSET($H$3,0,0,'Données projet'!$E$17+1,1))</f>
        <v>317.79829681023142</v>
      </c>
      <c r="GF76" s="59">
        <f t="shared" si="104"/>
        <v>275.07716943523621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58.877000974069645</v>
      </c>
      <c r="GM76" s="21">
        <f>EXP(-LN(2)/25)*GM75+(1-EXP(-LN(2)/25))/(LN(2)/25)*Calculateur!GH76*Calculateur!GJ76*VLOOKUP('Données projet'!$B$17,Paramètres!$A$1:$I$89,3,0)*0.475*44/12</f>
        <v>27.298584393829763</v>
      </c>
      <c r="GN76" s="21">
        <f>EXP(-LN(2)/2)*GN75+(1-EXP(-LN(2)/2))/(LN(2)/2)*GH76*GK76*VLOOKUP('Données projet'!$B$17,Paramètres!$A$1:$I$89,3,0)*0.475*44/12</f>
        <v>2.9838162129246326</v>
      </c>
      <c r="GO76" s="21">
        <f t="shared" si="81"/>
        <v>89.159401580824039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64.843434629035116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>
        <f>GU76*VLOOKUP('Données projet'!$B$18,Paramètres!$A$1:$I$89,3,0)*VLOOKUP('Données projet'!$B$18,Paramètres!$A$1:$I$89,5,0)</f>
        <v>0</v>
      </c>
      <c r="GW76" s="13" t="e">
        <f t="shared" si="105"/>
        <v>#NUM!</v>
      </c>
      <c r="GX76" s="20" t="e">
        <f t="shared" si="82"/>
        <v>#NUM!</v>
      </c>
      <c r="GY76" s="59" t="e">
        <f t="shared" si="83"/>
        <v>#NUM!</v>
      </c>
      <c r="GZ76" s="59">
        <f ca="1">AVERAGE(OFFSET($GY$3,0,0,'Données projet'!$E$18+1,1))-AVERAGE(OFFSET($H$3,0,0,'Données projet'!$E$18+1,1))</f>
        <v>336.21787234885699</v>
      </c>
      <c r="HA76" s="59">
        <f t="shared" si="106"/>
        <v>315.36156736899113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198.33587291249009</v>
      </c>
      <c r="HH76" s="21">
        <f>EXP(-LN(2)/25)*HH75+(1-EXP(-LN(2)/25))/(LN(2)/25)*Calculateur!HC76*Calculateur!HE76*VLOOKUP('Données projet'!$B$18,Paramètres!$A$1:$I$89,3,0)*0.475*44/12</f>
        <v>51.005924805575191</v>
      </c>
      <c r="HI76" s="21">
        <f>EXP(-LN(2)/2)*HI75+(1-EXP(-LN(2)/2))/(LN(2)/2)*HC76*HF76*VLOOKUP('Données projet'!$B$18,Paramètres!$A$1:$I$89,3,0)*0.475*44/12</f>
        <v>14.082866042354494</v>
      </c>
      <c r="HJ76" s="22">
        <f t="shared" si="84"/>
        <v>263.42466376041978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3.7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13.566666666666668</v>
      </c>
      <c r="H77" s="67">
        <f t="shared" si="56"/>
        <v>202.4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64.932889509868261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226.95726495726518</v>
      </c>
      <c r="O77" s="13">
        <f>N77*VLOOKUP('Données projet'!$B$9,Paramètres!$A$1:$I$89,3,0)*VLOOKUP('Données projet'!$B$9,Paramètres!$A$1:$I$89,5,0)</f>
        <v>205.35093333333353</v>
      </c>
      <c r="P77" s="13">
        <f t="shared" si="87"/>
        <v>50.91832775961656</v>
      </c>
      <c r="Q77" s="20">
        <f t="shared" si="54"/>
        <v>446.33562973688805</v>
      </c>
      <c r="R77" s="59">
        <f t="shared" si="55"/>
        <v>721.08955793973837</v>
      </c>
      <c r="S77" s="59">
        <f ca="1">AVERAGE(OFFSET($R$3,0,0,'Données projet'!$E$9+1,1))-AVERAGE(OFFSET($H$3,0,0,'Données projet'!$E$9+1,1))</f>
        <v>411.64357329340851</v>
      </c>
      <c r="T77" s="59">
        <f t="shared" si="88"/>
        <v>294.07942258675632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21.432835110143486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21.432835110143486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64.932889509868261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7.8425925925925934</v>
      </c>
      <c r="AI77" s="13">
        <f>IF('Données projet'!$A$62&gt;35,AI76+AH77-AQ76,IF(A77&lt;'Données projet'!$A$62,$AF$205^A77,IF(A77='Données projet'!$A$62,'Données projet'!$B$62,AI76+AH77-AQ76)))</f>
        <v>226.95726495726518</v>
      </c>
      <c r="AJ77" s="13">
        <f>AI77*VLOOKUP('Données projet'!$B$10,Paramètres!$A$1:$I$89,3,0)*VLOOKUP('Données projet'!$B$10,Paramètres!$A$1:$I$89,5,0)</f>
        <v>230.13466666666693</v>
      </c>
      <c r="AK77" s="13">
        <f t="shared" si="89"/>
        <v>56.311798620954782</v>
      </c>
      <c r="AL77" s="20">
        <f t="shared" si="58"/>
        <v>498.89426037594109</v>
      </c>
      <c r="AM77" s="59">
        <f t="shared" si="59"/>
        <v>773.64818857879141</v>
      </c>
      <c r="AN77" s="59">
        <f ca="1">AVERAGE(OFFSET($AM$3,0,0,'Données projet'!$E$10+1,1))-AVERAGE(OFFSET($H$3,0,0,'Données projet'!$E$10+1,1))</f>
        <v>453.05577105995508</v>
      </c>
      <c r="AO77" s="59">
        <f t="shared" si="90"/>
        <v>322.6839824496758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24.019556588953911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24.019556588953911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64.932889509868261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4.7339743589743559</v>
      </c>
      <c r="BD77" s="12">
        <f>IF('Données projet'!$A$88&gt;35,BD76+BC77-BL76,IF(A77&lt;'Données projet'!$A$88,$BA$205^A77,IF(A77='Données projet'!$A$88,'Données projet'!$B$88,BD76+BC77-BL76)))</f>
        <v>136.98397435897445</v>
      </c>
      <c r="BE77" s="13">
        <f>BD77*VLOOKUP('Données projet'!$B$11,Paramètres!$A$1:$I$89,3,0)*VLOOKUP('Données projet'!$B$11,Paramètres!$A$1:$I$89,5,0)</f>
        <v>136.76480000000009</v>
      </c>
      <c r="BF77" s="13">
        <f t="shared" si="91"/>
        <v>35.55486115546509</v>
      </c>
      <c r="BG77" s="20">
        <f t="shared" si="61"/>
        <v>300.12340984576855</v>
      </c>
      <c r="BH77" s="59">
        <f t="shared" si="62"/>
        <v>574.87733804861887</v>
      </c>
      <c r="BI77" s="59">
        <f ca="1">AVERAGE(OFFSET($BH$3,0,0,'Données projet'!$E$11+1,1))-AVERAGE(OFFSET($H$3,0,0,'Données projet'!$E$11+1,1))</f>
        <v>411.38162678377478</v>
      </c>
      <c r="BJ77" s="59">
        <f t="shared" si="92"/>
        <v>177.89903563360403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64.932889509868261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200.59999999999997</v>
      </c>
      <c r="BZ77" s="13">
        <f>BY77*VLOOKUP('Données projet'!$B$12,Paramètres!$A$1:$I$89,3,0)*VLOOKUP('Données projet'!$B$12,Paramètres!$A$1:$I$89,5,0)</f>
        <v>209.66711999999998</v>
      </c>
      <c r="CA77" s="13">
        <f t="shared" si="93"/>
        <v>51.862836328303665</v>
      </c>
      <c r="CB77" s="20">
        <f t="shared" si="64"/>
        <v>455.49800727179553</v>
      </c>
      <c r="CC77" s="59">
        <f t="shared" si="65"/>
        <v>730.25193547464585</v>
      </c>
      <c r="CD77" s="59">
        <f ca="1">AVERAGE(OFFSET($CC$3,0,0,'Données projet'!$E$12+1,1))-AVERAGE(OFFSET($H$3,0,0,'Données projet'!$E$12+1,1))</f>
        <v>374.38550202939507</v>
      </c>
      <c r="CE77" s="59">
        <f t="shared" si="94"/>
        <v>324.37486924296718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9.7935969445488169</v>
      </c>
      <c r="CL77" s="21">
        <f>EXP(-LN(2)/25)*CL76+(1-EXP(-LN(2)/25))/(LN(2)/25)*Calculateur!CG77*Calculateur!CI77*VLOOKUP('Données projet'!$B$12,Paramètres!$A$1:$I$89,3,0)*0.475*44/12</f>
        <v>15.25094561929844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25.044542563847259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64.932889509868261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5.6899038461538431</v>
      </c>
      <c r="CT77" s="12">
        <f>IF('Données projet'!$A$140&gt;35,CT76+CS77-DB76,IF(A77&lt;'Données projet'!$A$140,$CQ$205^A77,IF(A77='Données projet'!$A$140,'Données projet'!$B$140,CT76+CS77-DB76)))</f>
        <v>175.69471153846149</v>
      </c>
      <c r="CU77" s="17">
        <f>CT77*VLOOKUP('Données projet'!$B$13,Paramètres!$A$1:$I$89,3,0)*VLOOKUP('Données projet'!$B$13,Paramètres!$A$1:$I$89,5,0)</f>
        <v>167.19108749999995</v>
      </c>
      <c r="CV77" s="13">
        <f t="shared" si="95"/>
        <v>42.460311902698287</v>
      </c>
      <c r="CW77" s="20">
        <f t="shared" si="67"/>
        <v>365.14285395969938</v>
      </c>
      <c r="CX77" s="59">
        <f t="shared" si="68"/>
        <v>639.8967821625497</v>
      </c>
      <c r="CY77" s="59">
        <f ca="1">AVERAGE(OFFSET($CX$3,0,0,'Données projet'!$E$13+1,1))-AVERAGE(OFFSET($H$3,0,0,'Données projet'!$E$13+1,1))</f>
        <v>392.81074187112989</v>
      </c>
      <c r="CZ77" s="59">
        <f t="shared" si="96"/>
        <v>236.19146849073687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64.932889509868261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5.6899038461538431</v>
      </c>
      <c r="DO77" s="12">
        <f>IF('Données projet'!$A$166&gt;35,DO76+DN77-DW76,IF(A77&lt;'Données projet'!$A$166,$DL$205^A77,IF(A77='Données projet'!$A$166,'Données projet'!$B$166,DO76+DN77-DW76)))</f>
        <v>175.69471153846149</v>
      </c>
      <c r="DP77" s="17">
        <f>DO77*VLOOKUP('Données projet'!$B$14,Paramètres!$A$1:$I$89,3,0)*VLOOKUP('Données projet'!$B$14,Paramètres!$A$1:$I$89,5,0)</f>
        <v>189.11778749999993</v>
      </c>
      <c r="DQ77" s="13">
        <f t="shared" si="97"/>
        <v>47.344855394007666</v>
      </c>
      <c r="DR77" s="20">
        <f t="shared" si="70"/>
        <v>411.83910304039659</v>
      </c>
      <c r="DS77" s="59">
        <f t="shared" si="71"/>
        <v>686.59303124324697</v>
      </c>
      <c r="DT77" s="59">
        <f ca="1">AVERAGE(OFFSET($DS$3,0,0,'Données projet'!$E$14+1,1))-AVERAGE(OFFSET($H$3,0,0,'Données projet'!$E$14+1,1))</f>
        <v>434.77799524785502</v>
      </c>
      <c r="DU77" s="59">
        <f t="shared" si="98"/>
        <v>259.85949838170006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64.932889509868261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5.6899038461538431</v>
      </c>
      <c r="EJ77" s="12">
        <f>IF('Données projet'!$A$192&gt;35,EJ76+EI77-ER76,IF(A77&lt;'Données projet'!$A$192,$EG$205^A77,IF(A77='Données projet'!$A$192,'Données projet'!$B$192,EJ76+EI77-ER76)))</f>
        <v>175.69471153846149</v>
      </c>
      <c r="EK77" s="17">
        <f>EJ77*VLOOKUP('Données projet'!$B$15,Paramètres!$A$1:$I$89,3,0)*VLOOKUP('Données projet'!$B$15,Paramètres!$A$1:$I$89,5,0)</f>
        <v>169.93192499999995</v>
      </c>
      <c r="EL77" s="13">
        <f t="shared" si="99"/>
        <v>43.074776694487269</v>
      </c>
      <c r="EM77" s="20">
        <f t="shared" si="73"/>
        <v>370.98667211789854</v>
      </c>
      <c r="EN77" s="59">
        <f t="shared" si="74"/>
        <v>645.74060032074885</v>
      </c>
      <c r="EO77" s="59">
        <f ca="1">AVERAGE(OFFSET($EN$3,0,0,'Données projet'!$E$15+1,1))-AVERAGE(OFFSET($H$3,0,0,'Données projet'!$E$15+1,1))</f>
        <v>398.06270423055565</v>
      </c>
      <c r="EP77" s="59">
        <f t="shared" si="100"/>
        <v>239.15364562040614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64.932889509868261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-1.7053025658242404E-13</v>
      </c>
      <c r="FF77" s="17">
        <f>FE77*VLOOKUP('Données projet'!$B$16,Paramètres!$A$1:$I$89,3,0)*VLOOKUP('Données projet'!$B$16,Paramètres!$A$1:$I$89,5,0)</f>
        <v>-1.0197709343628959E-13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334.13861979962491</v>
      </c>
      <c r="FK77" s="59">
        <f t="shared" si="102"/>
        <v>416.48635183664305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114.01626507973489</v>
      </c>
      <c r="FR77" s="21">
        <f>EXP(-LN(2)/25)*FR76+(1-EXP(-LN(2)/25))/(LN(2)/25)*Calculateur!FM77*Calculateur!FO77*VLOOKUP('Données projet'!$B$16,Paramètres!$A$1:$I$89,3,0)*0.475*44/12</f>
        <v>26.834057600430693</v>
      </c>
      <c r="FS77" s="21">
        <f>EXP(-LN(2)/2)*FS76+(1-EXP(-LN(2)/2))/(LN(2)/2)*FM77*FP77*VLOOKUP('Données projet'!$B$16,Paramètres!$A$1:$I$89,3,0)*0.475*44/12</f>
        <v>7.8918693247674865E-2</v>
      </c>
      <c r="FT77" s="22">
        <f t="shared" si="78"/>
        <v>140.92924137341328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64.932889509868261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12.913461538461533</v>
      </c>
      <c r="FZ77" s="12">
        <f>IF('Données projet'!$A$244&gt;35,FZ76+FY77-GH76,IF(A77&lt;'Données projet'!$A$244,$FW$205^A77,IF(A77='Données projet'!$A$244,'Données projet'!$B$244,FZ76+FY77-GH76)))</f>
        <v>372.29423076923086</v>
      </c>
      <c r="GA77" s="17">
        <f>FZ77*VLOOKUP('Données projet'!$B$17,Paramètres!$A$1:$I$89,3,0)*VLOOKUP('Données projet'!$B$17,Paramètres!$A$1:$I$89,5,0)</f>
        <v>174.23370000000006</v>
      </c>
      <c r="GB77" s="13">
        <f t="shared" si="103"/>
        <v>44.036869769028705</v>
      </c>
      <c r="GC77" s="20">
        <f t="shared" si="79"/>
        <v>380.15457568105836</v>
      </c>
      <c r="GD77" s="59">
        <f t="shared" si="80"/>
        <v>654.90850388390868</v>
      </c>
      <c r="GE77" s="59">
        <f ca="1">AVERAGE(OFFSET($GD$3,0,0,'Données projet'!$E$17+1,1))-AVERAGE(OFFSET($H$3,0,0,'Données projet'!$E$17+1,1))</f>
        <v>317.79829681023142</v>
      </c>
      <c r="GF77" s="59">
        <f t="shared" si="104"/>
        <v>275.07716943523621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57.722458896392773</v>
      </c>
      <c r="GM77" s="21">
        <f>EXP(-LN(2)/25)*GM76+(1-EXP(-LN(2)/25))/(LN(2)/25)*Calculateur!GH77*Calculateur!GJ77*VLOOKUP('Données projet'!$B$17,Paramètres!$A$1:$I$89,3,0)*0.475*44/12</f>
        <v>26.552103168010326</v>
      </c>
      <c r="GN77" s="21">
        <f>EXP(-LN(2)/2)*GN76+(1-EXP(-LN(2)/2))/(LN(2)/2)*GH77*GK77*VLOOKUP('Données projet'!$B$17,Paramètres!$A$1:$I$89,3,0)*0.475*44/12</f>
        <v>2.1098766779733711</v>
      </c>
      <c r="GO77" s="21">
        <f t="shared" si="81"/>
        <v>86.384438742376474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64.932889509868261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>
        <f>GU77*VLOOKUP('Données projet'!$B$18,Paramètres!$A$1:$I$89,3,0)*VLOOKUP('Données projet'!$B$18,Paramètres!$A$1:$I$89,5,0)</f>
        <v>0</v>
      </c>
      <c r="GW77" s="13" t="e">
        <f t="shared" si="105"/>
        <v>#NUM!</v>
      </c>
      <c r="GX77" s="20" t="e">
        <f t="shared" si="82"/>
        <v>#NUM!</v>
      </c>
      <c r="GY77" s="59" t="e">
        <f t="shared" si="83"/>
        <v>#NUM!</v>
      </c>
      <c r="GZ77" s="59">
        <f ca="1">AVERAGE(OFFSET($GY$3,0,0,'Données projet'!$E$18+1,1))-AVERAGE(OFFSET($H$3,0,0,'Données projet'!$E$18+1,1))</f>
        <v>336.21787234885699</v>
      </c>
      <c r="HA77" s="59">
        <f t="shared" si="106"/>
        <v>315.36156736899113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194.44662741761354</v>
      </c>
      <c r="HH77" s="21">
        <f>EXP(-LN(2)/25)*HH76+(1-EXP(-LN(2)/25))/(LN(2)/25)*Calculateur!HC77*Calculateur!HE77*VLOOKUP('Données projet'!$B$18,Paramètres!$A$1:$I$89,3,0)*0.475*44/12</f>
        <v>49.611165109481725</v>
      </c>
      <c r="HI77" s="21">
        <f>EXP(-LN(2)/2)*HI76+(1-EXP(-LN(2)/2))/(LN(2)/2)*HC77*HF77*VLOOKUP('Données projet'!$B$18,Paramètres!$A$1:$I$89,3,0)*0.475*44/12</f>
        <v>9.9580900770906204</v>
      </c>
      <c r="HJ77" s="22">
        <f t="shared" si="84"/>
        <v>254.01588260418589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3.7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13.566666666666668</v>
      </c>
      <c r="H78" s="67">
        <f t="shared" si="56"/>
        <v>202.4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65.020792548510101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234.79985754985776</v>
      </c>
      <c r="O78" s="13">
        <f>N78*VLOOKUP('Données projet'!$B$9,Paramètres!$A$1:$I$89,3,0)*VLOOKUP('Données projet'!$B$9,Paramètres!$A$1:$I$89,5,0)</f>
        <v>212.44691111111132</v>
      </c>
      <c r="P78" s="13">
        <f t="shared" si="87"/>
        <v>52.469936290697497</v>
      </c>
      <c r="Q78" s="20">
        <f t="shared" si="54"/>
        <v>461.39684255815035</v>
      </c>
      <c r="R78" s="59">
        <f t="shared" si="55"/>
        <v>736.47308190268745</v>
      </c>
      <c r="S78" s="59">
        <f ca="1">AVERAGE(OFFSET($R$3,0,0,'Données projet'!$E$9+1,1))-AVERAGE(OFFSET($H$3,0,0,'Données projet'!$E$9+1,1))</f>
        <v>411.64357329340851</v>
      </c>
      <c r="T78" s="59">
        <f t="shared" si="88"/>
        <v>294.07942258675632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21.012550286372164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21.012550286372164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65.020792548510101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7.8425925925925934</v>
      </c>
      <c r="AI78" s="13">
        <f>IF('Données projet'!$A$62&gt;35,AI77+AH78-AQ77,IF(A78&lt;'Données projet'!$A$62,$AF$205^A78,IF(A78='Données projet'!$A$62,'Données projet'!$B$62,AI77+AH78-AQ77)))</f>
        <v>234.79985754985776</v>
      </c>
      <c r="AJ78" s="13">
        <f>AI78*VLOOKUP('Données projet'!$B$10,Paramètres!$A$1:$I$89,3,0)*VLOOKUP('Données projet'!$B$10,Paramètres!$A$1:$I$89,5,0)</f>
        <v>238.08705555555576</v>
      </c>
      <c r="AK78" s="13">
        <f t="shared" si="89"/>
        <v>58.027759670447097</v>
      </c>
      <c r="AL78" s="20">
        <f t="shared" si="58"/>
        <v>515.73330318528826</v>
      </c>
      <c r="AM78" s="59">
        <f t="shared" si="59"/>
        <v>790.80954252982531</v>
      </c>
      <c r="AN78" s="59">
        <f ca="1">AVERAGE(OFFSET($AM$3,0,0,'Données projet'!$E$10+1,1))-AVERAGE(OFFSET($H$3,0,0,'Données projet'!$E$10+1,1))</f>
        <v>453.05577105995508</v>
      </c>
      <c r="AO78" s="59">
        <f t="shared" si="90"/>
        <v>322.6839824496758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23.548547734727428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23.548547734727428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65.020792548510101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4.7339743589743559</v>
      </c>
      <c r="BD78" s="12">
        <f>IF('Données projet'!$A$88&gt;35,BD77+BC78-BL77,IF(A78&lt;'Données projet'!$A$88,$BA$205^A78,IF(A78='Données projet'!$A$88,'Données projet'!$B$88,BD77+BC78-BL77)))</f>
        <v>141.71794871794881</v>
      </c>
      <c r="BE78" s="13">
        <f>BD78*VLOOKUP('Données projet'!$B$11,Paramètres!$A$1:$I$89,3,0)*VLOOKUP('Données projet'!$B$11,Paramètres!$A$1:$I$89,5,0)</f>
        <v>141.49120000000011</v>
      </c>
      <c r="BF78" s="13">
        <f t="shared" si="91"/>
        <v>36.638407539219173</v>
      </c>
      <c r="BG78" s="20">
        <f t="shared" si="61"/>
        <v>310.24239979747352</v>
      </c>
      <c r="BH78" s="59">
        <f t="shared" si="62"/>
        <v>585.31863914201062</v>
      </c>
      <c r="BI78" s="59">
        <f ca="1">AVERAGE(OFFSET($BH$3,0,0,'Données projet'!$E$11+1,1))-AVERAGE(OFFSET($H$3,0,0,'Données projet'!$E$11+1,1))</f>
        <v>411.38162678377478</v>
      </c>
      <c r="BJ78" s="59">
        <f t="shared" si="92"/>
        <v>177.89903563360403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65.020792548510101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204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203.99999999999997</v>
      </c>
      <c r="BZ78" s="13">
        <f>BY78*VLOOKUP('Données projet'!$B$12,Paramètres!$A$1:$I$89,3,0)*VLOOKUP('Données projet'!$B$12,Paramètres!$A$1:$I$89,5,0)</f>
        <v>213.22079999999997</v>
      </c>
      <c r="CA78" s="13">
        <f t="shared" si="93"/>
        <v>52.638786839117564</v>
      </c>
      <c r="CB78" s="20">
        <f t="shared" si="64"/>
        <v>463.03878041146299</v>
      </c>
      <c r="CC78" s="59">
        <f t="shared" si="65"/>
        <v>738.11501975600004</v>
      </c>
      <c r="CD78" s="59">
        <f ca="1">AVERAGE(OFFSET($CC$3,0,0,'Données projet'!$E$12+1,1))-AVERAGE(OFFSET($H$3,0,0,'Données projet'!$E$12+1,1))</f>
        <v>374.38550202939507</v>
      </c>
      <c r="CE78" s="59">
        <f t="shared" si="94"/>
        <v>324.37486924296718</v>
      </c>
      <c r="CF78" s="15">
        <f>IF(ISNA(VLOOKUP(A78,'Données projet'!$A$113:$I$133,3,0)),0,VLOOKUP(A78,'Données projet'!$A$113:$I$133,3,0))</f>
        <v>12</v>
      </c>
      <c r="CG78" s="15" t="str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0.17200000000000001</v>
      </c>
      <c r="CI78" s="16">
        <f>IF(ISNA(VLOOKUP(A78,'Données projet'!$A$113:$I$133,6,0)),0%,VLOOKUP(A78,'Données projet'!$A$113:$I$133,6,0)*VLOOKUP('Données projet'!$B$12,Paramètres!$A$1:$I$89,7,0))</f>
        <v>0.17200000000000001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11.986373772350218</v>
      </c>
      <c r="CL78" s="21">
        <f>EXP(-LN(2)/25)*CL77+(1-EXP(-LN(2)/25))/(LN(2)/25)*Calculateur!CG78*Calculateur!CI78*VLOOKUP('Données projet'!$B$12,Paramètres!$A$1:$I$89,3,0)*0.475*44/12</f>
        <v>17.209341041722915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29.195714814073135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65.020792548510101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181.38461538461536</v>
      </c>
      <c r="CR78" s="12">
        <f>VLOOKUP(A78,'Données projet'!$A$139:$I$159,9,0)</f>
        <v>5.6899038461538431</v>
      </c>
      <c r="CS78" s="12">
        <f t="array" ref="CS78">INDEX(CR:CR,MIN(IF(ISNUMBER(CR78:CR274),ROW(CR78:CR274),"")))</f>
        <v>5.6899038461538431</v>
      </c>
      <c r="CT78" s="12">
        <f>IF('Données projet'!$A$140&gt;35,CT77+CS78-DB77,IF(A78&lt;'Données projet'!$A$140,$CQ$205^A78,IF(A78='Données projet'!$A$140,'Données projet'!$B$140,CT77+CS78-DB77)))</f>
        <v>181.38461538461533</v>
      </c>
      <c r="CU78" s="17">
        <f>CT78*VLOOKUP('Données projet'!$B$13,Paramètres!$A$1:$I$89,3,0)*VLOOKUP('Données projet'!$B$13,Paramètres!$A$1:$I$89,5,0)</f>
        <v>172.60559999999995</v>
      </c>
      <c r="CV78" s="13">
        <f t="shared" si="95"/>
        <v>43.673073690898889</v>
      </c>
      <c r="CW78" s="20">
        <f t="shared" si="67"/>
        <v>376.68535667831543</v>
      </c>
      <c r="CX78" s="59">
        <f t="shared" si="68"/>
        <v>651.76159602285247</v>
      </c>
      <c r="CY78" s="59">
        <f ca="1">AVERAGE(OFFSET($CX$3,0,0,'Données projet'!$E$13+1,1))-AVERAGE(OFFSET($H$3,0,0,'Données projet'!$E$13+1,1))</f>
        <v>392.81074187112989</v>
      </c>
      <c r="CZ78" s="59">
        <f t="shared" si="96"/>
        <v>236.19146849073687</v>
      </c>
      <c r="DA78" s="15">
        <f>IF(ISNA(VLOOKUP(A78,'Données projet'!$A$139:$I$159,3,0)),0,VLOOKUP(A78,'Données projet'!$A$139:$I$159,3,0))</f>
        <v>5</v>
      </c>
      <c r="DB78" s="15">
        <f>IF(ISNA(VLOOKUP(A78,'Données projet'!$A$139:$I$159,4,0)),0,VLOOKUP(A78,'Données projet'!$A$139:$I$159,4,0))</f>
        <v>30.916666666666664</v>
      </c>
      <c r="DC78" s="16">
        <f>IF(ISNA(VLOOKUP(A78,'Données projet'!$A$139:$I$159,5,0)),0%,VLOOKUP(A78,'Données projet'!$A$139:$I$159,5,0)*VLOOKUP('Données projet'!$B$13,Paramètres!$A$1:$I$89,7,0))</f>
        <v>0.30099999999999999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9.7895043322989483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9.7895043322989483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65.020792548510101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181.38461538461536</v>
      </c>
      <c r="DM78" s="12">
        <f>VLOOKUP(A78,'Données projet'!$A$165:$I$185,9,0)</f>
        <v>5.6899038461538431</v>
      </c>
      <c r="DN78" s="12">
        <f t="array" ref="DN78">INDEX(DM:DM,MIN(IF(ISNUMBER(DM78:DM274),ROW(DM78:DM274),"")))</f>
        <v>5.6899038461538431</v>
      </c>
      <c r="DO78" s="12">
        <f>IF('Données projet'!$A$166&gt;35,DO77+DN78-DW77,IF(A78&lt;'Données projet'!$A$166,$DL$205^A78,IF(A78='Données projet'!$A$166,'Données projet'!$B$166,DO77+DN78-DW77)))</f>
        <v>181.38461538461533</v>
      </c>
      <c r="DP78" s="17">
        <f>DO78*VLOOKUP('Données projet'!$B$14,Paramètres!$A$1:$I$89,3,0)*VLOOKUP('Données projet'!$B$14,Paramètres!$A$1:$I$89,5,0)</f>
        <v>195.24239999999992</v>
      </c>
      <c r="DQ78" s="13">
        <f t="shared" si="97"/>
        <v>48.697130705157342</v>
      </c>
      <c r="DR78" s="20">
        <f t="shared" si="70"/>
        <v>424.86134931148223</v>
      </c>
      <c r="DS78" s="59">
        <f t="shared" si="71"/>
        <v>699.93758865601922</v>
      </c>
      <c r="DT78" s="59">
        <f ca="1">AVERAGE(OFFSET($DS$3,0,0,'Données projet'!$E$14+1,1))-AVERAGE(OFFSET($H$3,0,0,'Données projet'!$E$14+1,1))</f>
        <v>434.77799524785502</v>
      </c>
      <c r="DU78" s="59">
        <f t="shared" si="98"/>
        <v>259.85949838170006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30.916666666666664</v>
      </c>
      <c r="DX78" s="16">
        <f>IF(ISNA(VLOOKUP(A78,'Données projet'!$A$165:$I$185,5,0)),0%,VLOOKUP(A78,'Données projet'!$A$165:$I$185,5,0)*VLOOKUP('Données projet'!$B$14,Paramètres!$A$1:$I$89,7,0))</f>
        <v>0.30099999999999999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11.073373752928319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11.073373752928319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65.020792548510101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181.38461538461536</v>
      </c>
      <c r="EH78" s="12">
        <f>VLOOKUP(A78,'Données projet'!$A$191:$I$211,9,0)</f>
        <v>5.6899038461538431</v>
      </c>
      <c r="EI78" s="12">
        <f t="array" ref="EI78">INDEX(EH:EH,MIN(IF(ISNUMBER(EH78:EH274),ROW(EH78:EH274),"")))</f>
        <v>5.6899038461538431</v>
      </c>
      <c r="EJ78" s="12">
        <f>IF('Données projet'!$A$192&gt;35,EJ77+EI78-ER77,IF(A78&lt;'Données projet'!$A$192,$EG$205^A78,IF(A78='Données projet'!$A$192,'Données projet'!$B$192,EJ77+EI78-ER77)))</f>
        <v>181.38461538461533</v>
      </c>
      <c r="EK78" s="17">
        <f>EJ78*VLOOKUP('Données projet'!$B$15,Paramètres!$A$1:$I$89,3,0)*VLOOKUP('Données projet'!$B$15,Paramètres!$A$1:$I$89,5,0)</f>
        <v>175.43519999999995</v>
      </c>
      <c r="EL78" s="13">
        <f t="shared" si="99"/>
        <v>44.305088975990508</v>
      </c>
      <c r="EM78" s="20">
        <f t="shared" si="73"/>
        <v>382.71433663318339</v>
      </c>
      <c r="EN78" s="59">
        <f t="shared" si="74"/>
        <v>657.79057597772044</v>
      </c>
      <c r="EO78" s="59">
        <f ca="1">AVERAGE(OFFSET($EN$3,0,0,'Données projet'!$E$15+1,1))-AVERAGE(OFFSET($H$3,0,0,'Données projet'!$E$15+1,1))</f>
        <v>398.06270423055565</v>
      </c>
      <c r="EP78" s="59">
        <f t="shared" si="100"/>
        <v>239.15364562040614</v>
      </c>
      <c r="EQ78" s="15">
        <f>IF(ISNA(VLOOKUP(A78,'Données projet'!$A$191:$I$211,3,0)),0,VLOOKUP(A78,'Données projet'!$A$191:$I$211,3,0))</f>
        <v>5</v>
      </c>
      <c r="ER78" s="15">
        <f>IF(ISNA(VLOOKUP(A78,'Données projet'!$A$191:$I$211,4,0)),0,VLOOKUP(A78,'Données projet'!$A$191:$I$211,4,0))</f>
        <v>30.916666666666664</v>
      </c>
      <c r="ES78" s="16">
        <f>IF(ISNA(VLOOKUP(A78,'Données projet'!$A$191:$I$211,5,0)),0%,VLOOKUP(A78,'Données projet'!$A$191:$I$211,5,0)*VLOOKUP('Données projet'!$B$15,Paramètres!$A$1:$I$89,7,0))</f>
        <v>0.30099999999999999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9.9499880098776199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9.9499880098776199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65.020792548510101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-1.7053025658242404E-13</v>
      </c>
      <c r="FF78" s="17">
        <f>FE78*VLOOKUP('Données projet'!$B$16,Paramètres!$A$1:$I$89,3,0)*VLOOKUP('Données projet'!$B$16,Paramètres!$A$1:$I$89,5,0)</f>
        <v>-1.0197709343628959E-13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334.13861979962491</v>
      </c>
      <c r="FK78" s="59">
        <f t="shared" si="102"/>
        <v>416.48635183664305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111.78047566457619</v>
      </c>
      <c r="FR78" s="21">
        <f>EXP(-LN(2)/25)*FR77+(1-EXP(-LN(2)/25))/(LN(2)/25)*Calculateur!FM78*Calculateur!FO78*VLOOKUP('Données projet'!$B$16,Paramètres!$A$1:$I$89,3,0)*0.475*44/12</f>
        <v>26.100278884205157</v>
      </c>
      <c r="FS78" s="21">
        <f>EXP(-LN(2)/2)*FS77+(1-EXP(-LN(2)/2))/(LN(2)/2)*FM78*FP78*VLOOKUP('Données projet'!$B$16,Paramètres!$A$1:$I$89,3,0)*0.475*44/12</f>
        <v>5.5803943157811897E-2</v>
      </c>
      <c r="FT78" s="22">
        <f t="shared" si="78"/>
        <v>137.93655849193914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65.020792548510101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12.913461538461533</v>
      </c>
      <c r="FZ78" s="12">
        <f>IF('Données projet'!$A$244&gt;35,FZ77+FY78-GH77,IF(A78&lt;'Données projet'!$A$244,$FW$205^A78,IF(A78='Données projet'!$A$244,'Données projet'!$B$244,FZ77+FY78-GH77)))</f>
        <v>385.20769230769241</v>
      </c>
      <c r="GA78" s="17">
        <f>FZ78*VLOOKUP('Données projet'!$B$17,Paramètres!$A$1:$I$89,3,0)*VLOOKUP('Données projet'!$B$17,Paramètres!$A$1:$I$89,5,0)</f>
        <v>180.27720000000005</v>
      </c>
      <c r="GB78" s="13">
        <f t="shared" si="103"/>
        <v>45.383852535093837</v>
      </c>
      <c r="GC78" s="20">
        <f t="shared" si="79"/>
        <v>393.02633316528846</v>
      </c>
      <c r="GD78" s="59">
        <f t="shared" si="80"/>
        <v>668.10257250982545</v>
      </c>
      <c r="GE78" s="59">
        <f ca="1">AVERAGE(OFFSET($GD$3,0,0,'Données projet'!$E$17+1,1))-AVERAGE(OFFSET($H$3,0,0,'Données projet'!$E$17+1,1))</f>
        <v>317.79829681023142</v>
      </c>
      <c r="GF78" s="59">
        <f t="shared" si="104"/>
        <v>275.07716943523621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56.590556684658011</v>
      </c>
      <c r="GM78" s="21">
        <f>EXP(-LN(2)/25)*GM77+(1-EXP(-LN(2)/25))/(LN(2)/25)*Calculateur!GH78*Calculateur!GJ78*VLOOKUP('Données projet'!$B$17,Paramètres!$A$1:$I$89,3,0)*0.475*44/12</f>
        <v>25.826034510566664</v>
      </c>
      <c r="GN78" s="21">
        <f>EXP(-LN(2)/2)*GN77+(1-EXP(-LN(2)/2))/(LN(2)/2)*GH78*GK78*VLOOKUP('Données projet'!$B$17,Paramètres!$A$1:$I$89,3,0)*0.475*44/12</f>
        <v>1.4919081064623163</v>
      </c>
      <c r="GO78" s="21">
        <f t="shared" si="81"/>
        <v>83.908499301686987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65.020792548510101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>
        <f>GU78*VLOOKUP('Données projet'!$B$18,Paramètres!$A$1:$I$89,3,0)*VLOOKUP('Données projet'!$B$18,Paramètres!$A$1:$I$89,5,0)</f>
        <v>0</v>
      </c>
      <c r="GW78" s="13" t="e">
        <f t="shared" si="105"/>
        <v>#NUM!</v>
      </c>
      <c r="GX78" s="20" t="e">
        <f t="shared" si="82"/>
        <v>#NUM!</v>
      </c>
      <c r="GY78" s="59" t="e">
        <f t="shared" si="83"/>
        <v>#NUM!</v>
      </c>
      <c r="GZ78" s="59">
        <f ca="1">AVERAGE(OFFSET($GY$3,0,0,'Données projet'!$E$18+1,1))-AVERAGE(OFFSET($H$3,0,0,'Données projet'!$E$18+1,1))</f>
        <v>336.21787234885699</v>
      </c>
      <c r="HA78" s="59">
        <f t="shared" si="106"/>
        <v>315.36156736899113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190.633647654686</v>
      </c>
      <c r="HH78" s="21">
        <f>EXP(-LN(2)/25)*HH77+(1-EXP(-LN(2)/25))/(LN(2)/25)*Calculateur!HC78*Calculateur!HE78*VLOOKUP('Données projet'!$B$18,Paramètres!$A$1:$I$89,3,0)*0.475*44/12</f>
        <v>48.254545190625159</v>
      </c>
      <c r="HI78" s="21">
        <f>EXP(-LN(2)/2)*HI77+(1-EXP(-LN(2)/2))/(LN(2)/2)*HC78*HF78*VLOOKUP('Données projet'!$B$18,Paramètres!$A$1:$I$89,3,0)*0.475*44/12</f>
        <v>7.041433021177248</v>
      </c>
      <c r="HJ78" s="22">
        <f t="shared" si="84"/>
        <v>245.92962586648841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3.7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13.566666666666668</v>
      </c>
      <c r="H79" s="67">
        <f t="shared" si="56"/>
        <v>202.4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65.107170665953248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242.64245014245034</v>
      </c>
      <c r="O79" s="13">
        <f>N79*VLOOKUP('Données projet'!$B$9,Paramètres!$A$1:$I$89,3,0)*VLOOKUP('Données projet'!$B$9,Paramètres!$A$1:$I$89,5,0)</f>
        <v>219.54288888888908</v>
      </c>
      <c r="P79" s="13">
        <f t="shared" si="87"/>
        <v>54.015522855627488</v>
      </c>
      <c r="Q79" s="20">
        <f t="shared" si="54"/>
        <v>476.44756712169959</v>
      </c>
      <c r="R79" s="59">
        <f t="shared" si="55"/>
        <v>751.84052623019488</v>
      </c>
      <c r="S79" s="59">
        <f ca="1">AVERAGE(OFFSET($R$3,0,0,'Données projet'!$E$9+1,1))-AVERAGE(OFFSET($H$3,0,0,'Données projet'!$E$9+1,1))</f>
        <v>411.64357329340851</v>
      </c>
      <c r="T79" s="59">
        <f t="shared" si="88"/>
        <v>294.07942258675632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20.600506991646569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20.600506991646569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65.107170665953248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7.8425925925925934</v>
      </c>
      <c r="AI79" s="13">
        <f>IF('Données projet'!$A$62&gt;35,AI78+AH79-AQ78,IF(A79&lt;'Données projet'!$A$62,$AF$205^A79,IF(A79='Données projet'!$A$62,'Données projet'!$B$62,AI78+AH79-AQ78)))</f>
        <v>242.64245014245034</v>
      </c>
      <c r="AJ79" s="13">
        <f>AI79*VLOOKUP('Données projet'!$B$10,Paramètres!$A$1:$I$89,3,0)*VLOOKUP('Données projet'!$B$10,Paramètres!$A$1:$I$89,5,0)</f>
        <v>246.03944444444465</v>
      </c>
      <c r="AK79" s="13">
        <f t="shared" si="89"/>
        <v>59.737060883292813</v>
      </c>
      <c r="AL79" s="20">
        <f t="shared" si="58"/>
        <v>532.56074677914273</v>
      </c>
      <c r="AM79" s="59">
        <f t="shared" si="59"/>
        <v>807.95370588763797</v>
      </c>
      <c r="AN79" s="59">
        <f ca="1">AVERAGE(OFFSET($AM$3,0,0,'Données projet'!$E$10+1,1))-AVERAGE(OFFSET($H$3,0,0,'Données projet'!$E$10+1,1))</f>
        <v>453.05577105995508</v>
      </c>
      <c r="AO79" s="59">
        <f t="shared" si="90"/>
        <v>322.6839824496758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23.086775076845292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23.086775076845292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65.107170665953248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4.7339743589743559</v>
      </c>
      <c r="BD79" s="12">
        <f>IF('Données projet'!$A$88&gt;35,BD78+BC79-BL78,IF(A79&lt;'Données projet'!$A$88,$BA$205^A79,IF(A79='Données projet'!$A$88,'Données projet'!$B$88,BD78+BC79-BL78)))</f>
        <v>146.45192307692318</v>
      </c>
      <c r="BE79" s="13">
        <f>BD79*VLOOKUP('Données projet'!$B$11,Paramètres!$A$1:$I$89,3,0)*VLOOKUP('Données projet'!$B$11,Paramètres!$A$1:$I$89,5,0)</f>
        <v>146.21760000000012</v>
      </c>
      <c r="BF79" s="13">
        <f t="shared" si="91"/>
        <v>37.71774817915248</v>
      </c>
      <c r="BG79" s="20">
        <f t="shared" si="61"/>
        <v>320.35406474535739</v>
      </c>
      <c r="BH79" s="59">
        <f t="shared" si="62"/>
        <v>595.74702385385262</v>
      </c>
      <c r="BI79" s="59">
        <f ca="1">AVERAGE(OFFSET($BH$3,0,0,'Données projet'!$E$11+1,1))-AVERAGE(OFFSET($H$3,0,0,'Données projet'!$E$11+1,1))</f>
        <v>411.38162678377478</v>
      </c>
      <c r="BJ79" s="59">
        <f t="shared" si="92"/>
        <v>177.89903563360403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65.107170665953248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3.2</v>
      </c>
      <c r="BY79" s="12">
        <f>IF('Données projet'!$A$114&gt;35,BY78+BX79-CG78,IF(A79&lt;'Données projet'!$A$114,$BV$205^A79,IF(A79='Données projet'!$A$114,'Données projet'!$B$114,BY78+BX79-CG78)))</f>
        <v>195.19999999999996</v>
      </c>
      <c r="BZ79" s="13">
        <f>BY79*VLOOKUP('Données projet'!$B$12,Paramètres!$A$1:$I$89,3,0)*VLOOKUP('Données projet'!$B$12,Paramètres!$A$1:$I$89,5,0)</f>
        <v>204.02303999999998</v>
      </c>
      <c r="CA79" s="13">
        <f t="shared" si="93"/>
        <v>50.627282749042514</v>
      </c>
      <c r="CB79" s="20">
        <f t="shared" si="64"/>
        <v>443.51597878791563</v>
      </c>
      <c r="CC79" s="59">
        <f t="shared" si="65"/>
        <v>718.90893789641086</v>
      </c>
      <c r="CD79" s="59">
        <f ca="1">AVERAGE(OFFSET($CC$3,0,0,'Données projet'!$E$12+1,1))-AVERAGE(OFFSET($H$3,0,0,'Données projet'!$E$12+1,1))</f>
        <v>374.38550202939507</v>
      </c>
      <c r="CE79" s="59">
        <f t="shared" si="94"/>
        <v>324.37486924296718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11.751328293640533</v>
      </c>
      <c r="CL79" s="21">
        <f>EXP(-LN(2)/25)*CL78+(1-EXP(-LN(2)/25))/(LN(2)/25)*Calculateur!CG79*Calculateur!CI79*VLOOKUP('Données projet'!$B$12,Paramètres!$A$1:$I$89,3,0)*0.475*44/12</f>
        <v>16.73875070593709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28.490078999577623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65.107170665953248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5.5042735042735051</v>
      </c>
      <c r="CT79" s="12">
        <f>IF('Données projet'!$A$140&gt;35,CT78+CS79-DB78,IF(A79&lt;'Données projet'!$A$140,$CQ$205^A79,IF(A79='Données projet'!$A$140,'Données projet'!$B$140,CT78+CS79-DB78)))</f>
        <v>155.97222222222217</v>
      </c>
      <c r="CU79" s="17">
        <f>CT79*VLOOKUP('Données projet'!$B$13,Paramètres!$A$1:$I$89,3,0)*VLOOKUP('Données projet'!$B$13,Paramètres!$A$1:$I$89,5,0)</f>
        <v>148.42316666666662</v>
      </c>
      <c r="CV79" s="13">
        <f t="shared" si="95"/>
        <v>38.220024488050548</v>
      </c>
      <c r="CW79" s="20">
        <f t="shared" si="67"/>
        <v>325.07022459446569</v>
      </c>
      <c r="CX79" s="59">
        <f t="shared" si="68"/>
        <v>600.46318370296092</v>
      </c>
      <c r="CY79" s="59">
        <f ca="1">AVERAGE(OFFSET($CX$3,0,0,'Données projet'!$E$13+1,1))-AVERAGE(OFFSET($H$3,0,0,'Données projet'!$E$13+1,1))</f>
        <v>392.81074187112989</v>
      </c>
      <c r="CZ79" s="59">
        <f t="shared" si="96"/>
        <v>236.19146849073687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9.5975381233506205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9.5975381233506205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65.107170665953248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5.5042735042735051</v>
      </c>
      <c r="DO79" s="12">
        <f>IF('Données projet'!$A$166&gt;35,DO78+DN79-DW78,IF(A79&lt;'Données projet'!$A$166,$DL$205^A79,IF(A79='Données projet'!$A$166,'Données projet'!$B$166,DO78+DN79-DW78)))</f>
        <v>155.97222222222217</v>
      </c>
      <c r="DP79" s="17">
        <f>DO79*VLOOKUP('Données projet'!$B$14,Paramètres!$A$1:$I$89,3,0)*VLOOKUP('Données projet'!$B$14,Paramètres!$A$1:$I$89,5,0)</f>
        <v>167.88849999999994</v>
      </c>
      <c r="DQ79" s="13">
        <f t="shared" si="97"/>
        <v>42.616774381895034</v>
      </c>
      <c r="DR79" s="20">
        <f t="shared" si="70"/>
        <v>366.63001954846703</v>
      </c>
      <c r="DS79" s="59">
        <f t="shared" si="71"/>
        <v>642.02297865696232</v>
      </c>
      <c r="DT79" s="59">
        <f ca="1">AVERAGE(OFFSET($DS$3,0,0,'Données projet'!$E$14+1,1))-AVERAGE(OFFSET($H$3,0,0,'Données projet'!$E$14+1,1))</f>
        <v>434.77799524785502</v>
      </c>
      <c r="DU79" s="59">
        <f t="shared" si="98"/>
        <v>259.85949838170006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10.856231647724472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10.856231647724472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65.107170665953248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5.5042735042735051</v>
      </c>
      <c r="EJ79" s="12">
        <f>IF('Données projet'!$A$192&gt;35,EJ78+EI79-ER78,IF(A79&lt;'Données projet'!$A$192,$EG$205^A79,IF(A79='Données projet'!$A$192,'Données projet'!$B$192,EJ78+EI79-ER78)))</f>
        <v>155.97222222222217</v>
      </c>
      <c r="EK79" s="17">
        <f>EJ79*VLOOKUP('Données projet'!$B$15,Paramètres!$A$1:$I$89,3,0)*VLOOKUP('Données projet'!$B$15,Paramètres!$A$1:$I$89,5,0)</f>
        <v>150.85633333333328</v>
      </c>
      <c r="EL79" s="13">
        <f t="shared" si="99"/>
        <v>38.773125921762045</v>
      </c>
      <c r="EM79" s="20">
        <f t="shared" si="73"/>
        <v>330.27130820262437</v>
      </c>
      <c r="EN79" s="59">
        <f t="shared" si="74"/>
        <v>605.6642673111196</v>
      </c>
      <c r="EO79" s="59">
        <f ca="1">AVERAGE(OFFSET($EN$3,0,0,'Données projet'!$E$15+1,1))-AVERAGE(OFFSET($H$3,0,0,'Données projet'!$E$15+1,1))</f>
        <v>398.06270423055565</v>
      </c>
      <c r="EP79" s="59">
        <f t="shared" si="100"/>
        <v>239.15364562040614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9.7548748138973522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9.7548748138973522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65.107170665953248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-1.7053025658242404E-13</v>
      </c>
      <c r="FF79" s="17">
        <f>FE79*VLOOKUP('Données projet'!$B$16,Paramètres!$A$1:$I$89,3,0)*VLOOKUP('Données projet'!$B$16,Paramètres!$A$1:$I$89,5,0)</f>
        <v>-1.0197709343628959E-13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334.13861979962491</v>
      </c>
      <c r="FK79" s="59">
        <f t="shared" si="102"/>
        <v>416.48635183664305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109.58852871615186</v>
      </c>
      <c r="FR79" s="21">
        <f>EXP(-LN(2)/25)*FR78+(1-EXP(-LN(2)/25))/(LN(2)/25)*Calculateur!FM79*Calculateur!FO79*VLOOKUP('Données projet'!$B$16,Paramètres!$A$1:$I$89,3,0)*0.475*44/12</f>
        <v>25.386565385562552</v>
      </c>
      <c r="FS79" s="21">
        <f>EXP(-LN(2)/2)*FS78+(1-EXP(-LN(2)/2))/(LN(2)/2)*FM79*FP79*VLOOKUP('Données projet'!$B$16,Paramètres!$A$1:$I$89,3,0)*0.475*44/12</f>
        <v>3.9459346623837432E-2</v>
      </c>
      <c r="FT79" s="22">
        <f t="shared" si="78"/>
        <v>135.01455344833823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65.107170665953248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12.913461538461533</v>
      </c>
      <c r="FZ79" s="12">
        <f>IF('Données projet'!$A$244&gt;35,FZ78+FY79-GH78,IF(A79&lt;'Données projet'!$A$244,$FW$205^A79,IF(A79='Données projet'!$A$244,'Données projet'!$B$244,FZ78+FY79-GH78)))</f>
        <v>398.12115384615396</v>
      </c>
      <c r="GA79" s="17">
        <f>FZ79*VLOOKUP('Données projet'!$B$17,Paramètres!$A$1:$I$89,3,0)*VLOOKUP('Données projet'!$B$17,Paramètres!$A$1:$I$89,5,0)</f>
        <v>186.32070000000004</v>
      </c>
      <c r="GB79" s="13">
        <f t="shared" si="103"/>
        <v>46.725588415193215</v>
      </c>
      <c r="GC79" s="20">
        <f t="shared" si="79"/>
        <v>405.88895232312825</v>
      </c>
      <c r="GD79" s="59">
        <f t="shared" si="80"/>
        <v>681.28191143162348</v>
      </c>
      <c r="GE79" s="59">
        <f ca="1">AVERAGE(OFFSET($GD$3,0,0,'Données projet'!$E$17+1,1))-AVERAGE(OFFSET($H$3,0,0,'Données projet'!$E$17+1,1))</f>
        <v>317.79829681023142</v>
      </c>
      <c r="GF79" s="59">
        <f t="shared" si="104"/>
        <v>275.07716943523621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55.480850384903192</v>
      </c>
      <c r="GM79" s="21">
        <f>EXP(-LN(2)/25)*GM78+(1-EXP(-LN(2)/25))/(LN(2)/25)*Calculateur!GH79*Calculateur!GJ79*VLOOKUP('Données projet'!$B$17,Paramètres!$A$1:$I$89,3,0)*0.475*44/12</f>
        <v>25.119820238743092</v>
      </c>
      <c r="GN79" s="21">
        <f>EXP(-LN(2)/2)*GN78+(1-EXP(-LN(2)/2))/(LN(2)/2)*GH79*GK79*VLOOKUP('Données projet'!$B$17,Paramètres!$A$1:$I$89,3,0)*0.475*44/12</f>
        <v>1.0549383389866855</v>
      </c>
      <c r="GO79" s="21">
        <f t="shared" si="81"/>
        <v>81.655608962632968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65.107170665953248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>
        <f>GU79*VLOOKUP('Données projet'!$B$18,Paramètres!$A$1:$I$89,3,0)*VLOOKUP('Données projet'!$B$18,Paramètres!$A$1:$I$89,5,0)</f>
        <v>0</v>
      </c>
      <c r="GW79" s="13" t="e">
        <f t="shared" si="105"/>
        <v>#NUM!</v>
      </c>
      <c r="GX79" s="20" t="e">
        <f t="shared" si="82"/>
        <v>#NUM!</v>
      </c>
      <c r="GY79" s="59" t="e">
        <f t="shared" si="83"/>
        <v>#NUM!</v>
      </c>
      <c r="GZ79" s="59">
        <f ca="1">AVERAGE(OFFSET($GY$3,0,0,'Données projet'!$E$18+1,1))-AVERAGE(OFFSET($H$3,0,0,'Données projet'!$E$18+1,1))</f>
        <v>336.21787234885699</v>
      </c>
      <c r="HA79" s="59">
        <f t="shared" si="106"/>
        <v>315.36156736899113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186.89543809922148</v>
      </c>
      <c r="HH79" s="21">
        <f>EXP(-LN(2)/25)*HH78+(1-EXP(-LN(2)/25))/(LN(2)/25)*Calculateur!HC79*Calculateur!HE79*VLOOKUP('Données projet'!$B$18,Paramètres!$A$1:$I$89,3,0)*0.475*44/12</f>
        <v>46.935022114791266</v>
      </c>
      <c r="HI79" s="21">
        <f>EXP(-LN(2)/2)*HI78+(1-EXP(-LN(2)/2))/(LN(2)/2)*HC79*HF79*VLOOKUP('Données projet'!$B$18,Paramètres!$A$1:$I$89,3,0)*0.475*44/12</f>
        <v>4.9790450385453111</v>
      </c>
      <c r="HJ79" s="22">
        <f t="shared" si="84"/>
        <v>238.80950525255807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3.7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13.566666666666668</v>
      </c>
      <c r="H80" s="67">
        <f t="shared" si="56"/>
        <v>202.4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65.192050316171319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250.48504273504292</v>
      </c>
      <c r="O80" s="13">
        <f>N80*VLOOKUP('Données projet'!$B$9,Paramètres!$A$1:$I$89,3,0)*VLOOKUP('Données projet'!$B$9,Paramètres!$A$1:$I$89,5,0)</f>
        <v>226.63886666666684</v>
      </c>
      <c r="P80" s="13">
        <f t="shared" si="87"/>
        <v>55.555304418491261</v>
      </c>
      <c r="Q80" s="20">
        <f t="shared" si="54"/>
        <v>491.4881813066504</v>
      </c>
      <c r="R80" s="59">
        <f t="shared" si="55"/>
        <v>767.1923657992786</v>
      </c>
      <c r="S80" s="59">
        <f ca="1">AVERAGE(OFFSET($R$3,0,0,'Données projet'!$E$9+1,1))-AVERAGE(OFFSET($H$3,0,0,'Données projet'!$E$9+1,1))</f>
        <v>411.64357329340851</v>
      </c>
      <c r="T80" s="59">
        <f t="shared" si="88"/>
        <v>294.07942258675632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20.196543614608945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20.196543614608945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65.192050316171319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7.8425925925925934</v>
      </c>
      <c r="AI80" s="13">
        <f>IF('Données projet'!$A$62&gt;35,AI79+AH80-AQ79,IF(A80&lt;'Données projet'!$A$62,$AF$205^A80,IF(A80='Données projet'!$A$62,'Données projet'!$B$62,AI79+AH80-AQ79)))</f>
        <v>250.48504273504292</v>
      </c>
      <c r="AJ80" s="13">
        <f>AI80*VLOOKUP('Données projet'!$B$10,Paramètres!$A$1:$I$89,3,0)*VLOOKUP('Données projet'!$B$10,Paramètres!$A$1:$I$89,5,0)</f>
        <v>253.99183333333355</v>
      </c>
      <c r="AK80" s="13">
        <f t="shared" si="89"/>
        <v>61.439942205271571</v>
      </c>
      <c r="AL80" s="20">
        <f t="shared" si="58"/>
        <v>549.37700906307055</v>
      </c>
      <c r="AM80" s="59">
        <f t="shared" si="59"/>
        <v>825.08119355569875</v>
      </c>
      <c r="AN80" s="59">
        <f ca="1">AVERAGE(OFFSET($AM$3,0,0,'Données projet'!$E$10+1,1))-AVERAGE(OFFSET($H$3,0,0,'Données projet'!$E$10+1,1))</f>
        <v>453.05577105995508</v>
      </c>
      <c r="AO80" s="59">
        <f t="shared" si="90"/>
        <v>322.6839824496758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22.634057499130716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22.634057499130716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65.192050316171319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>
        <f>VLOOKUP(A80,'Données projet'!$A$87:$I$107,2,0)</f>
        <v>151.18589743589743</v>
      </c>
      <c r="BB80" s="12">
        <f>VLOOKUP(A80,'Données projet'!$A$87:$I$107,9,0)</f>
        <v>4.7339743589743559</v>
      </c>
      <c r="BC80" s="12">
        <f t="array" ref="BC80">INDEX(BB:BB,MIN(IF(ISNUMBER(BB80:BB276),ROW(BB80:BB276),"")))</f>
        <v>4.7339743589743559</v>
      </c>
      <c r="BD80" s="12">
        <f>IF('Données projet'!$A$88&gt;35,BD79+BC80-BL79,IF(A80&lt;'Données projet'!$A$88,$BA$205^A80,IF(A80='Données projet'!$A$88,'Données projet'!$B$88,BD79+BC80-BL79)))</f>
        <v>151.18589743589754</v>
      </c>
      <c r="BE80" s="13">
        <f>BD80*VLOOKUP('Données projet'!$B$11,Paramètres!$A$1:$I$89,3,0)*VLOOKUP('Données projet'!$B$11,Paramètres!$A$1:$I$89,5,0)</f>
        <v>150.9440000000001</v>
      </c>
      <c r="BF80" s="13">
        <f t="shared" si="91"/>
        <v>38.793034616303977</v>
      </c>
      <c r="BG80" s="20">
        <f t="shared" si="61"/>
        <v>330.45866862339625</v>
      </c>
      <c r="BH80" s="59">
        <f t="shared" si="62"/>
        <v>606.16285311602439</v>
      </c>
      <c r="BI80" s="59">
        <f ca="1">AVERAGE(OFFSET($BH$3,0,0,'Données projet'!$E$11+1,1))-AVERAGE(OFFSET($H$3,0,0,'Données projet'!$E$11+1,1))</f>
        <v>411.38162678377478</v>
      </c>
      <c r="BJ80" s="59">
        <f t="shared" si="92"/>
        <v>177.89903563360403</v>
      </c>
      <c r="BK80" s="15">
        <f>IF(ISNA(VLOOKUP(A80,'Données projet'!$A$87:$I$107,3,0)),0,VLOOKUP(A80,'Données projet'!$A$87:$I$107,3,0))</f>
        <v>3</v>
      </c>
      <c r="BL80" s="15">
        <f>IF(ISNA(VLOOKUP(A80,'Données projet'!$A$87:$I$107,4,0)),0,VLOOKUP(A80,'Données projet'!$A$87:$I$107,4,0))</f>
        <v>25.53846153846154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65.192050316171319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3.2</v>
      </c>
      <c r="BY80" s="12">
        <f>IF('Données projet'!$A$114&gt;35,BY79+BX80-CG79,IF(A80&lt;'Données projet'!$A$114,$BV$205^A80,IF(A80='Données projet'!$A$114,'Données projet'!$B$114,BY79+BX80-CG79)))</f>
        <v>198.39999999999995</v>
      </c>
      <c r="BZ80" s="13">
        <f>BY80*VLOOKUP('Données projet'!$B$12,Paramètres!$A$1:$I$89,3,0)*VLOOKUP('Données projet'!$B$12,Paramètres!$A$1:$I$89,5,0)</f>
        <v>207.36767999999995</v>
      </c>
      <c r="CA80" s="13">
        <f t="shared" si="93"/>
        <v>51.359935934080831</v>
      </c>
      <c r="CB80" s="20">
        <f t="shared" si="64"/>
        <v>450.61726441852403</v>
      </c>
      <c r="CC80" s="59">
        <f t="shared" si="65"/>
        <v>726.32144891115217</v>
      </c>
      <c r="CD80" s="59">
        <f ca="1">AVERAGE(OFFSET($CC$3,0,0,'Données projet'!$E$12+1,1))-AVERAGE(OFFSET($H$3,0,0,'Données projet'!$E$12+1,1))</f>
        <v>374.38550202939507</v>
      </c>
      <c r="CE80" s="59">
        <f t="shared" si="94"/>
        <v>324.37486924296718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11.520891913404759</v>
      </c>
      <c r="CL80" s="21">
        <f>EXP(-LN(2)/25)*CL79+(1-EXP(-LN(2)/25))/(LN(2)/25)*Calculateur!CG80*Calculateur!CI80*VLOOKUP('Données projet'!$B$12,Paramètres!$A$1:$I$89,3,0)*0.475*44/12</f>
        <v>16.281028687630599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27.801920601035356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65.192050316171319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5.5042735042735051</v>
      </c>
      <c r="CT80" s="12">
        <f>IF('Données projet'!$A$140&gt;35,CT79+CS80-DB79,IF(A80&lt;'Données projet'!$A$140,$CQ$205^A80,IF(A80='Données projet'!$A$140,'Données projet'!$B$140,CT79+CS80-DB79)))</f>
        <v>161.47649572649567</v>
      </c>
      <c r="CU80" s="17">
        <f>CT80*VLOOKUP('Données projet'!$B$13,Paramètres!$A$1:$I$89,3,0)*VLOOKUP('Données projet'!$B$13,Paramètres!$A$1:$I$89,5,0)</f>
        <v>153.66103333333328</v>
      </c>
      <c r="CV80" s="13">
        <f t="shared" si="95"/>
        <v>39.409397364479119</v>
      </c>
      <c r="CW80" s="20">
        <f t="shared" si="67"/>
        <v>336.26433346535657</v>
      </c>
      <c r="CX80" s="59">
        <f t="shared" si="68"/>
        <v>611.96851795798466</v>
      </c>
      <c r="CY80" s="59">
        <f ca="1">AVERAGE(OFFSET($CX$3,0,0,'Données projet'!$E$13+1,1))-AVERAGE(OFFSET($H$3,0,0,'Données projet'!$E$13+1,1))</f>
        <v>392.81074187112989</v>
      </c>
      <c r="CZ80" s="59">
        <f t="shared" si="96"/>
        <v>236.19146849073687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9.4093362546719437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9.4093362546719437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65.192050316171319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5.5042735042735051</v>
      </c>
      <c r="DO80" s="12">
        <f>IF('Données projet'!$A$166&gt;35,DO79+DN80-DW79,IF(A80&lt;'Données projet'!$A$166,$DL$205^A80,IF(A80='Données projet'!$A$166,'Données projet'!$B$166,DO79+DN80-DW79)))</f>
        <v>161.47649572649567</v>
      </c>
      <c r="DP80" s="17">
        <f>DO80*VLOOKUP('Données projet'!$B$14,Paramètres!$A$1:$I$89,3,0)*VLOOKUP('Données projet'!$B$14,Paramètres!$A$1:$I$89,5,0)</f>
        <v>173.81329999999994</v>
      </c>
      <c r="DQ80" s="13">
        <f t="shared" si="97"/>
        <v>43.94297017087338</v>
      </c>
      <c r="DR80" s="20">
        <f t="shared" si="70"/>
        <v>379.25883721427107</v>
      </c>
      <c r="DS80" s="59">
        <f t="shared" si="71"/>
        <v>654.96302170689921</v>
      </c>
      <c r="DT80" s="59">
        <f ca="1">AVERAGE(OFFSET($DS$3,0,0,'Données projet'!$E$14+1,1))-AVERAGE(OFFSET($H$3,0,0,'Données projet'!$E$14+1,1))</f>
        <v>434.77799524785502</v>
      </c>
      <c r="DU80" s="59">
        <f t="shared" si="98"/>
        <v>259.85949838170006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10.643347566760067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10.643347566760067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65.192050316171319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5.5042735042735051</v>
      </c>
      <c r="EJ80" s="12">
        <f>IF('Données projet'!$A$192&gt;35,EJ79+EI80-ER79,IF(A80&lt;'Données projet'!$A$192,$EG$205^A80,IF(A80='Données projet'!$A$192,'Données projet'!$B$192,EJ79+EI80-ER79)))</f>
        <v>161.47649572649567</v>
      </c>
      <c r="EK80" s="17">
        <f>EJ80*VLOOKUP('Données projet'!$B$15,Paramètres!$A$1:$I$89,3,0)*VLOOKUP('Données projet'!$B$15,Paramètres!$A$1:$I$89,5,0)</f>
        <v>156.18006666666662</v>
      </c>
      <c r="EL80" s="13">
        <f t="shared" si="99"/>
        <v>39.979710818642765</v>
      </c>
      <c r="EM80" s="20">
        <f t="shared" si="73"/>
        <v>341.64494578691387</v>
      </c>
      <c r="EN80" s="59">
        <f t="shared" si="74"/>
        <v>617.34913027954201</v>
      </c>
      <c r="EO80" s="59">
        <f ca="1">AVERAGE(OFFSET($EN$3,0,0,'Données projet'!$E$15+1,1))-AVERAGE(OFFSET($H$3,0,0,'Données projet'!$E$15+1,1))</f>
        <v>398.06270423055565</v>
      </c>
      <c r="EP80" s="59">
        <f t="shared" si="100"/>
        <v>239.15364562040614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9.5635876686829597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9.5635876686829597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65.192050316171319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-1.7053025658242404E-13</v>
      </c>
      <c r="FF80" s="17">
        <f>FE80*VLOOKUP('Données projet'!$B$16,Paramètres!$A$1:$I$89,3,0)*VLOOKUP('Données projet'!$B$16,Paramètres!$A$1:$I$89,5,0)</f>
        <v>-1.0197709343628959E-13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334.13861979962491</v>
      </c>
      <c r="FK80" s="59">
        <f t="shared" si="102"/>
        <v>416.48635183664305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107.4395645104305</v>
      </c>
      <c r="FR80" s="21">
        <f>EXP(-LN(2)/25)*FR79+(1-EXP(-LN(2)/25))/(LN(2)/25)*Calculateur!FM80*Calculateur!FO80*VLOOKUP('Données projet'!$B$16,Paramètres!$A$1:$I$89,3,0)*0.475*44/12</f>
        <v>24.692368420072892</v>
      </c>
      <c r="FS80" s="21">
        <f>EXP(-LN(2)/2)*FS79+(1-EXP(-LN(2)/2))/(LN(2)/2)*FM80*FP80*VLOOKUP('Données projet'!$B$16,Paramètres!$A$1:$I$89,3,0)*0.475*44/12</f>
        <v>2.7901971578905949E-2</v>
      </c>
      <c r="FT80" s="22">
        <f t="shared" si="78"/>
        <v>132.15983490208228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65.192050316171319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12.913461538461533</v>
      </c>
      <c r="FZ80" s="12">
        <f>IF('Données projet'!$A$244&gt;35,FZ79+FY80-GH79,IF(A80&lt;'Données projet'!$A$244,$FW$205^A80,IF(A80='Données projet'!$A$244,'Données projet'!$B$244,FZ79+FY80-GH79)))</f>
        <v>411.03461538461551</v>
      </c>
      <c r="GA80" s="17">
        <f>FZ80*VLOOKUP('Données projet'!$B$17,Paramètres!$A$1:$I$89,3,0)*VLOOKUP('Données projet'!$B$17,Paramètres!$A$1:$I$89,5,0)</f>
        <v>192.36420000000004</v>
      </c>
      <c r="GB80" s="13">
        <f t="shared" si="103"/>
        <v>48.062267116572606</v>
      </c>
      <c r="GC80" s="20">
        <f t="shared" si="79"/>
        <v>418.74276356136397</v>
      </c>
      <c r="GD80" s="59">
        <f t="shared" si="80"/>
        <v>694.44694805399217</v>
      </c>
      <c r="GE80" s="59">
        <f ca="1">AVERAGE(OFFSET($GD$3,0,0,'Données projet'!$E$17+1,1))-AVERAGE(OFFSET($H$3,0,0,'Données projet'!$E$17+1,1))</f>
        <v>317.79829681023142</v>
      </c>
      <c r="GF80" s="59">
        <f t="shared" si="104"/>
        <v>275.07716943523621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54.392904748832557</v>
      </c>
      <c r="GM80" s="21">
        <f>EXP(-LN(2)/25)*GM79+(1-EXP(-LN(2)/25))/(LN(2)/25)*Calculateur!GH80*Calculateur!GJ80*VLOOKUP('Données projet'!$B$17,Paramètres!$A$1:$I$89,3,0)*0.475*44/12</f>
        <v>24.432917433320728</v>
      </c>
      <c r="GN80" s="21">
        <f>EXP(-LN(2)/2)*GN79+(1-EXP(-LN(2)/2))/(LN(2)/2)*GH80*GK80*VLOOKUP('Données projet'!$B$17,Paramètres!$A$1:$I$89,3,0)*0.475*44/12</f>
        <v>0.74595405323115815</v>
      </c>
      <c r="GO80" s="21">
        <f t="shared" si="81"/>
        <v>79.571776235384448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65.192050316171319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>
        <f>GU80*VLOOKUP('Données projet'!$B$18,Paramètres!$A$1:$I$89,3,0)*VLOOKUP('Données projet'!$B$18,Paramètres!$A$1:$I$89,5,0)</f>
        <v>0</v>
      </c>
      <c r="GW80" s="13" t="e">
        <f t="shared" si="105"/>
        <v>#NUM!</v>
      </c>
      <c r="GX80" s="20" t="e">
        <f t="shared" si="82"/>
        <v>#NUM!</v>
      </c>
      <c r="GY80" s="59" t="e">
        <f t="shared" si="83"/>
        <v>#NUM!</v>
      </c>
      <c r="GZ80" s="59">
        <f ca="1">AVERAGE(OFFSET($GY$3,0,0,'Données projet'!$E$18+1,1))-AVERAGE(OFFSET($H$3,0,0,'Données projet'!$E$18+1,1))</f>
        <v>336.21787234885699</v>
      </c>
      <c r="HA80" s="59">
        <f t="shared" si="106"/>
        <v>315.36156736899113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183.23053255305692</v>
      </c>
      <c r="HH80" s="21">
        <f>EXP(-LN(2)/25)*HH79+(1-EXP(-LN(2)/25))/(LN(2)/25)*Calculateur!HC80*Calculateur!HE80*VLOOKUP('Données projet'!$B$18,Paramètres!$A$1:$I$89,3,0)*0.475*44/12</f>
        <v>45.651581466856754</v>
      </c>
      <c r="HI80" s="21">
        <f>EXP(-LN(2)/2)*HI79+(1-EXP(-LN(2)/2))/(LN(2)/2)*HC80*HF80*VLOOKUP('Données projet'!$B$18,Paramètres!$A$1:$I$89,3,0)*0.475*44/12</f>
        <v>3.5207165105886244</v>
      </c>
      <c r="HJ80" s="22">
        <f t="shared" si="84"/>
        <v>232.40283053050229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3.7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13.566666666666668</v>
      </c>
      <c r="H81" s="67">
        <f t="shared" si="56"/>
        <v>202.4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65.275457494220561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258.32763532763551</v>
      </c>
      <c r="O81" s="13">
        <f>N81*VLOOKUP('Données projet'!$B$9,Paramètres!$A$1:$I$89,3,0)*VLOOKUP('Données projet'!$B$9,Paramètres!$A$1:$I$89,5,0)</f>
        <v>233.7348444444446</v>
      </c>
      <c r="P81" s="13">
        <f t="shared" si="87"/>
        <v>57.089483585580787</v>
      </c>
      <c r="Q81" s="20">
        <f t="shared" si="54"/>
        <v>506.51903798562756</v>
      </c>
      <c r="R81" s="59">
        <f t="shared" si="55"/>
        <v>782.52904879776963</v>
      </c>
      <c r="S81" s="59">
        <f ca="1">AVERAGE(OFFSET($R$3,0,0,'Données projet'!$E$9+1,1))-AVERAGE(OFFSET($H$3,0,0,'Données projet'!$E$9+1,1))</f>
        <v>411.64357329340851</v>
      </c>
      <c r="T81" s="59">
        <f t="shared" si="88"/>
        <v>294.07942258675632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19.800501713001701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19.800501713001701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65.275457494220561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7.8425925925925934</v>
      </c>
      <c r="AI81" s="13">
        <f>IF('Données projet'!$A$62&gt;35,AI80+AH81-AQ80,IF(A81&lt;'Données projet'!$A$62,$AF$205^A81,IF(A81='Données projet'!$A$62,'Données projet'!$B$62,AI80+AH81-AQ80)))</f>
        <v>258.32763532763551</v>
      </c>
      <c r="AJ81" s="13">
        <f>AI81*VLOOKUP('Données projet'!$B$10,Paramètres!$A$1:$I$89,3,0)*VLOOKUP('Données projet'!$B$10,Paramètres!$A$1:$I$89,5,0)</f>
        <v>261.94422222222244</v>
      </c>
      <c r="AK81" s="13">
        <f t="shared" si="89"/>
        <v>63.136627703535865</v>
      </c>
      <c r="AL81" s="20">
        <f t="shared" si="58"/>
        <v>566.18248028736241</v>
      </c>
      <c r="AM81" s="59">
        <f t="shared" si="59"/>
        <v>842.19249109950442</v>
      </c>
      <c r="AN81" s="59">
        <f ca="1">AVERAGE(OFFSET($AM$3,0,0,'Données projet'!$E$10+1,1))-AVERAGE(OFFSET($H$3,0,0,'Données projet'!$E$10+1,1))</f>
        <v>453.05577105995508</v>
      </c>
      <c r="AO81" s="59">
        <f t="shared" si="90"/>
        <v>322.6839824496758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22.190217436984664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22.190217436984664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65.275457494220561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4.7037037037037051</v>
      </c>
      <c r="BD81" s="12">
        <f>IF('Données projet'!$A$88&gt;35,BD80+BC81-BL80,IF(A81&lt;'Données projet'!$A$88,$BA$205^A81,IF(A81='Données projet'!$A$88,'Données projet'!$B$88,BD80+BC81-BL80)))</f>
        <v>130.35113960113969</v>
      </c>
      <c r="BE81" s="13">
        <f>BD81*VLOOKUP('Données projet'!$B$11,Paramètres!$A$1:$I$89,3,0)*VLOOKUP('Données projet'!$B$11,Paramètres!$A$1:$I$89,5,0)</f>
        <v>130.14257777777786</v>
      </c>
      <c r="BF81" s="13">
        <f t="shared" si="91"/>
        <v>34.029302768519621</v>
      </c>
      <c r="BG81" s="20">
        <f t="shared" si="61"/>
        <v>285.93269195146809</v>
      </c>
      <c r="BH81" s="59">
        <f t="shared" si="62"/>
        <v>561.94270276361021</v>
      </c>
      <c r="BI81" s="59">
        <f ca="1">AVERAGE(OFFSET($BH$3,0,0,'Données projet'!$E$11+1,1))-AVERAGE(OFFSET($H$3,0,0,'Données projet'!$E$11+1,1))</f>
        <v>411.38162678377478</v>
      </c>
      <c r="BJ81" s="59">
        <f t="shared" si="92"/>
        <v>177.89903563360403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65.275457494220561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3.2</v>
      </c>
      <c r="BY81" s="12">
        <f>IF('Données projet'!$A$114&gt;35,BY80+BX81-CG80,IF(A81&lt;'Données projet'!$A$114,$BV$205^A81,IF(A81='Données projet'!$A$114,'Données projet'!$B$114,BY80+BX81-CG80)))</f>
        <v>201.59999999999994</v>
      </c>
      <c r="BZ81" s="13">
        <f>BY81*VLOOKUP('Données projet'!$B$12,Paramètres!$A$1:$I$89,3,0)*VLOOKUP('Données projet'!$B$12,Paramètres!$A$1:$I$89,5,0)</f>
        <v>210.71231999999998</v>
      </c>
      <c r="CA81" s="13">
        <f t="shared" si="93"/>
        <v>52.091214849236422</v>
      </c>
      <c r="CB81" s="20">
        <f t="shared" si="64"/>
        <v>457.71615652908667</v>
      </c>
      <c r="CC81" s="59">
        <f t="shared" si="65"/>
        <v>733.7261673412288</v>
      </c>
      <c r="CD81" s="59">
        <f ca="1">AVERAGE(OFFSET($CC$3,0,0,'Données projet'!$E$12+1,1))-AVERAGE(OFFSET($H$3,0,0,'Données projet'!$E$12+1,1))</f>
        <v>374.38550202939507</v>
      </c>
      <c r="CE81" s="59">
        <f t="shared" si="94"/>
        <v>324.37486924296718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11.294974250033095</v>
      </c>
      <c r="CL81" s="21">
        <f>EXP(-LN(2)/25)*CL80+(1-EXP(-LN(2)/25))/(LN(2)/25)*Calculateur!CG81*Calculateur!CI81*VLOOKUP('Données projet'!$B$12,Paramètres!$A$1:$I$89,3,0)*0.475*44/12</f>
        <v>15.835823101985252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27.130797352018348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65.275457494220561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5.5042735042735051</v>
      </c>
      <c r="CT81" s="12">
        <f>IF('Données projet'!$A$140&gt;35,CT80+CS81-DB80,IF(A81&lt;'Données projet'!$A$140,$CQ$205^A81,IF(A81='Données projet'!$A$140,'Données projet'!$B$140,CT80+CS81-DB80)))</f>
        <v>166.98076923076917</v>
      </c>
      <c r="CU81" s="17">
        <f>CT81*VLOOKUP('Données projet'!$B$13,Paramètres!$A$1:$I$89,3,0)*VLOOKUP('Données projet'!$B$13,Paramètres!$A$1:$I$89,5,0)</f>
        <v>158.89889999999994</v>
      </c>
      <c r="CV81" s="13">
        <f t="shared" si="95"/>
        <v>40.59405949958991</v>
      </c>
      <c r="CW81" s="20">
        <f t="shared" si="67"/>
        <v>347.45023779511899</v>
      </c>
      <c r="CX81" s="59">
        <f t="shared" si="68"/>
        <v>623.46024860726106</v>
      </c>
      <c r="CY81" s="59">
        <f ca="1">AVERAGE(OFFSET($CX$3,0,0,'Données projet'!$E$13+1,1))-AVERAGE(OFFSET($H$3,0,0,'Données projet'!$E$13+1,1))</f>
        <v>392.81074187112989</v>
      </c>
      <c r="CZ81" s="59">
        <f t="shared" si="96"/>
        <v>236.19146849073687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9.2248249098462498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9.2248249098462498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65.275457494220561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5.5042735042735051</v>
      </c>
      <c r="DO81" s="12">
        <f>IF('Données projet'!$A$166&gt;35,DO80+DN81-DW80,IF(A81&lt;'Données projet'!$A$166,$DL$205^A81,IF(A81='Données projet'!$A$166,'Données projet'!$B$166,DO80+DN81-DW80)))</f>
        <v>166.98076923076917</v>
      </c>
      <c r="DP81" s="17">
        <f>DO81*VLOOKUP('Données projet'!$B$14,Paramètres!$A$1:$I$89,3,0)*VLOOKUP('Données projet'!$B$14,Paramètres!$A$1:$I$89,5,0)</f>
        <v>179.73809999999995</v>
      </c>
      <c r="DQ81" s="13">
        <f t="shared" si="97"/>
        <v>45.263913304925367</v>
      </c>
      <c r="DR81" s="20">
        <f t="shared" si="70"/>
        <v>391.87850650607828</v>
      </c>
      <c r="DS81" s="59">
        <f t="shared" si="71"/>
        <v>667.88851731822035</v>
      </c>
      <c r="DT81" s="59">
        <f ca="1">AVERAGE(OFFSET($DS$3,0,0,'Données projet'!$E$14+1,1))-AVERAGE(OFFSET($H$3,0,0,'Données projet'!$E$14+1,1))</f>
        <v>434.77799524785502</v>
      </c>
      <c r="DU81" s="59">
        <f t="shared" si="98"/>
        <v>259.85949838170006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10.434638012776906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10.434638012776906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65.275457494220561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5.5042735042735051</v>
      </c>
      <c r="EJ81" s="12">
        <f>IF('Données projet'!$A$192&gt;35,EJ80+EI81-ER80,IF(A81&lt;'Données projet'!$A$192,$EG$205^A81,IF(A81='Données projet'!$A$192,'Données projet'!$B$192,EJ80+EI81-ER80)))</f>
        <v>166.98076923076917</v>
      </c>
      <c r="EK81" s="17">
        <f>EJ81*VLOOKUP('Données projet'!$B$15,Paramètres!$A$1:$I$89,3,0)*VLOOKUP('Données projet'!$B$15,Paramètres!$A$1:$I$89,5,0)</f>
        <v>161.50379999999993</v>
      </c>
      <c r="EL81" s="13">
        <f t="shared" si="99"/>
        <v>41.181516802669677</v>
      </c>
      <c r="EM81" s="20">
        <f t="shared" si="73"/>
        <v>353.01026009798289</v>
      </c>
      <c r="EN81" s="59">
        <f t="shared" si="74"/>
        <v>629.02027091012496</v>
      </c>
      <c r="EO81" s="59">
        <f ca="1">AVERAGE(OFFSET($EN$3,0,0,'Données projet'!$E$15+1,1))-AVERAGE(OFFSET($H$3,0,0,'Données projet'!$E$15+1,1))</f>
        <v>398.06270423055565</v>
      </c>
      <c r="EP81" s="59">
        <f t="shared" si="100"/>
        <v>239.15364562040614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9.3760515477125832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9.3760515477125832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65.275457494220561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-1.7053025658242404E-13</v>
      </c>
      <c r="FF81" s="17">
        <f>FE81*VLOOKUP('Données projet'!$B$16,Paramètres!$A$1:$I$89,3,0)*VLOOKUP('Données projet'!$B$16,Paramètres!$A$1:$I$89,5,0)</f>
        <v>-1.0197709343628959E-13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334.13861979962491</v>
      </c>
      <c r="FK81" s="59">
        <f t="shared" si="102"/>
        <v>416.48635183664305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105.33274018204459</v>
      </c>
      <c r="FR81" s="21">
        <f>EXP(-LN(2)/25)*FR80+(1-EXP(-LN(2)/25))/(LN(2)/25)*Calculateur!FM81*Calculateur!FO81*VLOOKUP('Données projet'!$B$16,Paramètres!$A$1:$I$89,3,0)*0.475*44/12</f>
        <v>24.017154307110779</v>
      </c>
      <c r="FS81" s="21">
        <f>EXP(-LN(2)/2)*FS80+(1-EXP(-LN(2)/2))/(LN(2)/2)*FM81*FP81*VLOOKUP('Données projet'!$B$16,Paramètres!$A$1:$I$89,3,0)*0.475*44/12</f>
        <v>1.9729673311918716E-2</v>
      </c>
      <c r="FT81" s="22">
        <f t="shared" si="78"/>
        <v>129.36962416246729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65.275457494220561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12.913461538461533</v>
      </c>
      <c r="FZ81" s="12">
        <f>IF('Données projet'!$A$244&gt;35,FZ80+FY81-GH80,IF(A81&lt;'Données projet'!$A$244,$FW$205^A81,IF(A81='Données projet'!$A$244,'Données projet'!$B$244,FZ80+FY81-GH80)))</f>
        <v>423.94807692307705</v>
      </c>
      <c r="GA81" s="17">
        <f>FZ81*VLOOKUP('Données projet'!$B$17,Paramètres!$A$1:$I$89,3,0)*VLOOKUP('Données projet'!$B$17,Paramètres!$A$1:$I$89,5,0)</f>
        <v>198.40770000000006</v>
      </c>
      <c r="GB81" s="13">
        <f t="shared" si="103"/>
        <v>49.394065749424826</v>
      </c>
      <c r="GC81" s="20">
        <f t="shared" si="79"/>
        <v>431.58807534691499</v>
      </c>
      <c r="GD81" s="59">
        <f t="shared" si="80"/>
        <v>707.59808615905706</v>
      </c>
      <c r="GE81" s="59">
        <f ca="1">AVERAGE(OFFSET($GD$3,0,0,'Données projet'!$E$17+1,1))-AVERAGE(OFFSET($H$3,0,0,'Données projet'!$E$17+1,1))</f>
        <v>317.79829681023142</v>
      </c>
      <c r="GF81" s="59">
        <f t="shared" si="104"/>
        <v>275.07716943523621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53.326293063103947</v>
      </c>
      <c r="GM81" s="21">
        <f>EXP(-LN(2)/25)*GM80+(1-EXP(-LN(2)/25))/(LN(2)/25)*Calculateur!GH81*Calculateur!GJ81*VLOOKUP('Données projet'!$B$17,Paramètres!$A$1:$I$89,3,0)*0.475*44/12</f>
        <v>23.764798021235286</v>
      </c>
      <c r="GN81" s="21">
        <f>EXP(-LN(2)/2)*GN80+(1-EXP(-LN(2)/2))/(LN(2)/2)*GH81*GK81*VLOOKUP('Données projet'!$B$17,Paramètres!$A$1:$I$89,3,0)*0.475*44/12</f>
        <v>0.52746916949334277</v>
      </c>
      <c r="GO81" s="21">
        <f t="shared" si="81"/>
        <v>77.618560253832584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65.275457494220561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>
        <f>GU81*VLOOKUP('Données projet'!$B$18,Paramètres!$A$1:$I$89,3,0)*VLOOKUP('Données projet'!$B$18,Paramètres!$A$1:$I$89,5,0)</f>
        <v>0</v>
      </c>
      <c r="GW81" s="13" t="e">
        <f t="shared" si="105"/>
        <v>#NUM!</v>
      </c>
      <c r="GX81" s="20" t="e">
        <f t="shared" si="82"/>
        <v>#NUM!</v>
      </c>
      <c r="GY81" s="59" t="e">
        <f t="shared" si="83"/>
        <v>#NUM!</v>
      </c>
      <c r="GZ81" s="59">
        <f ca="1">AVERAGE(OFFSET($GY$3,0,0,'Données projet'!$E$18+1,1))-AVERAGE(OFFSET($H$3,0,0,'Données projet'!$E$18+1,1))</f>
        <v>336.21787234885699</v>
      </c>
      <c r="HA81" s="59">
        <f t="shared" si="106"/>
        <v>315.36156736899113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179.63749356928099</v>
      </c>
      <c r="HH81" s="21">
        <f>EXP(-LN(2)/25)*HH80+(1-EXP(-LN(2)/25))/(LN(2)/25)*Calculateur!HC81*Calculateur!HE81*VLOOKUP('Données projet'!$B$18,Paramètres!$A$1:$I$89,3,0)*0.475*44/12</f>
        <v>44.403236570933224</v>
      </c>
      <c r="HI81" s="21">
        <f>EXP(-LN(2)/2)*HI80+(1-EXP(-LN(2)/2))/(LN(2)/2)*HC81*HF81*VLOOKUP('Données projet'!$B$18,Paramètres!$A$1:$I$89,3,0)*0.475*44/12</f>
        <v>2.4895225192726556</v>
      </c>
      <c r="HJ81" s="22">
        <f t="shared" si="84"/>
        <v>226.53025265948688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3.7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13.566666666666668</v>
      </c>
      <c r="H82" s="67">
        <f t="shared" si="56"/>
        <v>202.4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65.357417744201172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266.17022792022811</v>
      </c>
      <c r="O82" s="13">
        <f>N82*VLOOKUP('Données projet'!$B$9,Paramètres!$A$1:$I$89,3,0)*VLOOKUP('Données projet'!$B$9,Paramètres!$A$1:$I$89,5,0)</f>
        <v>240.83082222222239</v>
      </c>
      <c r="P82" s="13">
        <f t="shared" si="87"/>
        <v>58.618249962252264</v>
      </c>
      <c r="Q82" s="20">
        <f t="shared" si="54"/>
        <v>521.54046738795989</v>
      </c>
      <c r="R82" s="59">
        <f t="shared" si="55"/>
        <v>797.85099911669749</v>
      </c>
      <c r="S82" s="59">
        <f ca="1">AVERAGE(OFFSET($R$3,0,0,'Données projet'!$E$9+1,1))-AVERAGE(OFFSET($H$3,0,0,'Données projet'!$E$9+1,1))</f>
        <v>411.64357329340851</v>
      </c>
      <c r="T82" s="59">
        <f t="shared" si="88"/>
        <v>294.07942258675632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19.412225951523265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19.412225951523265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65.357417744201172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7.8425925925925934</v>
      </c>
      <c r="AI82" s="13">
        <f>IF('Données projet'!$A$62&gt;35,AI81+AH82-AQ81,IF(A82&lt;'Données projet'!$A$62,$AF$205^A82,IF(A82='Données projet'!$A$62,'Données projet'!$B$62,AI81+AH82-AQ81)))</f>
        <v>266.17022792022811</v>
      </c>
      <c r="AJ82" s="13">
        <f>AI82*VLOOKUP('Données projet'!$B$10,Paramètres!$A$1:$I$89,3,0)*VLOOKUP('Données projet'!$B$10,Paramètres!$A$1:$I$89,5,0)</f>
        <v>269.89661111111133</v>
      </c>
      <c r="AK82" s="13">
        <f t="shared" si="89"/>
        <v>64.82732706719186</v>
      </c>
      <c r="AL82" s="20">
        <f t="shared" si="58"/>
        <v>582.97752566054464</v>
      </c>
      <c r="AM82" s="59">
        <f t="shared" si="59"/>
        <v>859.28805738928236</v>
      </c>
      <c r="AN82" s="59">
        <f ca="1">AVERAGE(OFFSET($AM$3,0,0,'Données projet'!$E$10+1,1))-AVERAGE(OFFSET($H$3,0,0,'Données projet'!$E$10+1,1))</f>
        <v>453.05577105995508</v>
      </c>
      <c r="AO82" s="59">
        <f t="shared" si="90"/>
        <v>322.6839824496758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21.755080807741592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21.755080807741592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65.357417744201172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4.7037037037037051</v>
      </c>
      <c r="BD82" s="12">
        <f>IF('Données projet'!$A$88&gt;35,BD81+BC82-BL81,IF(A82&lt;'Données projet'!$A$88,$BA$205^A82,IF(A82='Données projet'!$A$88,'Données projet'!$B$88,BD81+BC82-BL81)))</f>
        <v>135.05484330484339</v>
      </c>
      <c r="BE82" s="13">
        <f>BD82*VLOOKUP('Données projet'!$B$11,Paramètres!$A$1:$I$89,3,0)*VLOOKUP('Données projet'!$B$11,Paramètres!$A$1:$I$89,5,0)</f>
        <v>134.83875555555565</v>
      </c>
      <c r="BF82" s="13">
        <f t="shared" si="91"/>
        <v>35.112064476907364</v>
      </c>
      <c r="BG82" s="20">
        <f t="shared" si="61"/>
        <v>295.99767822320644</v>
      </c>
      <c r="BH82" s="59">
        <f t="shared" si="62"/>
        <v>572.30820995194404</v>
      </c>
      <c r="BI82" s="59">
        <f ca="1">AVERAGE(OFFSET($BH$3,0,0,'Données projet'!$E$11+1,1))-AVERAGE(OFFSET($H$3,0,0,'Données projet'!$E$11+1,1))</f>
        <v>411.38162678377478</v>
      </c>
      <c r="BJ82" s="59">
        <f t="shared" si="92"/>
        <v>177.89903563360403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65.357417744201172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3.2</v>
      </c>
      <c r="BY82" s="12">
        <f>IF('Données projet'!$A$114&gt;35,BY81+BX82-CG81,IF(A82&lt;'Données projet'!$A$114,$BV$205^A82,IF(A82='Données projet'!$A$114,'Données projet'!$B$114,BY81+BX82-CG81)))</f>
        <v>204.79999999999993</v>
      </c>
      <c r="BZ82" s="13">
        <f>BY82*VLOOKUP('Données projet'!$B$12,Paramètres!$A$1:$I$89,3,0)*VLOOKUP('Données projet'!$B$12,Paramètres!$A$1:$I$89,5,0)</f>
        <v>214.05695999999992</v>
      </c>
      <c r="CA82" s="13">
        <f t="shared" si="93"/>
        <v>52.821143827018673</v>
      </c>
      <c r="CB82" s="20">
        <f t="shared" si="64"/>
        <v>464.81269749872399</v>
      </c>
      <c r="CC82" s="59">
        <f t="shared" si="65"/>
        <v>741.12322922746171</v>
      </c>
      <c r="CD82" s="59">
        <f ca="1">AVERAGE(OFFSET($CC$3,0,0,'Données projet'!$E$12+1,1))-AVERAGE(OFFSET($H$3,0,0,'Données projet'!$E$12+1,1))</f>
        <v>374.38550202939507</v>
      </c>
      <c r="CE82" s="59">
        <f t="shared" si="94"/>
        <v>324.37486924296718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11.07348669424398</v>
      </c>
      <c r="CL82" s="21">
        <f>EXP(-LN(2)/25)*CL81+(1-EXP(-LN(2)/25))/(LN(2)/25)*Calculateur!CG82*Calculateur!CI82*VLOOKUP('Données projet'!$B$12,Paramètres!$A$1:$I$89,3,0)*0.475*44/12</f>
        <v>15.402791686491721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26.4762783807357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65.357417744201172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5.5042735042735051</v>
      </c>
      <c r="CT82" s="12">
        <f>IF('Données projet'!$A$140&gt;35,CT81+CS82-DB81,IF(A82&lt;'Données projet'!$A$140,$CQ$205^A82,IF(A82='Données projet'!$A$140,'Données projet'!$B$140,CT81+CS82-DB81)))</f>
        <v>172.48504273504267</v>
      </c>
      <c r="CU82" s="17">
        <f>CT82*VLOOKUP('Données projet'!$B$13,Paramètres!$A$1:$I$89,3,0)*VLOOKUP('Données projet'!$B$13,Paramètres!$A$1:$I$89,5,0)</f>
        <v>164.1367666666666</v>
      </c>
      <c r="CV82" s="13">
        <f t="shared" si="95"/>
        <v>41.774183982382013</v>
      </c>
      <c r="CW82" s="20">
        <f t="shared" si="67"/>
        <v>358.62823904709302</v>
      </c>
      <c r="CX82" s="59">
        <f t="shared" si="68"/>
        <v>634.93877077583068</v>
      </c>
      <c r="CY82" s="59">
        <f ca="1">AVERAGE(OFFSET($CX$3,0,0,'Données projet'!$E$13+1,1))-AVERAGE(OFFSET($H$3,0,0,'Données projet'!$E$13+1,1))</f>
        <v>392.81074187112989</v>
      </c>
      <c r="CZ82" s="59">
        <f t="shared" si="96"/>
        <v>236.19146849073687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9.0439317199517806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9.0439317199517806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65.357417744201172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5.5042735042735051</v>
      </c>
      <c r="DO82" s="12">
        <f>IF('Données projet'!$A$166&gt;35,DO81+DN82-DW81,IF(A82&lt;'Données projet'!$A$166,$DL$205^A82,IF(A82='Données projet'!$A$166,'Données projet'!$B$166,DO81+DN82-DW81)))</f>
        <v>172.48504273504267</v>
      </c>
      <c r="DP82" s="17">
        <f>DO82*VLOOKUP('Données projet'!$B$14,Paramètres!$A$1:$I$89,3,0)*VLOOKUP('Données projet'!$B$14,Paramètres!$A$1:$I$89,5,0)</f>
        <v>185.66289999999992</v>
      </c>
      <c r="DQ82" s="13">
        <f t="shared" si="97"/>
        <v>46.579796784838557</v>
      </c>
      <c r="DR82" s="20">
        <f t="shared" si="70"/>
        <v>404.48936356692701</v>
      </c>
      <c r="DS82" s="59">
        <f t="shared" si="71"/>
        <v>680.79989529566467</v>
      </c>
      <c r="DT82" s="59">
        <f ca="1">AVERAGE(OFFSET($DS$3,0,0,'Données projet'!$E$14+1,1))-AVERAGE(OFFSET($H$3,0,0,'Données projet'!$E$14+1,1))</f>
        <v>434.77799524785502</v>
      </c>
      <c r="DU82" s="59">
        <f t="shared" si="98"/>
        <v>259.85949838170006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10.230021125847097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10.230021125847097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65.357417744201172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5.5042735042735051</v>
      </c>
      <c r="EJ82" s="12">
        <f>IF('Données projet'!$A$192&gt;35,EJ81+EI82-ER81,IF(A82&lt;'Données projet'!$A$192,$EG$205^A82,IF(A82='Données projet'!$A$192,'Données projet'!$B$192,EJ81+EI82-ER81)))</f>
        <v>172.48504273504267</v>
      </c>
      <c r="EK82" s="17">
        <f>EJ82*VLOOKUP('Données projet'!$B$15,Paramètres!$A$1:$I$89,3,0)*VLOOKUP('Données projet'!$B$15,Paramètres!$A$1:$I$89,5,0)</f>
        <v>166.82753333333326</v>
      </c>
      <c r="EL82" s="13">
        <f t="shared" si="99"/>
        <v>42.378719467700897</v>
      </c>
      <c r="EM82" s="20">
        <f t="shared" si="73"/>
        <v>364.3675569618012</v>
      </c>
      <c r="EN82" s="59">
        <f t="shared" si="74"/>
        <v>640.67808869053886</v>
      </c>
      <c r="EO82" s="59">
        <f ca="1">AVERAGE(OFFSET($EN$3,0,0,'Données projet'!$E$15+1,1))-AVERAGE(OFFSET($H$3,0,0,'Données projet'!$E$15+1,1))</f>
        <v>398.06270423055565</v>
      </c>
      <c r="EP82" s="59">
        <f t="shared" si="100"/>
        <v>239.15364562040614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9.1921928956886969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9.1921928956886969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65.357417744201172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-1.7053025658242404E-13</v>
      </c>
      <c r="FF82" s="17">
        <f>FE82*VLOOKUP('Données projet'!$B$16,Paramètres!$A$1:$I$89,3,0)*VLOOKUP('Données projet'!$B$16,Paramètres!$A$1:$I$89,5,0)</f>
        <v>-1.0197709343628959E-13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334.13861979962491</v>
      </c>
      <c r="FK82" s="59">
        <f t="shared" si="102"/>
        <v>416.48635183664305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103.26722939370238</v>
      </c>
      <c r="FR82" s="21">
        <f>EXP(-LN(2)/25)*FR81+(1-EXP(-LN(2)/25))/(LN(2)/25)*Calculateur!FM82*Calculateur!FO82*VLOOKUP('Données projet'!$B$16,Paramètres!$A$1:$I$89,3,0)*0.475*44/12</f>
        <v>23.360403959575581</v>
      </c>
      <c r="FS82" s="21">
        <f>EXP(-LN(2)/2)*FS81+(1-EXP(-LN(2)/2))/(LN(2)/2)*FM82*FP82*VLOOKUP('Données projet'!$B$16,Paramètres!$A$1:$I$89,3,0)*0.475*44/12</f>
        <v>1.3950985789452974E-2</v>
      </c>
      <c r="FT82" s="22">
        <f t="shared" si="78"/>
        <v>126.64158433906741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65.357417744201172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>
        <f>VLOOKUP(A82,'Données projet'!$A$243:$I$263,2,0)</f>
        <v>436.86153846153843</v>
      </c>
      <c r="FX82" s="12">
        <f>VLOOKUP(A82,'Données projet'!$A$243:$I$263,9,0)</f>
        <v>12.913461538461533</v>
      </c>
      <c r="FY82" s="12">
        <f t="array" ref="FY82">INDEX(FX:FX,MIN(IF(ISNUMBER(FX82:FX278),ROW(FX82:FX278),"")))</f>
        <v>12.913461538461533</v>
      </c>
      <c r="FZ82" s="12">
        <f>IF('Données projet'!$A$244&gt;35,FZ81+FY82-GH81,IF(A82&lt;'Données projet'!$A$244,$FW$205^A82,IF(A82='Données projet'!$A$244,'Données projet'!$B$244,FZ81+FY82-GH81)))</f>
        <v>436.8615384615386</v>
      </c>
      <c r="GA82" s="17">
        <f>FZ82*VLOOKUP('Données projet'!$B$17,Paramètres!$A$1:$I$89,3,0)*VLOOKUP('Données projet'!$B$17,Paramètres!$A$1:$I$89,5,0)</f>
        <v>204.45120000000009</v>
      </c>
      <c r="GB82" s="13">
        <f t="shared" si="103"/>
        <v>50.721150021305952</v>
      </c>
      <c r="GC82" s="20">
        <f t="shared" si="79"/>
        <v>444.42517628710794</v>
      </c>
      <c r="GD82" s="59">
        <f t="shared" si="80"/>
        <v>720.7357080158456</v>
      </c>
      <c r="GE82" s="59">
        <f ca="1">AVERAGE(OFFSET($GD$3,0,0,'Données projet'!$E$17+1,1))-AVERAGE(OFFSET($H$3,0,0,'Données projet'!$E$17+1,1))</f>
        <v>317.79829681023142</v>
      </c>
      <c r="GF82" s="59">
        <f t="shared" si="104"/>
        <v>275.07716943523621</v>
      </c>
      <c r="GG82" s="15">
        <f>IF(ISNA(VLOOKUP(A82,'Données projet'!$A$243:$I$263,3,0)),0,VLOOKUP(A82,'Données projet'!$A$243:$I$263,3,0))</f>
        <v>6</v>
      </c>
      <c r="GH82" s="15">
        <f>IF(ISNA(VLOOKUP(A82,'Données projet'!$A$243:$I$263,4,0)),0,VLOOKUP(A82,'Données projet'!$A$243:$I$263,4,0))</f>
        <v>77.338461538461544</v>
      </c>
      <c r="GI82" s="16">
        <f>IF(ISNA(VLOOKUP(A82,'Données projet'!$A$243:$I$263,5,0)),0%,VLOOKUP(A82,'Données projet'!$A$243:$I$263,5,0)*VLOOKUP('Données projet'!$B$17,Paramètres!$A$1:$I$89,7,0))</f>
        <v>0.38500000000000001</v>
      </c>
      <c r="GJ82" s="16">
        <f>IF(ISNA(VLOOKUP(A82,'Données projet'!$A$243:$I$263,6,0)),0%,VLOOKUP(A82,'Données projet'!$A$243:$I$263,6,0)*VLOOKUP('Données projet'!$B$17,Paramètres!$A$1:$I$89,7,0))</f>
        <v>9.240000000000001E-2</v>
      </c>
      <c r="GK82" s="16">
        <f>IF(ISNA(VLOOKUP(A82,'Données projet'!$A$243:$I$263,7,0)),0%,VLOOKUP(A82,'Données projet'!$A$243:$I$263,7,0))</f>
        <v>0.13200000000000001</v>
      </c>
      <c r="GL82" s="21">
        <f>EXP(-LN(2)/35)*GL81+(1-EXP(-LN(2)/35))/(LN(2)/35)*GH82*GI82*VLOOKUP('Données projet'!$B$17,Paramètres!$A$1:$I$89,3,0)*0.475*44/12</f>
        <v>70.766065724458542</v>
      </c>
      <c r="GM82" s="21">
        <f>EXP(-LN(2)/25)*GM81+(1-EXP(-LN(2)/25))/(LN(2)/25)*Calculateur!GH82*Calculateur!GJ82*VLOOKUP('Données projet'!$B$17,Paramètres!$A$1:$I$89,3,0)*0.475*44/12</f>
        <v>27.533992627657781</v>
      </c>
      <c r="GN82" s="21">
        <f>EXP(-LN(2)/2)*GN81+(1-EXP(-LN(2)/2))/(LN(2)/2)*GH82*GK82*VLOOKUP('Données projet'!$B$17,Paramètres!$A$1:$I$89,3,0)*0.475*44/12</f>
        <v>5.7823988910017112</v>
      </c>
      <c r="GO82" s="21">
        <f t="shared" si="81"/>
        <v>104.08245724311803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65.357417744201172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>
        <f>GU82*VLOOKUP('Données projet'!$B$18,Paramètres!$A$1:$I$89,3,0)*VLOOKUP('Données projet'!$B$18,Paramètres!$A$1:$I$89,5,0)</f>
        <v>0</v>
      </c>
      <c r="GW82" s="13" t="e">
        <f t="shared" si="105"/>
        <v>#NUM!</v>
      </c>
      <c r="GX82" s="20" t="e">
        <f t="shared" si="82"/>
        <v>#NUM!</v>
      </c>
      <c r="GY82" s="59" t="e">
        <f t="shared" si="83"/>
        <v>#NUM!</v>
      </c>
      <c r="GZ82" s="59">
        <f ca="1">AVERAGE(OFFSET($GY$3,0,0,'Données projet'!$E$18+1,1))-AVERAGE(OFFSET($H$3,0,0,'Données projet'!$E$18+1,1))</f>
        <v>336.21787234885699</v>
      </c>
      <c r="HA82" s="59">
        <f t="shared" si="106"/>
        <v>315.36156736899113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176.11491188843951</v>
      </c>
      <c r="HH82" s="21">
        <f>EXP(-LN(2)/25)*HH81+(1-EXP(-LN(2)/25))/(LN(2)/25)*Calculateur!HC82*Calculateur!HE82*VLOOKUP('Données projet'!$B$18,Paramètres!$A$1:$I$89,3,0)*0.475*44/12</f>
        <v>43.189027731836326</v>
      </c>
      <c r="HI82" s="21">
        <f>EXP(-LN(2)/2)*HI81+(1-EXP(-LN(2)/2))/(LN(2)/2)*HC82*HF82*VLOOKUP('Données projet'!$B$18,Paramètres!$A$1:$I$89,3,0)*0.475*44/12</f>
        <v>1.7603582552943122</v>
      </c>
      <c r="HJ82" s="22">
        <f t="shared" si="84"/>
        <v>221.06429787557013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3.7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13.566666666666668</v>
      </c>
      <c r="H83" s="67">
        <f t="shared" si="56"/>
        <v>202.4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65.437956167080273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274.01282051282072</v>
      </c>
      <c r="O83" s="13">
        <f>N83*VLOOKUP('Données projet'!$B$9,Paramètres!$A$1:$I$89,3,0)*VLOOKUP('Données projet'!$B$9,Paramètres!$A$1:$I$89,5,0)</f>
        <v>247.92680000000016</v>
      </c>
      <c r="P83" s="13">
        <f t="shared" si="87"/>
        <v>60.141781345371967</v>
      </c>
      <c r="Q83" s="20">
        <f t="shared" si="54"/>
        <v>536.55277917652313</v>
      </c>
      <c r="R83" s="59">
        <f t="shared" si="55"/>
        <v>813.15861845581753</v>
      </c>
      <c r="S83" s="59">
        <f ca="1">AVERAGE(OFFSET($R$3,0,0,'Données projet'!$E$9+1,1))-AVERAGE(OFFSET($H$3,0,0,'Données projet'!$E$9+1,1))</f>
        <v>411.64357329340851</v>
      </c>
      <c r="T83" s="59">
        <f t="shared" si="88"/>
        <v>294.07942258675632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32.763017332710646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32.763017332710646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65.437956167080273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274.01282051282055</v>
      </c>
      <c r="AG83" s="12">
        <f>VLOOKUP(A83,'Données projet'!$A$61:$I$81,9,0)</f>
        <v>7.8425925925925934</v>
      </c>
      <c r="AH83" s="12">
        <f t="array" ref="AH83">INDEX(AG:AG,MIN(IF(ISNUMBER(AG83:AG279),ROW(AG83:AG279),"")))</f>
        <v>7.8425925925925934</v>
      </c>
      <c r="AI83" s="13">
        <f>IF('Données projet'!$A$62&gt;35,AI82+AH83-AQ82,IF(A83&lt;'Données projet'!$A$62,$AF$205^A83,IF(A83='Données projet'!$A$62,'Données projet'!$B$62,AI82+AH83-AQ82)))</f>
        <v>274.01282051282072</v>
      </c>
      <c r="AJ83" s="13">
        <f>AI83*VLOOKUP('Données projet'!$B$10,Paramètres!$A$1:$I$89,3,0)*VLOOKUP('Données projet'!$B$10,Paramètres!$A$1:$I$89,5,0)</f>
        <v>277.84900000000027</v>
      </c>
      <c r="AK83" s="13">
        <f t="shared" si="89"/>
        <v>66.512236926053845</v>
      </c>
      <c r="AL83" s="20">
        <f t="shared" si="58"/>
        <v>599.76248764621096</v>
      </c>
      <c r="AM83" s="59">
        <f t="shared" si="59"/>
        <v>876.36832692550524</v>
      </c>
      <c r="AN83" s="59">
        <f ca="1">AVERAGE(OFFSET($AM$3,0,0,'Données projet'!$E$10+1,1))-AVERAGE(OFFSET($H$3,0,0,'Données projet'!$E$10+1,1))</f>
        <v>453.05577105995508</v>
      </c>
      <c r="AO83" s="59">
        <f t="shared" si="90"/>
        <v>322.6839824496758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45.608974358974358</v>
      </c>
      <c r="AR83" s="16">
        <f>IF(ISNA(VLOOKUP(A83,'Données projet'!$A$61:$I$81,5,0)),0%,VLOOKUP(A83,'Données projet'!$A$61:$I$81,5,0)*VLOOKUP('Données projet'!$B$10,Paramètres!$A$1:$I$89,7,0))</f>
        <v>0.30099999999999999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36.717174597003321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36.717174597003321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65.437956167080273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4.7037037037037051</v>
      </c>
      <c r="BD83" s="12">
        <f>IF('Données projet'!$A$88&gt;35,BD82+BC83-BL82,IF(A83&lt;'Données projet'!$A$88,$BA$205^A83,IF(A83='Données projet'!$A$88,'Données projet'!$B$88,BD82+BC83-BL82)))</f>
        <v>139.75854700854708</v>
      </c>
      <c r="BE83" s="13">
        <f>BD83*VLOOKUP('Données projet'!$B$11,Paramètres!$A$1:$I$89,3,0)*VLOOKUP('Données projet'!$B$11,Paramètres!$A$1:$I$89,5,0)</f>
        <v>139.53493333333341</v>
      </c>
      <c r="BF83" s="13">
        <f t="shared" si="91"/>
        <v>36.190444628905027</v>
      </c>
      <c r="BG83" s="20">
        <f t="shared" si="61"/>
        <v>306.05503328423191</v>
      </c>
      <c r="BH83" s="59">
        <f t="shared" si="62"/>
        <v>582.66087256352625</v>
      </c>
      <c r="BI83" s="59">
        <f ca="1">AVERAGE(OFFSET($BH$3,0,0,'Données projet'!$E$11+1,1))-AVERAGE(OFFSET($H$3,0,0,'Données projet'!$E$11+1,1))</f>
        <v>411.38162678377478</v>
      </c>
      <c r="BJ83" s="59">
        <f t="shared" si="92"/>
        <v>177.89903563360403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65.437956167080273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208</v>
      </c>
      <c r="BW83" s="12">
        <f>VLOOKUP(A83,'Données projet'!$A$113:$I$133,9,0)</f>
        <v>3.2</v>
      </c>
      <c r="BX83" s="12">
        <f t="array" ref="BX83">INDEX(BW:BW,MIN(IF(ISNUMBER(BW83:BW279),ROW(BW83:BW279),"")))</f>
        <v>3.2</v>
      </c>
      <c r="BY83" s="12">
        <f>IF('Données projet'!$A$114&gt;35,BY82+BX83-CG82,IF(A83&lt;'Données projet'!$A$114,$BV$205^A83,IF(A83='Données projet'!$A$114,'Données projet'!$B$114,BY82+BX83-CG82)))</f>
        <v>207.99999999999991</v>
      </c>
      <c r="BZ83" s="13">
        <f>BY83*VLOOKUP('Données projet'!$B$12,Paramètres!$A$1:$I$89,3,0)*VLOOKUP('Données projet'!$B$12,Paramètres!$A$1:$I$89,5,0)</f>
        <v>217.40159999999995</v>
      </c>
      <c r="CA83" s="13">
        <f t="shared" si="93"/>
        <v>53.549746395925119</v>
      </c>
      <c r="CB83" s="20">
        <f t="shared" si="64"/>
        <v>471.90692830623613</v>
      </c>
      <c r="CC83" s="59">
        <f t="shared" si="65"/>
        <v>748.51276758553047</v>
      </c>
      <c r="CD83" s="59">
        <f ca="1">AVERAGE(OFFSET($CC$3,0,0,'Données projet'!$E$12+1,1))-AVERAGE(OFFSET($H$3,0,0,'Données projet'!$E$12+1,1))</f>
        <v>374.38550202939507</v>
      </c>
      <c r="CE83" s="59">
        <f t="shared" si="94"/>
        <v>324.37486924296718</v>
      </c>
      <c r="CF83" s="15">
        <f>IF(ISNA(VLOOKUP(A83,'Données projet'!$A$113:$I$133,3,0)),0,VLOOKUP(A83,'Données projet'!$A$113:$I$133,3,0))</f>
        <v>13</v>
      </c>
      <c r="CG83" s="15" t="str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0.17200000000000001</v>
      </c>
      <c r="CI83" s="16">
        <f>IF(ISNA(VLOOKUP(A83,'Données projet'!$A$113:$I$133,6,0)),0%,VLOOKUP(A83,'Données projet'!$A$113:$I$133,6,0)*VLOOKUP('Données projet'!$B$12,Paramètres!$A$1:$I$89,7,0))</f>
        <v>0.17200000000000001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13.042430390511214</v>
      </c>
      <c r="CL83" s="21">
        <f>EXP(-LN(2)/25)*CL82+(1-EXP(-LN(2)/25))/(LN(2)/25)*Calculateur!CG83*Calculateur!CI83*VLOOKUP('Données projet'!$B$12,Paramètres!$A$1:$I$89,3,0)*0.475*44/12</f>
        <v>17.159082092523843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30.201512483035057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65.437956167080273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5.5042735042735051</v>
      </c>
      <c r="CT83" s="12">
        <f>IF('Données projet'!$A$140&gt;35,CT82+CS83-DB82,IF(A83&lt;'Données projet'!$A$140,$CQ$205^A83,IF(A83='Données projet'!$A$140,'Données projet'!$B$140,CT82+CS83-DB82)))</f>
        <v>177.98931623931617</v>
      </c>
      <c r="CU83" s="17">
        <f>CT83*VLOOKUP('Données projet'!$B$13,Paramètres!$A$1:$I$89,3,0)*VLOOKUP('Données projet'!$B$13,Paramètres!$A$1:$I$89,5,0)</f>
        <v>169.37463333333326</v>
      </c>
      <c r="CV83" s="13">
        <f t="shared" si="95"/>
        <v>42.949932227488745</v>
      </c>
      <c r="CW83" s="20">
        <f t="shared" si="67"/>
        <v>369.79861835176501</v>
      </c>
      <c r="CX83" s="59">
        <f t="shared" si="68"/>
        <v>646.40445763105936</v>
      </c>
      <c r="CY83" s="59">
        <f ca="1">AVERAGE(OFFSET($CX$3,0,0,'Données projet'!$E$13+1,1))-AVERAGE(OFFSET($H$3,0,0,'Données projet'!$E$13+1,1))</f>
        <v>392.81074187112989</v>
      </c>
      <c r="CZ83" s="59">
        <f t="shared" si="96"/>
        <v>236.19146849073687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8.8665857351771908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8.8665857351771908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65.437956167080273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5.5042735042735051</v>
      </c>
      <c r="DO83" s="12">
        <f>IF('Données projet'!$A$166&gt;35,DO82+DN83-DW82,IF(A83&lt;'Données projet'!$A$166,$DL$205^A83,IF(A83='Données projet'!$A$166,'Données projet'!$B$166,DO82+DN83-DW82)))</f>
        <v>177.98931623931617</v>
      </c>
      <c r="DP83" s="17">
        <f>DO83*VLOOKUP('Données projet'!$B$14,Paramètres!$A$1:$I$89,3,0)*VLOOKUP('Données projet'!$B$14,Paramètres!$A$1:$I$89,5,0)</f>
        <v>191.58769999999993</v>
      </c>
      <c r="DQ83" s="13">
        <f t="shared" si="97"/>
        <v>47.890800594040364</v>
      </c>
      <c r="DR83" s="20">
        <f t="shared" si="70"/>
        <v>417.09172186795348</v>
      </c>
      <c r="DS83" s="59">
        <f t="shared" si="71"/>
        <v>693.69756114724782</v>
      </c>
      <c r="DT83" s="59">
        <f ca="1">AVERAGE(OFFSET($DS$3,0,0,'Données projet'!$E$14+1,1))-AVERAGE(OFFSET($H$3,0,0,'Données projet'!$E$14+1,1))</f>
        <v>434.77799524785502</v>
      </c>
      <c r="DU83" s="59">
        <f t="shared" si="98"/>
        <v>259.85949838170006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10.029416651266004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10.029416651266004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65.437956167080273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5.5042735042735051</v>
      </c>
      <c r="EJ83" s="12">
        <f>IF('Données projet'!$A$192&gt;35,EJ82+EI83-ER82,IF(A83&lt;'Données projet'!$A$192,$EG$205^A83,IF(A83='Données projet'!$A$192,'Données projet'!$B$192,EJ82+EI83-ER82)))</f>
        <v>177.98931623931617</v>
      </c>
      <c r="EK83" s="17">
        <f>EJ83*VLOOKUP('Données projet'!$B$15,Paramètres!$A$1:$I$89,3,0)*VLOOKUP('Données projet'!$B$15,Paramètres!$A$1:$I$89,5,0)</f>
        <v>172.1512666666666</v>
      </c>
      <c r="EL83" s="13">
        <f t="shared" si="99"/>
        <v>43.571482564283073</v>
      </c>
      <c r="EM83" s="20">
        <f t="shared" si="73"/>
        <v>375.71712157723732</v>
      </c>
      <c r="EN83" s="59">
        <f t="shared" si="74"/>
        <v>652.32296085653161</v>
      </c>
      <c r="EO83" s="59">
        <f ca="1">AVERAGE(OFFSET($EN$3,0,0,'Données projet'!$E$15+1,1))-AVERAGE(OFFSET($H$3,0,0,'Données projet'!$E$15+1,1))</f>
        <v>398.06270423055565</v>
      </c>
      <c r="EP83" s="59">
        <f t="shared" si="100"/>
        <v>239.15364562040614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9.0119395996882936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9.0119395996882936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65.437956167080273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-1.7053025658242404E-13</v>
      </c>
      <c r="FF83" s="17">
        <f>FE83*VLOOKUP('Données projet'!$B$16,Paramètres!$A$1:$I$89,3,0)*VLOOKUP('Données projet'!$B$16,Paramètres!$A$1:$I$89,5,0)</f>
        <v>-1.0197709343628959E-13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334.13861979962491</v>
      </c>
      <c r="FK83" s="59">
        <f t="shared" si="102"/>
        <v>416.48635183664305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101.24222201208238</v>
      </c>
      <c r="FR83" s="21">
        <f>EXP(-LN(2)/25)*FR82+(1-EXP(-LN(2)/25))/(LN(2)/25)*Calculateur!FM83*Calculateur!FO83*VLOOKUP('Données projet'!$B$16,Paramètres!$A$1:$I$89,3,0)*0.475*44/12</f>
        <v>22.721612484830732</v>
      </c>
      <c r="FS83" s="21">
        <f>EXP(-LN(2)/2)*FS82+(1-EXP(-LN(2)/2))/(LN(2)/2)*FM83*FP83*VLOOKUP('Données projet'!$B$16,Paramètres!$A$1:$I$89,3,0)*0.475*44/12</f>
        <v>9.8648366559593581E-3</v>
      </c>
      <c r="FT83" s="22">
        <f t="shared" si="78"/>
        <v>123.97369933356907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65.437956167080273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12.124038461538468</v>
      </c>
      <c r="FZ83" s="12">
        <f>IF('Données projet'!$A$244&gt;35,FZ82+FY83-GH82,IF(A83&lt;'Données projet'!$A$244,$FW$205^A83,IF(A83='Données projet'!$A$244,'Données projet'!$B$244,FZ82+FY83-GH82)))</f>
        <v>371.64711538461552</v>
      </c>
      <c r="GA83" s="17">
        <f>FZ83*VLOOKUP('Données projet'!$B$17,Paramètres!$A$1:$I$89,3,0)*VLOOKUP('Données projet'!$B$17,Paramètres!$A$1:$I$89,5,0)</f>
        <v>173.93085000000008</v>
      </c>
      <c r="GB83" s="13">
        <f t="shared" si="103"/>
        <v>43.969228534222836</v>
      </c>
      <c r="GC83" s="20">
        <f t="shared" si="79"/>
        <v>379.50930344710491</v>
      </c>
      <c r="GD83" s="59">
        <f t="shared" si="80"/>
        <v>656.1151427263992</v>
      </c>
      <c r="GE83" s="59">
        <f ca="1">AVERAGE(OFFSET($GD$3,0,0,'Données projet'!$E$17+1,1))-AVERAGE(OFFSET($H$3,0,0,'Données projet'!$E$17+1,1))</f>
        <v>317.79829681023142</v>
      </c>
      <c r="GF83" s="59">
        <f t="shared" si="104"/>
        <v>275.07716943523621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69.378386338640013</v>
      </c>
      <c r="GM83" s="21">
        <f>EXP(-LN(2)/25)*GM82+(1-EXP(-LN(2)/25))/(LN(2)/25)*Calculateur!GH83*Calculateur!GJ83*VLOOKUP('Données projet'!$B$17,Paramètres!$A$1:$I$89,3,0)*0.475*44/12</f>
        <v>26.781074151304736</v>
      </c>
      <c r="GN83" s="21">
        <f>EXP(-LN(2)/2)*GN82+(1-EXP(-LN(2)/2))/(LN(2)/2)*GH83*GK83*VLOOKUP('Données projet'!$B$17,Paramètres!$A$1:$I$89,3,0)*0.475*44/12</f>
        <v>4.0887734673528824</v>
      </c>
      <c r="GO83" s="21">
        <f t="shared" si="81"/>
        <v>100.24823395729763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65.437956167080273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>
        <f>GU83*VLOOKUP('Données projet'!$B$18,Paramètres!$A$1:$I$89,3,0)*VLOOKUP('Données projet'!$B$18,Paramètres!$A$1:$I$89,5,0)</f>
        <v>0</v>
      </c>
      <c r="GW83" s="13" t="e">
        <f t="shared" si="105"/>
        <v>#NUM!</v>
      </c>
      <c r="GX83" s="20" t="e">
        <f t="shared" si="82"/>
        <v>#NUM!</v>
      </c>
      <c r="GY83" s="59" t="e">
        <f t="shared" si="83"/>
        <v>#NUM!</v>
      </c>
      <c r="GZ83" s="59">
        <f ca="1">AVERAGE(OFFSET($GY$3,0,0,'Données projet'!$E$18+1,1))-AVERAGE(OFFSET($H$3,0,0,'Données projet'!$E$18+1,1))</f>
        <v>336.21787234885699</v>
      </c>
      <c r="HA83" s="59">
        <f t="shared" si="106"/>
        <v>315.36156736899113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172.66140588579665</v>
      </c>
      <c r="HH83" s="21">
        <f>EXP(-LN(2)/25)*HH82+(1-EXP(-LN(2)/25))/(LN(2)/25)*Calculateur!HC83*Calculateur!HE83*VLOOKUP('Données projet'!$B$18,Paramètres!$A$1:$I$89,3,0)*0.475*44/12</f>
        <v>42.008021497297001</v>
      </c>
      <c r="HI83" s="21">
        <f>EXP(-LN(2)/2)*HI82+(1-EXP(-LN(2)/2))/(LN(2)/2)*HC83*HF83*VLOOKUP('Données projet'!$B$18,Paramètres!$A$1:$I$89,3,0)*0.475*44/12</f>
        <v>1.2447612596363278</v>
      </c>
      <c r="HJ83" s="22">
        <f t="shared" si="84"/>
        <v>215.91418864272998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3.7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13.566666666666668</v>
      </c>
      <c r="H84" s="67">
        <f t="shared" si="56"/>
        <v>202.4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65.517097428379373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7.4950142450142421</v>
      </c>
      <c r="N84" s="13">
        <f>IF('Données projet'!$A$36&gt;35,N83+M84-V83,IF(A84&lt;'Données projet'!$A$36,$K$205^A84,IF(A84='Données projet'!$A$36,'Données projet'!$B$36,N83+M84-V83)))</f>
        <v>235.89886039886062</v>
      </c>
      <c r="O84" s="13">
        <f>N84*VLOOKUP('Données projet'!$B$9,Paramètres!$A$1:$I$89,3,0)*VLOOKUP('Données projet'!$B$9,Paramètres!$A$1:$I$89,5,0)</f>
        <v>213.44128888888909</v>
      </c>
      <c r="P84" s="13">
        <f t="shared" si="87"/>
        <v>52.686881026481977</v>
      </c>
      <c r="Q84" s="20">
        <f t="shared" si="54"/>
        <v>463.50656260260456</v>
      </c>
      <c r="R84" s="59">
        <f t="shared" si="55"/>
        <v>740.40258650666226</v>
      </c>
      <c r="S84" s="59">
        <f ca="1">AVERAGE(OFFSET($R$3,0,0,'Données projet'!$E$9+1,1))-AVERAGE(OFFSET($H$3,0,0,'Données projet'!$E$9+1,1))</f>
        <v>411.64357329340851</v>
      </c>
      <c r="T84" s="59">
        <f t="shared" si="88"/>
        <v>294.07942258675632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32.120554546283557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32.120554546283557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65.517097428379373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7.4950142450142421</v>
      </c>
      <c r="AI84" s="13">
        <f>IF('Données projet'!$A$62&gt;35,AI83+AH84-AQ83,IF(A84&lt;'Données projet'!$A$62,$AF$205^A84,IF(A84='Données projet'!$A$62,'Données projet'!$B$62,AI83+AH84-AQ83)))</f>
        <v>235.89886039886062</v>
      </c>
      <c r="AJ84" s="13">
        <f>AI84*VLOOKUP('Données projet'!$B$10,Paramètres!$A$1:$I$89,3,0)*VLOOKUP('Données projet'!$B$10,Paramètres!$A$1:$I$89,5,0)</f>
        <v>239.20144444444466</v>
      </c>
      <c r="AK84" s="13">
        <f t="shared" si="89"/>
        <v>58.267684051527382</v>
      </c>
      <c r="AL84" s="20">
        <f t="shared" si="58"/>
        <v>518.0920654638179</v>
      </c>
      <c r="AM84" s="59">
        <f t="shared" si="59"/>
        <v>794.98808936787555</v>
      </c>
      <c r="AN84" s="59">
        <f ca="1">AVERAGE(OFFSET($AM$3,0,0,'Données projet'!$E$10+1,1))-AVERAGE(OFFSET($H$3,0,0,'Données projet'!$E$10+1,1))</f>
        <v>453.05577105995508</v>
      </c>
      <c r="AO84" s="59">
        <f t="shared" si="90"/>
        <v>322.6839824496758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35.997173198421244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35.997173198421244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65.517097428379373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4.7037037037037051</v>
      </c>
      <c r="BD84" s="12">
        <f>IF('Données projet'!$A$88&gt;35,BD83+BC84-BL83,IF(A84&lt;'Données projet'!$A$88,$BA$205^A84,IF(A84='Données projet'!$A$88,'Données projet'!$B$88,BD83+BC84-BL83)))</f>
        <v>144.46225071225078</v>
      </c>
      <c r="BE84" s="13">
        <f>BD84*VLOOKUP('Données projet'!$B$11,Paramètres!$A$1:$I$89,3,0)*VLOOKUP('Données projet'!$B$11,Paramètres!$A$1:$I$89,5,0)</f>
        <v>144.23111111111118</v>
      </c>
      <c r="BF84" s="13">
        <f t="shared" si="91"/>
        <v>37.264607595815072</v>
      </c>
      <c r="BG84" s="20">
        <f t="shared" si="61"/>
        <v>316.10504341456323</v>
      </c>
      <c r="BH84" s="59">
        <f t="shared" si="62"/>
        <v>593.00106731862093</v>
      </c>
      <c r="BI84" s="59">
        <f ca="1">AVERAGE(OFFSET($BH$3,0,0,'Données projet'!$E$11+1,1))-AVERAGE(OFFSET($H$3,0,0,'Données projet'!$E$11+1,1))</f>
        <v>411.38162678377478</v>
      </c>
      <c r="BJ84" s="59">
        <f t="shared" si="92"/>
        <v>177.89903563360403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65.517097428379373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2.8</v>
      </c>
      <c r="BY84" s="12">
        <f>IF('Données projet'!$A$114&gt;35,BY83+BX84-CG83,IF(A84&lt;'Données projet'!$A$114,$BV$205^A84,IF(A84='Données projet'!$A$114,'Données projet'!$B$114,BY83+BX84-CG83)))</f>
        <v>199.79999999999993</v>
      </c>
      <c r="BZ84" s="13">
        <f>BY84*VLOOKUP('Données projet'!$B$12,Paramètres!$A$1:$I$89,3,0)*VLOOKUP('Données projet'!$B$12,Paramètres!$A$1:$I$89,5,0)</f>
        <v>208.83095999999995</v>
      </c>
      <c r="CA84" s="13">
        <f t="shared" si="93"/>
        <v>51.680038105442279</v>
      </c>
      <c r="CB84" s="20">
        <f t="shared" si="64"/>
        <v>453.72332170031183</v>
      </c>
      <c r="CC84" s="59">
        <f t="shared" si="65"/>
        <v>730.61934560436953</v>
      </c>
      <c r="CD84" s="59">
        <f ca="1">AVERAGE(OFFSET($CC$3,0,0,'Données projet'!$E$12+1,1))-AVERAGE(OFFSET($H$3,0,0,'Données projet'!$E$12+1,1))</f>
        <v>374.38550202939507</v>
      </c>
      <c r="CE84" s="59">
        <f t="shared" si="94"/>
        <v>324.37486924296718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12.786676285650326</v>
      </c>
      <c r="CL84" s="21">
        <f>EXP(-LN(2)/25)*CL83+(1-EXP(-LN(2)/25))/(LN(2)/25)*Calculateur!CG84*Calculateur!CI84*VLOOKUP('Données projet'!$B$12,Paramètres!$A$1:$I$89,3,0)*0.475*44/12</f>
        <v>16.689866090346868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29.476542375997195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65.517097428379373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5.5042735042735051</v>
      </c>
      <c r="CT84" s="12">
        <f>IF('Données projet'!$A$140&gt;35,CT83+CS84-DB83,IF(A84&lt;'Données projet'!$A$140,$CQ$205^A84,IF(A84='Données projet'!$A$140,'Données projet'!$B$140,CT83+CS84-DB83)))</f>
        <v>183.49358974358967</v>
      </c>
      <c r="CU84" s="17">
        <f>CT84*VLOOKUP('Données projet'!$B$13,Paramètres!$A$1:$I$89,3,0)*VLOOKUP('Données projet'!$B$13,Paramètres!$A$1:$I$89,5,0)</f>
        <v>174.61249999999993</v>
      </c>
      <c r="CV84" s="13">
        <f t="shared" si="95"/>
        <v>44.121455098987823</v>
      </c>
      <c r="CW84" s="20">
        <f t="shared" si="67"/>
        <v>380.96163846407029</v>
      </c>
      <c r="CX84" s="59">
        <f t="shared" si="68"/>
        <v>657.85766236812799</v>
      </c>
      <c r="CY84" s="59">
        <f ca="1">AVERAGE(OFFSET($CX$3,0,0,'Données projet'!$E$13+1,1))-AVERAGE(OFFSET($H$3,0,0,'Données projet'!$E$13+1,1))</f>
        <v>392.81074187112989</v>
      </c>
      <c r="CZ84" s="59">
        <f t="shared" si="96"/>
        <v>236.19146849073687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8.6927173969936611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8.6927173969936611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65.517097428379373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5.5042735042735051</v>
      </c>
      <c r="DO84" s="12">
        <f>IF('Données projet'!$A$166&gt;35,DO83+DN84-DW83,IF(A84&lt;'Données projet'!$A$166,$DL$205^A84,IF(A84='Données projet'!$A$166,'Données projet'!$B$166,DO83+DN84-DW83)))</f>
        <v>183.49358974358967</v>
      </c>
      <c r="DP84" s="17">
        <f>DO84*VLOOKUP('Données projet'!$B$14,Paramètres!$A$1:$I$89,3,0)*VLOOKUP('Données projet'!$B$14,Paramètres!$A$1:$I$89,5,0)</f>
        <v>197.5124999999999</v>
      </c>
      <c r="DQ84" s="13">
        <f t="shared" si="97"/>
        <v>49.197092951689569</v>
      </c>
      <c r="DR84" s="20">
        <f t="shared" si="70"/>
        <v>429.68587439085917</v>
      </c>
      <c r="DS84" s="59">
        <f t="shared" si="71"/>
        <v>706.58189829491687</v>
      </c>
      <c r="DT84" s="59">
        <f ca="1">AVERAGE(OFFSET($DS$3,0,0,'Données projet'!$E$14+1,1))-AVERAGE(OFFSET($H$3,0,0,'Données projet'!$E$14+1,1))</f>
        <v>434.77799524785502</v>
      </c>
      <c r="DU84" s="59">
        <f t="shared" si="98"/>
        <v>259.85949838170006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9.8327459080747985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9.8327459080747985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65.517097428379373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5.5042735042735051</v>
      </c>
      <c r="EJ84" s="12">
        <f>IF('Données projet'!$A$192&gt;35,EJ83+EI84-ER83,IF(A84&lt;'Données projet'!$A$192,$EG$205^A84,IF(A84='Données projet'!$A$192,'Données projet'!$B$192,EJ83+EI84-ER83)))</f>
        <v>183.49358974358967</v>
      </c>
      <c r="EK84" s="17">
        <f>EJ84*VLOOKUP('Données projet'!$B$15,Paramètres!$A$1:$I$89,3,0)*VLOOKUP('Données projet'!$B$15,Paramètres!$A$1:$I$89,5,0)</f>
        <v>177.47499999999994</v>
      </c>
      <c r="EL84" s="13">
        <f t="shared" si="99"/>
        <v>44.75995913972482</v>
      </c>
      <c r="EM84" s="20">
        <f t="shared" si="73"/>
        <v>387.05922050168732</v>
      </c>
      <c r="EN84" s="59">
        <f t="shared" si="74"/>
        <v>663.95524440574502</v>
      </c>
      <c r="EO84" s="59">
        <f ca="1">AVERAGE(OFFSET($EN$3,0,0,'Données projet'!$E$15+1,1))-AVERAGE(OFFSET($H$3,0,0,'Données projet'!$E$15+1,1))</f>
        <v>398.06270423055565</v>
      </c>
      <c r="EP84" s="59">
        <f t="shared" si="100"/>
        <v>239.15364562040614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8.8352209608788037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8.8352209608788037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65.517097428379373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-1.7053025658242404E-13</v>
      </c>
      <c r="FF84" s="17">
        <f>FE84*VLOOKUP('Données projet'!$B$16,Paramètres!$A$1:$I$89,3,0)*VLOOKUP('Données projet'!$B$16,Paramètres!$A$1:$I$89,5,0)</f>
        <v>-1.0197709343628959E-13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334.13861979962491</v>
      </c>
      <c r="FK84" s="59">
        <f t="shared" si="102"/>
        <v>416.48635183664305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99.256923790083405</v>
      </c>
      <c r="FR84" s="21">
        <f>EXP(-LN(2)/25)*FR83+(1-EXP(-LN(2)/25))/(LN(2)/25)*Calculateur!FM84*Calculateur!FO84*VLOOKUP('Données projet'!$B$16,Paramètres!$A$1:$I$89,3,0)*0.475*44/12</f>
        <v>22.100288796555365</v>
      </c>
      <c r="FS84" s="21">
        <f>EXP(-LN(2)/2)*FS83+(1-EXP(-LN(2)/2))/(LN(2)/2)*FM84*FP84*VLOOKUP('Données projet'!$B$16,Paramètres!$A$1:$I$89,3,0)*0.475*44/12</f>
        <v>6.9754928947264871E-3</v>
      </c>
      <c r="FT84" s="22">
        <f t="shared" si="78"/>
        <v>121.36418807953349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65.517097428379373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12.124038461538468</v>
      </c>
      <c r="FZ84" s="12">
        <f>IF('Données projet'!$A$244&gt;35,FZ83+FY84-GH83,IF(A84&lt;'Données projet'!$A$244,$FW$205^A84,IF(A84='Données projet'!$A$244,'Données projet'!$B$244,FZ83+FY84-GH83)))</f>
        <v>383.77115384615399</v>
      </c>
      <c r="GA84" s="17">
        <f>FZ84*VLOOKUP('Données projet'!$B$17,Paramètres!$A$1:$I$89,3,0)*VLOOKUP('Données projet'!$B$17,Paramètres!$A$1:$I$89,5,0)</f>
        <v>179.60490000000007</v>
      </c>
      <c r="GB84" s="13">
        <f t="shared" si="103"/>
        <v>45.234272457213635</v>
      </c>
      <c r="GC84" s="20">
        <f t="shared" si="79"/>
        <v>391.59489202964716</v>
      </c>
      <c r="GD84" s="59">
        <f t="shared" si="80"/>
        <v>668.49091593370485</v>
      </c>
      <c r="GE84" s="59">
        <f ca="1">AVERAGE(OFFSET($GD$3,0,0,'Données projet'!$E$17+1,1))-AVERAGE(OFFSET($H$3,0,0,'Données projet'!$E$17+1,1))</f>
        <v>317.79829681023142</v>
      </c>
      <c r="GF84" s="59">
        <f t="shared" si="104"/>
        <v>275.07716943523621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68.017918499176531</v>
      </c>
      <c r="GM84" s="21">
        <f>EXP(-LN(2)/25)*GM83+(1-EXP(-LN(2)/25))/(LN(2)/25)*Calculateur!GH84*Calculateur!GJ84*VLOOKUP('Données projet'!$B$17,Paramètres!$A$1:$I$89,3,0)*0.475*44/12</f>
        <v>26.048744270281826</v>
      </c>
      <c r="GN84" s="21">
        <f>EXP(-LN(2)/2)*GN83+(1-EXP(-LN(2)/2))/(LN(2)/2)*GH84*GK84*VLOOKUP('Données projet'!$B$17,Paramètres!$A$1:$I$89,3,0)*0.475*44/12</f>
        <v>2.8911994455008561</v>
      </c>
      <c r="GO84" s="21">
        <f t="shared" si="81"/>
        <v>96.957862214959221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65.517097428379373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>
        <f>GU84*VLOOKUP('Données projet'!$B$18,Paramètres!$A$1:$I$89,3,0)*VLOOKUP('Données projet'!$B$18,Paramètres!$A$1:$I$89,5,0)</f>
        <v>0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336.21787234885699</v>
      </c>
      <c r="HA84" s="59">
        <f t="shared" si="106"/>
        <v>315.36156736899113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169.27562102943497</v>
      </c>
      <c r="HH84" s="21">
        <f>EXP(-LN(2)/25)*HH83+(1-EXP(-LN(2)/25))/(LN(2)/25)*Calculateur!HC84*Calculateur!HE84*VLOOKUP('Données projet'!$B$18,Paramètres!$A$1:$I$89,3,0)*0.475*44/12</f>
        <v>40.859309940347572</v>
      </c>
      <c r="HI84" s="21">
        <f>EXP(-LN(2)/2)*HI83+(1-EXP(-LN(2)/2))/(LN(2)/2)*HC84*HF84*VLOOKUP('Données projet'!$B$18,Paramètres!$A$1:$I$89,3,0)*0.475*44/12</f>
        <v>0.88017912764715611</v>
      </c>
      <c r="HJ84" s="22">
        <f t="shared" si="84"/>
        <v>211.0151100974297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3.7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13.566666666666668</v>
      </c>
      <c r="H85" s="67">
        <f t="shared" si="56"/>
        <v>202.4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65.594865765728287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7.4950142450142421</v>
      </c>
      <c r="N85" s="13">
        <f>IF('Données projet'!$A$36&gt;35,N84+M85-V84,IF(A85&lt;'Données projet'!$A$36,$K$205^A85,IF(A85='Données projet'!$A$36,'Données projet'!$B$36,N84+M85-V84)))</f>
        <v>243.39387464387485</v>
      </c>
      <c r="O85" s="13">
        <f>N85*VLOOKUP('Données projet'!$B$9,Paramètres!$A$1:$I$89,3,0)*VLOOKUP('Données projet'!$B$9,Paramètres!$A$1:$I$89,5,0)</f>
        <v>220.22277777777796</v>
      </c>
      <c r="P85" s="13">
        <f t="shared" si="87"/>
        <v>54.163302517364365</v>
      </c>
      <c r="Q85" s="20">
        <f t="shared" si="54"/>
        <v>477.88908984737282</v>
      </c>
      <c r="R85" s="59">
        <f t="shared" si="55"/>
        <v>755.07026432170983</v>
      </c>
      <c r="S85" s="59">
        <f ca="1">AVERAGE(OFFSET($R$3,0,0,'Données projet'!$E$9+1,1))-AVERAGE(OFFSET($H$3,0,0,'Données projet'!$E$9+1,1))</f>
        <v>411.64357329340851</v>
      </c>
      <c r="T85" s="59">
        <f t="shared" si="88"/>
        <v>294.07942258675632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31.490690063234698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31.490690063234698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65.594865765728287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7.4950142450142421</v>
      </c>
      <c r="AI85" s="13">
        <f>IF('Données projet'!$A$62&gt;35,AI84+AH85-AQ84,IF(A85&lt;'Données projet'!$A$62,$AF$205^A85,IF(A85='Données projet'!$A$62,'Données projet'!$B$62,AI84+AH85-AQ84)))</f>
        <v>243.39387464387485</v>
      </c>
      <c r="AJ85" s="13">
        <f>AI85*VLOOKUP('Données projet'!$B$10,Paramètres!$A$1:$I$89,3,0)*VLOOKUP('Données projet'!$B$10,Paramètres!$A$1:$I$89,5,0)</f>
        <v>246.80138888888911</v>
      </c>
      <c r="AK85" s="13">
        <f t="shared" si="89"/>
        <v>59.900493951858735</v>
      </c>
      <c r="AL85" s="20">
        <f t="shared" si="58"/>
        <v>534.17244594763577</v>
      </c>
      <c r="AM85" s="59">
        <f t="shared" si="59"/>
        <v>811.35362042197289</v>
      </c>
      <c r="AN85" s="59">
        <f ca="1">AVERAGE(OFFSET($AM$3,0,0,'Données projet'!$E$10+1,1))-AVERAGE(OFFSET($H$3,0,0,'Données projet'!$E$10+1,1))</f>
        <v>453.05577105995508</v>
      </c>
      <c r="AO85" s="59">
        <f t="shared" si="90"/>
        <v>322.6839824496758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35.29129058810787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35.29129058810787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65.594865765728287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4.7037037037037051</v>
      </c>
      <c r="BD85" s="12">
        <f>IF('Données projet'!$A$88&gt;35,BD84+BC85-BL84,IF(A85&lt;'Données projet'!$A$88,$BA$205^A85,IF(A85='Données projet'!$A$88,'Données projet'!$B$88,BD84+BC85-BL84)))</f>
        <v>149.16595441595447</v>
      </c>
      <c r="BE85" s="13">
        <f>BD85*VLOOKUP('Données projet'!$B$11,Paramètres!$A$1:$I$89,3,0)*VLOOKUP('Données projet'!$B$11,Paramètres!$A$1:$I$89,5,0)</f>
        <v>148.92728888888897</v>
      </c>
      <c r="BF85" s="13">
        <f t="shared" si="91"/>
        <v>38.334706437450187</v>
      </c>
      <c r="BG85" s="20">
        <f t="shared" si="61"/>
        <v>326.14797519337407</v>
      </c>
      <c r="BH85" s="59">
        <f t="shared" si="62"/>
        <v>603.32914966771114</v>
      </c>
      <c r="BI85" s="59">
        <f ca="1">AVERAGE(OFFSET($BH$3,0,0,'Données projet'!$E$11+1,1))-AVERAGE(OFFSET($H$3,0,0,'Données projet'!$E$11+1,1))</f>
        <v>411.38162678377478</v>
      </c>
      <c r="BJ85" s="59">
        <f t="shared" si="92"/>
        <v>177.89903563360403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65.594865765728287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2.8</v>
      </c>
      <c r="BY85" s="12">
        <f>IF('Données projet'!$A$114&gt;35,BY84+BX85-CG84,IF(A85&lt;'Données projet'!$A$114,$BV$205^A85,IF(A85='Données projet'!$A$114,'Données projet'!$B$114,BY84+BX85-CG84)))</f>
        <v>202.59999999999994</v>
      </c>
      <c r="BZ85" s="13">
        <f>BY85*VLOOKUP('Données projet'!$B$12,Paramètres!$A$1:$I$89,3,0)*VLOOKUP('Données projet'!$B$12,Paramètres!$A$1:$I$89,5,0)</f>
        <v>211.75751999999994</v>
      </c>
      <c r="CA85" s="13">
        <f t="shared" si="93"/>
        <v>52.319461546249123</v>
      </c>
      <c r="CB85" s="20">
        <f t="shared" si="64"/>
        <v>459.93407619305043</v>
      </c>
      <c r="CC85" s="59">
        <f t="shared" si="65"/>
        <v>737.1152506673875</v>
      </c>
      <c r="CD85" s="59">
        <f ca="1">AVERAGE(OFFSET($CC$3,0,0,'Données projet'!$E$12+1,1))-AVERAGE(OFFSET($H$3,0,0,'Données projet'!$E$12+1,1))</f>
        <v>374.38550202939507</v>
      </c>
      <c r="CE85" s="59">
        <f t="shared" si="94"/>
        <v>324.37486924296718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12.535937362791161</v>
      </c>
      <c r="CL85" s="21">
        <f>EXP(-LN(2)/25)*CL84+(1-EXP(-LN(2)/25))/(LN(2)/25)*Calculateur!CG85*Calculateur!CI85*VLOOKUP('Données projet'!$B$12,Paramètres!$A$1:$I$89,3,0)*0.475*44/12</f>
        <v>16.233480824424422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28.769418187215585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65.594865765728287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5.5042735042735051</v>
      </c>
      <c r="CT85" s="12">
        <f>IF('Données projet'!$A$140&gt;35,CT84+CS85-DB84,IF(A85&lt;'Données projet'!$A$140,$CQ$205^A85,IF(A85='Données projet'!$A$140,'Données projet'!$B$140,CT84+CS85-DB84)))</f>
        <v>188.99786324786317</v>
      </c>
      <c r="CU85" s="17">
        <f>CT85*VLOOKUP('Données projet'!$B$13,Paramètres!$A$1:$I$89,3,0)*VLOOKUP('Données projet'!$B$13,Paramètres!$A$1:$I$89,5,0)</f>
        <v>179.85036666666659</v>
      </c>
      <c r="CV85" s="13">
        <f t="shared" si="95"/>
        <v>45.288893895579243</v>
      </c>
      <c r="CW85" s="20">
        <f t="shared" si="67"/>
        <v>392.11754547924482</v>
      </c>
      <c r="CX85" s="59">
        <f t="shared" si="68"/>
        <v>669.29871995358189</v>
      </c>
      <c r="CY85" s="59">
        <f ca="1">AVERAGE(OFFSET($CX$3,0,0,'Données projet'!$E$13+1,1))-AVERAGE(OFFSET($H$3,0,0,'Données projet'!$E$13+1,1))</f>
        <v>392.81074187112989</v>
      </c>
      <c r="CZ85" s="59">
        <f t="shared" si="96"/>
        <v>236.19146849073687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8.522258510872696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8.522258510872696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65.594865765728287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5.5042735042735051</v>
      </c>
      <c r="DO85" s="12">
        <f>IF('Données projet'!$A$166&gt;35,DO84+DN85-DW84,IF(A85&lt;'Données projet'!$A$166,$DL$205^A85,IF(A85='Données projet'!$A$166,'Données projet'!$B$166,DO84+DN85-DW84)))</f>
        <v>188.99786324786317</v>
      </c>
      <c r="DP85" s="17">
        <f>DO85*VLOOKUP('Données projet'!$B$14,Paramètres!$A$1:$I$89,3,0)*VLOOKUP('Données projet'!$B$14,Paramètres!$A$1:$I$89,5,0)</f>
        <v>203.43729999999988</v>
      </c>
      <c r="DQ85" s="13">
        <f t="shared" si="97"/>
        <v>50.498831411186444</v>
      </c>
      <c r="DR85" s="20">
        <f t="shared" si="70"/>
        <v>442.27209554114955</v>
      </c>
      <c r="DS85" s="59">
        <f t="shared" si="71"/>
        <v>719.45327001548662</v>
      </c>
      <c r="DT85" s="59">
        <f ca="1">AVERAGE(OFFSET($DS$3,0,0,'Données projet'!$E$14+1,1))-AVERAGE(OFFSET($H$3,0,0,'Données projet'!$E$14+1,1))</f>
        <v>434.77799524785502</v>
      </c>
      <c r="DU85" s="59">
        <f t="shared" si="98"/>
        <v>259.85949838170006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9.6399317582002642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9.6399317582002642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65.594865765728287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5.5042735042735051</v>
      </c>
      <c r="EJ85" s="12">
        <f>IF('Données projet'!$A$192&gt;35,EJ84+EI85-ER84,IF(A85&lt;'Données projet'!$A$192,$EG$205^A85,IF(A85='Données projet'!$A$192,'Données projet'!$B$192,EJ84+EI85-ER84)))</f>
        <v>188.99786324786317</v>
      </c>
      <c r="EK85" s="17">
        <f>EJ85*VLOOKUP('Données projet'!$B$15,Paramètres!$A$1:$I$89,3,0)*VLOOKUP('Données projet'!$B$15,Paramètres!$A$1:$I$89,5,0)</f>
        <v>182.79873333333327</v>
      </c>
      <c r="EL85" s="13">
        <f t="shared" si="99"/>
        <v>45.944292537531553</v>
      </c>
      <c r="EM85" s="20">
        <f t="shared" si="73"/>
        <v>398.39410339175623</v>
      </c>
      <c r="EN85" s="59">
        <f t="shared" si="74"/>
        <v>675.5752778660933</v>
      </c>
      <c r="EO85" s="59">
        <f ca="1">AVERAGE(OFFSET($EN$3,0,0,'Données projet'!$E$15+1,1))-AVERAGE(OFFSET($H$3,0,0,'Données projet'!$E$15+1,1))</f>
        <v>398.06270423055565</v>
      </c>
      <c r="EP85" s="59">
        <f t="shared" si="100"/>
        <v>239.15364562040614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8.6619676667886409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8.6619676667886409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65.594865765728287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-1.7053025658242404E-13</v>
      </c>
      <c r="FF85" s="17">
        <f>FE85*VLOOKUP('Données projet'!$B$16,Paramètres!$A$1:$I$89,3,0)*VLOOKUP('Données projet'!$B$16,Paramètres!$A$1:$I$89,5,0)</f>
        <v>-1.0197709343628959E-13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334.13861979962491</v>
      </c>
      <c r="FK85" s="59">
        <f t="shared" si="102"/>
        <v>416.48635183664305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97.310556055305483</v>
      </c>
      <c r="FR85" s="21">
        <f>EXP(-LN(2)/25)*FR84+(1-EXP(-LN(2)/25))/(LN(2)/25)*Calculateur!FM85*Calculateur!FO85*VLOOKUP('Données projet'!$B$16,Paramètres!$A$1:$I$89,3,0)*0.475*44/12</f>
        <v>21.495955237209881</v>
      </c>
      <c r="FS85" s="21">
        <f>EXP(-LN(2)/2)*FS84+(1-EXP(-LN(2)/2))/(LN(2)/2)*FM85*FP85*VLOOKUP('Données projet'!$B$16,Paramètres!$A$1:$I$89,3,0)*0.475*44/12</f>
        <v>4.9324183279796791E-3</v>
      </c>
      <c r="FT85" s="22">
        <f t="shared" si="78"/>
        <v>118.81144371084335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65.594865765728287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12.124038461538468</v>
      </c>
      <c r="FZ85" s="12">
        <f>IF('Données projet'!$A$244&gt;35,FZ84+FY85-GH84,IF(A85&lt;'Données projet'!$A$244,$FW$205^A85,IF(A85='Données projet'!$A$244,'Données projet'!$B$244,FZ84+FY85-GH84)))</f>
        <v>395.89519230769247</v>
      </c>
      <c r="GA85" s="17">
        <f>FZ85*VLOOKUP('Données projet'!$B$17,Paramètres!$A$1:$I$89,3,0)*VLOOKUP('Données projet'!$B$17,Paramètres!$A$1:$I$89,5,0)</f>
        <v>185.27895000000009</v>
      </c>
      <c r="GB85" s="13">
        <f t="shared" si="103"/>
        <v>46.494672172616063</v>
      </c>
      <c r="GC85" s="20">
        <f t="shared" si="79"/>
        <v>403.67239195063979</v>
      </c>
      <c r="GD85" s="59">
        <f t="shared" si="80"/>
        <v>680.85356642497686</v>
      </c>
      <c r="GE85" s="59">
        <f ca="1">AVERAGE(OFFSET($GD$3,0,0,'Données projet'!$E$17+1,1))-AVERAGE(OFFSET($H$3,0,0,'Données projet'!$E$17+1,1))</f>
        <v>317.79829681023142</v>
      </c>
      <c r="GF85" s="59">
        <f t="shared" si="104"/>
        <v>275.07716943523621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66.684128604241479</v>
      </c>
      <c r="GM85" s="21">
        <f>EXP(-LN(2)/25)*GM84+(1-EXP(-LN(2)/25))/(LN(2)/25)*Calculateur!GH85*Calculateur!GJ85*VLOOKUP('Données projet'!$B$17,Paramètres!$A$1:$I$89,3,0)*0.475*44/12</f>
        <v>25.336439988367044</v>
      </c>
      <c r="GN85" s="21">
        <f>EXP(-LN(2)/2)*GN84+(1-EXP(-LN(2)/2))/(LN(2)/2)*GH85*GK85*VLOOKUP('Données projet'!$B$17,Paramètres!$A$1:$I$89,3,0)*0.475*44/12</f>
        <v>2.0443867336764416</v>
      </c>
      <c r="GO85" s="21">
        <f t="shared" si="81"/>
        <v>94.064955326284974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65.594865765728287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>
        <f>GU85*VLOOKUP('Données projet'!$B$18,Paramètres!$A$1:$I$89,3,0)*VLOOKUP('Données projet'!$B$18,Paramètres!$A$1:$I$89,5,0)</f>
        <v>0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336.21787234885699</v>
      </c>
      <c r="HA85" s="59">
        <f t="shared" si="106"/>
        <v>315.36156736899113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165.95622934898171</v>
      </c>
      <c r="HH85" s="21">
        <f>EXP(-LN(2)/25)*HH84+(1-EXP(-LN(2)/25))/(LN(2)/25)*Calculateur!HC85*Calculateur!HE85*VLOOKUP('Données projet'!$B$18,Paramètres!$A$1:$I$89,3,0)*0.475*44/12</f>
        <v>39.742009961331043</v>
      </c>
      <c r="HI85" s="21">
        <f>EXP(-LN(2)/2)*HI84+(1-EXP(-LN(2)/2))/(LN(2)/2)*HC85*HF85*VLOOKUP('Données projet'!$B$18,Paramètres!$A$1:$I$89,3,0)*0.475*44/12</f>
        <v>0.62238062981816389</v>
      </c>
      <c r="HJ85" s="22">
        <f t="shared" si="84"/>
        <v>206.32061994013091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3.7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13.566666666666668</v>
      </c>
      <c r="H86" s="67">
        <f t="shared" si="56"/>
        <v>202.4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65.671284996288151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7.4950142450142421</v>
      </c>
      <c r="N86" s="13">
        <f>IF('Données projet'!$A$36&gt;35,N85+M86-V85,IF(A86&lt;'Données projet'!$A$36,$K$205^A86,IF(A86='Données projet'!$A$36,'Données projet'!$B$36,N85+M86-V85)))</f>
        <v>250.88888888888908</v>
      </c>
      <c r="O86" s="13">
        <f>N86*VLOOKUP('Données projet'!$B$9,Paramètres!$A$1:$I$89,3,0)*VLOOKUP('Données projet'!$B$9,Paramètres!$A$1:$I$89,5,0)</f>
        <v>227.00426666666684</v>
      </c>
      <c r="P86" s="13">
        <f t="shared" si="87"/>
        <v>55.634440522110118</v>
      </c>
      <c r="Q86" s="20">
        <f t="shared" si="54"/>
        <v>492.26241502045315</v>
      </c>
      <c r="R86" s="59">
        <f t="shared" si="55"/>
        <v>769.72379334017637</v>
      </c>
      <c r="S86" s="59">
        <f ca="1">AVERAGE(OFFSET($R$3,0,0,'Données projet'!$E$9+1,1))-AVERAGE(OFFSET($H$3,0,0,'Données projet'!$E$9+1,1))</f>
        <v>411.64357329340851</v>
      </c>
      <c r="T86" s="59">
        <f t="shared" si="88"/>
        <v>294.07942258675632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30.873176838519029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30.873176838519029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65.671284996288151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7.4950142450142421</v>
      </c>
      <c r="AI86" s="13">
        <f>IF('Données projet'!$A$62&gt;35,AI85+AH86-AQ85,IF(A86&lt;'Données projet'!$A$62,$AF$205^A86,IF(A86='Données projet'!$A$62,'Données projet'!$B$62,AI85+AH86-AQ85)))</f>
        <v>250.88888888888908</v>
      </c>
      <c r="AJ86" s="13">
        <f>AI86*VLOOKUP('Données projet'!$B$10,Paramètres!$A$1:$I$89,3,0)*VLOOKUP('Données projet'!$B$10,Paramètres!$A$1:$I$89,5,0)</f>
        <v>254.40133333333353</v>
      </c>
      <c r="AK86" s="13">
        <f t="shared" si="89"/>
        <v>61.527460718284608</v>
      </c>
      <c r="AL86" s="20">
        <f t="shared" si="58"/>
        <v>550.24264963990152</v>
      </c>
      <c r="AM86" s="59">
        <f t="shared" si="59"/>
        <v>827.70402795962468</v>
      </c>
      <c r="AN86" s="59">
        <f ca="1">AVERAGE(OFFSET($AM$3,0,0,'Données projet'!$E$10+1,1))-AVERAGE(OFFSET($H$3,0,0,'Données projet'!$E$10+1,1))</f>
        <v>453.05577105995508</v>
      </c>
      <c r="AO86" s="59">
        <f t="shared" si="90"/>
        <v>322.6839824496758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34.59924990523686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34.59924990523686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65.671284996288151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4.7037037037037051</v>
      </c>
      <c r="BD86" s="12">
        <f>IF('Données projet'!$A$88&gt;35,BD85+BC86-BL85,IF(A86&lt;'Données projet'!$A$88,$BA$205^A86,IF(A86='Données projet'!$A$88,'Données projet'!$B$88,BD85+BC86-BL85)))</f>
        <v>153.86965811965817</v>
      </c>
      <c r="BE86" s="13">
        <f>BD86*VLOOKUP('Données projet'!$B$11,Paramètres!$A$1:$I$89,3,0)*VLOOKUP('Données projet'!$B$11,Paramètres!$A$1:$I$89,5,0)</f>
        <v>153.62346666666673</v>
      </c>
      <c r="BF86" s="13">
        <f t="shared" si="91"/>
        <v>39.400884012431604</v>
      </c>
      <c r="BG86" s="20">
        <f t="shared" si="61"/>
        <v>336.18407743276293</v>
      </c>
      <c r="BH86" s="59">
        <f t="shared" si="62"/>
        <v>613.64545575248621</v>
      </c>
      <c r="BI86" s="59">
        <f ca="1">AVERAGE(OFFSET($BH$3,0,0,'Données projet'!$E$11+1,1))-AVERAGE(OFFSET($H$3,0,0,'Données projet'!$E$11+1,1))</f>
        <v>411.38162678377478</v>
      </c>
      <c r="BJ86" s="59">
        <f t="shared" si="92"/>
        <v>177.89903563360403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65.671284996288151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2.8</v>
      </c>
      <c r="BY86" s="12">
        <f>IF('Données projet'!$A$114&gt;35,BY85+BX86-CG85,IF(A86&lt;'Données projet'!$A$114,$BV$205^A86,IF(A86='Données projet'!$A$114,'Données projet'!$B$114,BY85+BX86-CG85)))</f>
        <v>205.39999999999995</v>
      </c>
      <c r="BZ86" s="13">
        <f>BY86*VLOOKUP('Données projet'!$B$12,Paramètres!$A$1:$I$89,3,0)*VLOOKUP('Données projet'!$B$12,Paramètres!$A$1:$I$89,5,0)</f>
        <v>214.68407999999997</v>
      </c>
      <c r="CA86" s="13">
        <f t="shared" si="93"/>
        <v>52.957857147167992</v>
      </c>
      <c r="CB86" s="20">
        <f t="shared" si="64"/>
        <v>466.14304053131747</v>
      </c>
      <c r="CC86" s="59">
        <f t="shared" si="65"/>
        <v>743.60441885104069</v>
      </c>
      <c r="CD86" s="59">
        <f ca="1">AVERAGE(OFFSET($CC$3,0,0,'Données projet'!$E$12+1,1))-AVERAGE(OFFSET($H$3,0,0,'Données projet'!$E$12+1,1))</f>
        <v>374.38550202939507</v>
      </c>
      <c r="CE86" s="59">
        <f t="shared" si="94"/>
        <v>324.37486924296718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12.290115277273621</v>
      </c>
      <c r="CL86" s="21">
        <f>EXP(-LN(2)/25)*CL85+(1-EXP(-LN(2)/25))/(LN(2)/25)*Calculateur!CG86*Calculateur!CI86*VLOOKUP('Données projet'!$B$12,Paramètres!$A$1:$I$89,3,0)*0.475*44/12</f>
        <v>15.789575437598883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28.079690714872505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65.671284996288151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5.5042735042735051</v>
      </c>
      <c r="CT86" s="12">
        <f>IF('Données projet'!$A$140&gt;35,CT85+CS86-DB85,IF(A86&lt;'Données projet'!$A$140,$CQ$205^A86,IF(A86='Données projet'!$A$140,'Données projet'!$B$140,CT85+CS86-DB85)))</f>
        <v>194.50213675213666</v>
      </c>
      <c r="CU86" s="17">
        <f>CT86*VLOOKUP('Données projet'!$B$13,Paramètres!$A$1:$I$89,3,0)*VLOOKUP('Données projet'!$B$13,Paramètres!$A$1:$I$89,5,0)</f>
        <v>185.08823333333325</v>
      </c>
      <c r="CV86" s="13">
        <f t="shared" si="95"/>
        <v>46.452381217770373</v>
      </c>
      <c r="CW86" s="20">
        <f t="shared" si="67"/>
        <v>403.26657034317213</v>
      </c>
      <c r="CX86" s="59">
        <f t="shared" si="68"/>
        <v>680.72794866289541</v>
      </c>
      <c r="CY86" s="59">
        <f ca="1">AVERAGE(OFFSET($CX$3,0,0,'Données projet'!$E$13+1,1))-AVERAGE(OFFSET($H$3,0,0,'Données projet'!$E$13+1,1))</f>
        <v>392.81074187112989</v>
      </c>
      <c r="CZ86" s="59">
        <f t="shared" si="96"/>
        <v>236.19146849073687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8.3551422195389087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8.3551422195389087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65.671284996288151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5.5042735042735051</v>
      </c>
      <c r="DO86" s="12">
        <f>IF('Données projet'!$A$166&gt;35,DO85+DN86-DW85,IF(A86&lt;'Données projet'!$A$166,$DL$205^A86,IF(A86='Données projet'!$A$166,'Données projet'!$B$166,DO85+DN86-DW85)))</f>
        <v>194.50213675213666</v>
      </c>
      <c r="DP86" s="17">
        <f>DO86*VLOOKUP('Données projet'!$B$14,Paramètres!$A$1:$I$89,3,0)*VLOOKUP('Données projet'!$B$14,Paramètres!$A$1:$I$89,5,0)</f>
        <v>209.36209999999988</v>
      </c>
      <c r="DQ86" s="13">
        <f t="shared" si="97"/>
        <v>51.796163827117176</v>
      </c>
      <c r="DR86" s="20">
        <f t="shared" si="70"/>
        <v>454.85064283222886</v>
      </c>
      <c r="DS86" s="59">
        <f t="shared" si="71"/>
        <v>732.31202115195208</v>
      </c>
      <c r="DT86" s="59">
        <f ca="1">AVERAGE(OFFSET($DS$3,0,0,'Données projet'!$E$14+1,1))-AVERAGE(OFFSET($H$3,0,0,'Données projet'!$E$14+1,1))</f>
        <v>434.77799524785502</v>
      </c>
      <c r="DU86" s="59">
        <f t="shared" si="98"/>
        <v>259.85949838170006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9.4508985761997497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9.4508985761997497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65.671284996288151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5.5042735042735051</v>
      </c>
      <c r="EJ86" s="12">
        <f>IF('Données projet'!$A$192&gt;35,EJ85+EI86-ER85,IF(A86&lt;'Données projet'!$A$192,$EG$205^A86,IF(A86='Données projet'!$A$192,'Données projet'!$B$192,EJ85+EI86-ER85)))</f>
        <v>194.50213675213666</v>
      </c>
      <c r="EK86" s="17">
        <f>EJ86*VLOOKUP('Données projet'!$B$15,Paramètres!$A$1:$I$89,3,0)*VLOOKUP('Données projet'!$B$15,Paramètres!$A$1:$I$89,5,0)</f>
        <v>188.12246666666658</v>
      </c>
      <c r="EL86" s="13">
        <f t="shared" si="99"/>
        <v>47.124617277140104</v>
      </c>
      <c r="EM86" s="20">
        <f t="shared" si="73"/>
        <v>409.72200453546321</v>
      </c>
      <c r="EN86" s="59">
        <f t="shared" si="74"/>
        <v>687.18338285518644</v>
      </c>
      <c r="EO86" s="59">
        <f ca="1">AVERAGE(OFFSET($EN$3,0,0,'Données projet'!$E$15+1,1))-AVERAGE(OFFSET($H$3,0,0,'Données projet'!$E$15+1,1))</f>
        <v>398.06270423055565</v>
      </c>
      <c r="EP86" s="59">
        <f t="shared" si="100"/>
        <v>239.15364562040614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8.4921117641215123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8.4921117641215123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65.671284996288151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-1.7053025658242404E-13</v>
      </c>
      <c r="FF86" s="17">
        <f>FE86*VLOOKUP('Données projet'!$B$16,Paramètres!$A$1:$I$89,3,0)*VLOOKUP('Données projet'!$B$16,Paramètres!$A$1:$I$89,5,0)</f>
        <v>-1.0197709343628959E-13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334.13861979962491</v>
      </c>
      <c r="FK86" s="59">
        <f t="shared" si="102"/>
        <v>416.48635183664305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95.402355404639451</v>
      </c>
      <c r="FR86" s="21">
        <f>EXP(-LN(2)/25)*FR85+(1-EXP(-LN(2)/25))/(LN(2)/25)*Calculateur!FM86*Calculateur!FO86*VLOOKUP('Données projet'!$B$16,Paramètres!$A$1:$I$89,3,0)*0.475*44/12</f>
        <v>20.90814721082522</v>
      </c>
      <c r="FS86" s="21">
        <f>EXP(-LN(2)/2)*FS85+(1-EXP(-LN(2)/2))/(LN(2)/2)*FM86*FP86*VLOOKUP('Données projet'!$B$16,Paramètres!$A$1:$I$89,3,0)*0.475*44/12</f>
        <v>3.4877464473632436E-3</v>
      </c>
      <c r="FT86" s="22">
        <f t="shared" si="78"/>
        <v>116.31399036191203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65.671284996288151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12.124038461538468</v>
      </c>
      <c r="FZ86" s="12">
        <f>IF('Données projet'!$A$244&gt;35,FZ85+FY86-GH85,IF(A86&lt;'Données projet'!$A$244,$FW$205^A86,IF(A86='Données projet'!$A$244,'Données projet'!$B$244,FZ85+FY86-GH85)))</f>
        <v>408.01923076923094</v>
      </c>
      <c r="GA86" s="17">
        <f>FZ86*VLOOKUP('Données projet'!$B$17,Paramètres!$A$1:$I$89,3,0)*VLOOKUP('Données projet'!$B$17,Paramètres!$A$1:$I$89,5,0)</f>
        <v>190.95300000000006</v>
      </c>
      <c r="GB86" s="13">
        <f t="shared" si="103"/>
        <v>47.750586229034354</v>
      </c>
      <c r="GC86" s="20">
        <f t="shared" si="79"/>
        <v>415.7420793489016</v>
      </c>
      <c r="GD86" s="59">
        <f t="shared" si="80"/>
        <v>693.20345766862488</v>
      </c>
      <c r="GE86" s="59">
        <f ca="1">AVERAGE(OFFSET($GD$3,0,0,'Données projet'!$E$17+1,1))-AVERAGE(OFFSET($H$3,0,0,'Données projet'!$E$17+1,1))</f>
        <v>317.79829681023142</v>
      </c>
      <c r="GF86" s="59">
        <f t="shared" si="104"/>
        <v>275.07716943523621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65.376493515614598</v>
      </c>
      <c r="GM86" s="21">
        <f>EXP(-LN(2)/25)*GM85+(1-EXP(-LN(2)/25))/(LN(2)/25)*Calculateur!GH86*Calculateur!GJ86*VLOOKUP('Données projet'!$B$17,Paramètres!$A$1:$I$89,3,0)*0.475*44/12</f>
        <v>24.643613704499675</v>
      </c>
      <c r="GN86" s="21">
        <f>EXP(-LN(2)/2)*GN85+(1-EXP(-LN(2)/2))/(LN(2)/2)*GH86*GK86*VLOOKUP('Données projet'!$B$17,Paramètres!$A$1:$I$89,3,0)*0.475*44/12</f>
        <v>1.4455997227504283</v>
      </c>
      <c r="GO86" s="21">
        <f t="shared" si="81"/>
        <v>91.465706942864699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65.671284996288151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>
        <f>GU86*VLOOKUP('Données projet'!$B$18,Paramètres!$A$1:$I$89,3,0)*VLOOKUP('Données projet'!$B$18,Paramètres!$A$1:$I$89,5,0)</f>
        <v>0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336.21787234885699</v>
      </c>
      <c r="HA86" s="59">
        <f t="shared" si="106"/>
        <v>315.36156736899113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162.7019289147531</v>
      </c>
      <c r="HH86" s="21">
        <f>EXP(-LN(2)/25)*HH85+(1-EXP(-LN(2)/25))/(LN(2)/25)*Calculateur!HC86*Calculateur!HE86*VLOOKUP('Données projet'!$B$18,Paramètres!$A$1:$I$89,3,0)*0.475*44/12</f>
        <v>38.655262608996971</v>
      </c>
      <c r="HI86" s="21">
        <f>EXP(-LN(2)/2)*HI85+(1-EXP(-LN(2)/2))/(LN(2)/2)*HC86*HF86*VLOOKUP('Données projet'!$B$18,Paramètres!$A$1:$I$89,3,0)*0.475*44/12</f>
        <v>0.44008956382357806</v>
      </c>
      <c r="HJ86" s="22">
        <f t="shared" si="84"/>
        <v>201.79728108757365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3.7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13.566666666666668</v>
      </c>
      <c r="H87" s="67">
        <f t="shared" si="56"/>
        <v>202.4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65.74637852404561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7.4950142450142421</v>
      </c>
      <c r="N87" s="13">
        <f>IF('Données projet'!$A$36&gt;35,N86+M87-V86,IF(A87&lt;'Données projet'!$A$36,$K$205^A87,IF(A87='Données projet'!$A$36,'Données projet'!$B$36,N86+M87-V86)))</f>
        <v>258.38390313390335</v>
      </c>
      <c r="O87" s="13">
        <f>N87*VLOOKUP('Données projet'!$B$9,Paramètres!$A$1:$I$89,3,0)*VLOOKUP('Données projet'!$B$9,Paramètres!$A$1:$I$89,5,0)</f>
        <v>233.78575555555574</v>
      </c>
      <c r="P87" s="13">
        <f t="shared" si="87"/>
        <v>57.10047099813341</v>
      </c>
      <c r="Q87" s="20">
        <f t="shared" si="54"/>
        <v>506.62684458100858</v>
      </c>
      <c r="R87" s="59">
        <f t="shared" si="55"/>
        <v>784.36356583584245</v>
      </c>
      <c r="S87" s="59">
        <f ca="1">AVERAGE(OFFSET($R$3,0,0,'Données projet'!$E$9+1,1))-AVERAGE(OFFSET($H$3,0,0,'Données projet'!$E$9+1,1))</f>
        <v>411.64357329340851</v>
      </c>
      <c r="T87" s="59">
        <f t="shared" si="88"/>
        <v>294.07942258675632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30.267772671494157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30.267772671494157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65.74637852404561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7.4950142450142421</v>
      </c>
      <c r="AI87" s="13">
        <f>IF('Données projet'!$A$62&gt;35,AI86+AH87-AQ86,IF(A87&lt;'Données projet'!$A$62,$AF$205^A87,IF(A87='Données projet'!$A$62,'Données projet'!$B$62,AI86+AH87-AQ86)))</f>
        <v>258.38390313390335</v>
      </c>
      <c r="AJ87" s="13">
        <f>AI87*VLOOKUP('Données projet'!$B$10,Paramètres!$A$1:$I$89,3,0)*VLOOKUP('Données projet'!$B$10,Paramètres!$A$1:$I$89,5,0)</f>
        <v>262.001277777778</v>
      </c>
      <c r="AK87" s="13">
        <f t="shared" si="89"/>
        <v>63.148778946325088</v>
      </c>
      <c r="AL87" s="20">
        <f t="shared" si="58"/>
        <v>566.30301546114617</v>
      </c>
      <c r="AM87" s="59">
        <f t="shared" si="59"/>
        <v>844.0397367159801</v>
      </c>
      <c r="AN87" s="59">
        <f ca="1">AVERAGE(OFFSET($AM$3,0,0,'Données projet'!$E$10+1,1))-AVERAGE(OFFSET($H$3,0,0,'Données projet'!$E$10+1,1))</f>
        <v>453.05577105995508</v>
      </c>
      <c r="AO87" s="59">
        <f t="shared" si="90"/>
        <v>322.6839824496758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33.920779718053815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33.920779718053815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65.74637852404561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4.7037037037037051</v>
      </c>
      <c r="BD87" s="12">
        <f>IF('Données projet'!$A$88&gt;35,BD86+BC87-BL86,IF(A87&lt;'Données projet'!$A$88,$BA$205^A87,IF(A87='Données projet'!$A$88,'Données projet'!$B$88,BD86+BC87-BL86)))</f>
        <v>158.57336182336186</v>
      </c>
      <c r="BE87" s="13">
        <f>BD87*VLOOKUP('Données projet'!$B$11,Paramètres!$A$1:$I$89,3,0)*VLOOKUP('Données projet'!$B$11,Paramètres!$A$1:$I$89,5,0)</f>
        <v>158.31964444444449</v>
      </c>
      <c r="BF87" s="13">
        <f t="shared" si="91"/>
        <v>40.463273948909574</v>
      </c>
      <c r="BG87" s="20">
        <f t="shared" si="61"/>
        <v>346.21358286842496</v>
      </c>
      <c r="BH87" s="59">
        <f t="shared" si="62"/>
        <v>623.95030412325877</v>
      </c>
      <c r="BI87" s="59">
        <f ca="1">AVERAGE(OFFSET($BH$3,0,0,'Données projet'!$E$11+1,1))-AVERAGE(OFFSET($H$3,0,0,'Données projet'!$E$11+1,1))</f>
        <v>411.38162678377478</v>
      </c>
      <c r="BJ87" s="59">
        <f t="shared" si="92"/>
        <v>177.89903563360403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65.74637852404561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2.8</v>
      </c>
      <c r="BY87" s="12">
        <f>IF('Données projet'!$A$114&gt;35,BY86+BX87-CG86,IF(A87&lt;'Données projet'!$A$114,$BV$205^A87,IF(A87='Données projet'!$A$114,'Données projet'!$B$114,BY86+BX87-CG86)))</f>
        <v>208.19999999999996</v>
      </c>
      <c r="BZ87" s="13">
        <f>BY87*VLOOKUP('Données projet'!$B$12,Paramètres!$A$1:$I$89,3,0)*VLOOKUP('Données projet'!$B$12,Paramètres!$A$1:$I$89,5,0)</f>
        <v>217.61063999999996</v>
      </c>
      <c r="CA87" s="13">
        <f t="shared" si="93"/>
        <v>53.595240539151249</v>
      </c>
      <c r="CB87" s="20">
        <f t="shared" si="64"/>
        <v>472.35024193902171</v>
      </c>
      <c r="CC87" s="59">
        <f t="shared" si="65"/>
        <v>750.08696319385558</v>
      </c>
      <c r="CD87" s="59">
        <f ca="1">AVERAGE(OFFSET($CC$3,0,0,'Données projet'!$E$12+1,1))-AVERAGE(OFFSET($H$3,0,0,'Données projet'!$E$12+1,1))</f>
        <v>374.38550202939507</v>
      </c>
      <c r="CE87" s="59">
        <f t="shared" si="94"/>
        <v>324.37486924296718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12.049113612916413</v>
      </c>
      <c r="CL87" s="21">
        <f>EXP(-LN(2)/25)*CL86+(1-EXP(-LN(2)/25))/(LN(2)/25)*Calculateur!CG87*Calculateur!CI87*VLOOKUP('Données projet'!$B$12,Paramètres!$A$1:$I$89,3,0)*0.475*44/12</f>
        <v>15.357808666920057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27.406922279836472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65.74637852404561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200.00641025641025</v>
      </c>
      <c r="CR87" s="12">
        <f>VLOOKUP(A87,'Données projet'!$A$139:$I$159,9,0)</f>
        <v>5.5042735042735051</v>
      </c>
      <c r="CS87" s="12">
        <f t="array" ref="CS87">INDEX(CR:CR,MIN(IF(ISNUMBER(CR87:CR283),ROW(CR87:CR283),"")))</f>
        <v>5.5042735042735051</v>
      </c>
      <c r="CT87" s="12">
        <f>IF('Données projet'!$A$140&gt;35,CT86+CS87-DB86,IF(A87&lt;'Données projet'!$A$140,$CQ$205^A87,IF(A87='Données projet'!$A$140,'Données projet'!$B$140,CT86+CS87-DB86)))</f>
        <v>200.00641025641016</v>
      </c>
      <c r="CU87" s="17">
        <f>CT87*VLOOKUP('Données projet'!$B$13,Paramètres!$A$1:$I$89,3,0)*VLOOKUP('Données projet'!$B$13,Paramètres!$A$1:$I$89,5,0)</f>
        <v>190.32609999999991</v>
      </c>
      <c r="CV87" s="13">
        <f t="shared" si="95"/>
        <v>47.612041734138863</v>
      </c>
      <c r="CW87" s="20">
        <f t="shared" si="67"/>
        <v>414.40893018695834</v>
      </c>
      <c r="CX87" s="59">
        <f t="shared" si="68"/>
        <v>692.14565144179221</v>
      </c>
      <c r="CY87" s="59">
        <f ca="1">AVERAGE(OFFSET($CX$3,0,0,'Données projet'!$E$13+1,1))-AVERAGE(OFFSET($H$3,0,0,'Données projet'!$E$13+1,1))</f>
        <v>392.81074187112989</v>
      </c>
      <c r="CZ87" s="59">
        <f t="shared" si="96"/>
        <v>236.19146849073687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35.083333333333329</v>
      </c>
      <c r="DC87" s="16">
        <f>IF(ISNA(VLOOKUP(A87,'Données projet'!$A$139:$I$159,5,0)),0%,VLOOKUP(A87,'Données projet'!$A$139:$I$159,5,0)*VLOOKUP('Données projet'!$B$13,Paramètres!$A$1:$I$89,7,0))</f>
        <v>0.30099999999999999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19.300147515555544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19.300147515555544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65.74637852404561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200.00641025641025</v>
      </c>
      <c r="DM87" s="12">
        <f>VLOOKUP(A87,'Données projet'!$A$165:$I$185,9,0)</f>
        <v>5.5042735042735051</v>
      </c>
      <c r="DN87" s="12">
        <f t="array" ref="DN87">INDEX(DM:DM,MIN(IF(ISNUMBER(DM87:DM283),ROW(DM87:DM283),"")))</f>
        <v>5.5042735042735051</v>
      </c>
      <c r="DO87" s="12">
        <f>IF('Données projet'!$A$166&gt;35,DO86+DN87-DW86,IF(A87&lt;'Données projet'!$A$166,$DL$205^A87,IF(A87='Données projet'!$A$166,'Données projet'!$B$166,DO86+DN87-DW86)))</f>
        <v>200.00641025641016</v>
      </c>
      <c r="DP87" s="17">
        <f>DO87*VLOOKUP('Données projet'!$B$14,Paramètres!$A$1:$I$89,3,0)*VLOOKUP('Données projet'!$B$14,Paramètres!$A$1:$I$89,5,0)</f>
        <v>215.28689999999986</v>
      </c>
      <c r="DQ87" s="13">
        <f t="shared" si="97"/>
        <v>53.089229209666037</v>
      </c>
      <c r="DR87" s="20">
        <f t="shared" si="70"/>
        <v>467.42175837350146</v>
      </c>
      <c r="DS87" s="59">
        <f t="shared" si="71"/>
        <v>745.15847962833527</v>
      </c>
      <c r="DT87" s="59">
        <f ca="1">AVERAGE(OFFSET($DS$3,0,0,'Données projet'!$E$14+1,1))-AVERAGE(OFFSET($H$3,0,0,'Données projet'!$E$14+1,1))</f>
        <v>434.77799524785502</v>
      </c>
      <c r="DU87" s="59">
        <f t="shared" si="98"/>
        <v>259.85949838170006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35.083333333333329</v>
      </c>
      <c r="DX87" s="16">
        <f>IF(ISNA(VLOOKUP(A87,'Données projet'!$A$165:$I$185,5,0)),0%,VLOOKUP(A87,'Données projet'!$A$165:$I$185,5,0)*VLOOKUP('Données projet'!$B$14,Paramètres!$A$1:$I$89,7,0))</f>
        <v>0.30099999999999999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21.831314402841514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21.831314402841514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65.74637852404561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200.00641025641025</v>
      </c>
      <c r="EH87" s="12">
        <f>VLOOKUP(A87,'Données projet'!$A$191:$I$211,9,0)</f>
        <v>5.5042735042735051</v>
      </c>
      <c r="EI87" s="12">
        <f t="array" ref="EI87">INDEX(EH:EH,MIN(IF(ISNUMBER(EH87:EH283),ROW(EH87:EH283),"")))</f>
        <v>5.5042735042735051</v>
      </c>
      <c r="EJ87" s="12">
        <f>IF('Données projet'!$A$192&gt;35,EJ86+EI87-ER86,IF(A87&lt;'Données projet'!$A$192,$EG$205^A87,IF(A87='Données projet'!$A$192,'Données projet'!$B$192,EJ86+EI87-ER86)))</f>
        <v>200.00641025641016</v>
      </c>
      <c r="EK87" s="17">
        <f>EJ87*VLOOKUP('Données projet'!$B$15,Paramètres!$A$1:$I$89,3,0)*VLOOKUP('Données projet'!$B$15,Paramètres!$A$1:$I$89,5,0)</f>
        <v>193.44619999999992</v>
      </c>
      <c r="EL87" s="13">
        <f t="shared" si="99"/>
        <v>48.301059831270564</v>
      </c>
      <c r="EM87" s="20">
        <f t="shared" si="73"/>
        <v>421.0431442061294</v>
      </c>
      <c r="EN87" s="59">
        <f t="shared" si="74"/>
        <v>698.77986546096326</v>
      </c>
      <c r="EO87" s="59">
        <f ca="1">AVERAGE(OFFSET($EN$3,0,0,'Données projet'!$E$15+1,1))-AVERAGE(OFFSET($H$3,0,0,'Données projet'!$E$15+1,1))</f>
        <v>398.06270423055565</v>
      </c>
      <c r="EP87" s="59">
        <f t="shared" si="100"/>
        <v>239.15364562040614</v>
      </c>
      <c r="EQ87" s="15">
        <f>IF(ISNA(VLOOKUP(A87,'Données projet'!$A$191:$I$211,3,0)),0,VLOOKUP(A87,'Données projet'!$A$191:$I$211,3,0))</f>
        <v>6</v>
      </c>
      <c r="ER87" s="15">
        <f>IF(ISNA(VLOOKUP(A87,'Données projet'!$A$191:$I$211,4,0)),0,VLOOKUP(A87,'Données projet'!$A$191:$I$211,4,0))</f>
        <v>35.083333333333329</v>
      </c>
      <c r="ES87" s="16">
        <f>IF(ISNA(VLOOKUP(A87,'Données projet'!$A$191:$I$211,5,0)),0%,VLOOKUP(A87,'Données projet'!$A$191:$I$211,5,0)*VLOOKUP('Données projet'!$B$15,Paramètres!$A$1:$I$89,7,0))</f>
        <v>0.30099999999999999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19.616543376466289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19.616543376466289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65.74637852404561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-1.7053025658242404E-13</v>
      </c>
      <c r="FF87" s="17">
        <f>FE87*VLOOKUP('Données projet'!$B$16,Paramètres!$A$1:$I$89,3,0)*VLOOKUP('Données projet'!$B$16,Paramètres!$A$1:$I$89,5,0)</f>
        <v>-1.0197709343628959E-13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334.13861979962491</v>
      </c>
      <c r="FK87" s="59">
        <f t="shared" si="102"/>
        <v>416.48635183664305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93.531573404845517</v>
      </c>
      <c r="FR87" s="21">
        <f>EXP(-LN(2)/25)*FR86+(1-EXP(-LN(2)/25))/(LN(2)/25)*Calculateur!FM87*Calculateur!FO87*VLOOKUP('Données projet'!$B$16,Paramètres!$A$1:$I$89,3,0)*0.475*44/12</f>
        <v>20.336412825833527</v>
      </c>
      <c r="FS87" s="21">
        <f>EXP(-LN(2)/2)*FS86+(1-EXP(-LN(2)/2))/(LN(2)/2)*FM87*FP87*VLOOKUP('Données projet'!$B$16,Paramètres!$A$1:$I$89,3,0)*0.475*44/12</f>
        <v>2.4662091639898395E-3</v>
      </c>
      <c r="FT87" s="22">
        <f t="shared" si="78"/>
        <v>113.87045243984302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65.74637852404561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12.124038461538468</v>
      </c>
      <c r="FZ87" s="12">
        <f>IF('Données projet'!$A$244&gt;35,FZ86+FY87-GH86,IF(A87&lt;'Données projet'!$A$244,$FW$205^A87,IF(A87='Données projet'!$A$244,'Données projet'!$B$244,FZ86+FY87-GH86)))</f>
        <v>420.14326923076942</v>
      </c>
      <c r="GA87" s="17">
        <f>FZ87*VLOOKUP('Données projet'!$B$17,Paramètres!$A$1:$I$89,3,0)*VLOOKUP('Données projet'!$B$17,Paramètres!$A$1:$I$89,5,0)</f>
        <v>196.62705000000008</v>
      </c>
      <c r="GB87" s="13">
        <f t="shared" si="103"/>
        <v>49.002163217129386</v>
      </c>
      <c r="GC87" s="20">
        <f t="shared" si="79"/>
        <v>427.80421301983375</v>
      </c>
      <c r="GD87" s="59">
        <f t="shared" si="80"/>
        <v>705.54093427466762</v>
      </c>
      <c r="GE87" s="59">
        <f ca="1">AVERAGE(OFFSET($GD$3,0,0,'Données projet'!$E$17+1,1))-AVERAGE(OFFSET($H$3,0,0,'Données projet'!$E$17+1,1))</f>
        <v>317.79829681023142</v>
      </c>
      <c r="GF87" s="59">
        <f t="shared" si="104"/>
        <v>275.07716943523621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64.09450035349704</v>
      </c>
      <c r="GM87" s="21">
        <f>EXP(-LN(2)/25)*GM86+(1-EXP(-LN(2)/25))/(LN(2)/25)*Calculateur!GH87*Calculateur!GJ87*VLOOKUP('Données projet'!$B$17,Paramètres!$A$1:$I$89,3,0)*0.475*44/12</f>
        <v>23.969732791798812</v>
      </c>
      <c r="GN87" s="21">
        <f>EXP(-LN(2)/2)*GN86+(1-EXP(-LN(2)/2))/(LN(2)/2)*GH87*GK87*VLOOKUP('Données projet'!$B$17,Paramètres!$A$1:$I$89,3,0)*0.475*44/12</f>
        <v>1.0221933668382208</v>
      </c>
      <c r="GO87" s="21">
        <f t="shared" si="81"/>
        <v>89.086426512134068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65.74637852404561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>
        <f>GU87*VLOOKUP('Données projet'!$B$18,Paramètres!$A$1:$I$89,3,0)*VLOOKUP('Données projet'!$B$18,Paramètres!$A$1:$I$89,5,0)</f>
        <v>0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336.21787234885699</v>
      </c>
      <c r="HA87" s="59">
        <f t="shared" si="106"/>
        <v>315.36156736899113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159.51144332711246</v>
      </c>
      <c r="HH87" s="21">
        <f>EXP(-LN(2)/25)*HH86+(1-EXP(-LN(2)/25))/(LN(2)/25)*Calculateur!HC87*Calculateur!HE87*VLOOKUP('Données projet'!$B$18,Paramètres!$A$1:$I$89,3,0)*0.475*44/12</f>
        <v>37.598232420162034</v>
      </c>
      <c r="HI87" s="21">
        <f>EXP(-LN(2)/2)*HI86+(1-EXP(-LN(2)/2))/(LN(2)/2)*HC87*HF87*VLOOKUP('Données projet'!$B$18,Paramètres!$A$1:$I$89,3,0)*0.475*44/12</f>
        <v>0.31119031490908194</v>
      </c>
      <c r="HJ87" s="22">
        <f t="shared" si="84"/>
        <v>197.42086606218356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3.7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13.566666666666668</v>
      </c>
      <c r="H88" s="67">
        <f t="shared" si="56"/>
        <v>202.4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65.82016934698045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7.4950142450142421</v>
      </c>
      <c r="N88" s="13">
        <f>IF('Données projet'!$A$36&gt;35,N87+M88-V87,IF(A88&lt;'Données projet'!$A$36,$K$205^A88,IF(A88='Données projet'!$A$36,'Données projet'!$B$36,N87+M88-V87)))</f>
        <v>265.87891737891761</v>
      </c>
      <c r="O88" s="13">
        <f>N88*VLOOKUP('Données projet'!$B$9,Paramètres!$A$1:$I$89,3,0)*VLOOKUP('Données projet'!$B$9,Paramètres!$A$1:$I$89,5,0)</f>
        <v>240.56724444444464</v>
      </c>
      <c r="P88" s="13">
        <f t="shared" si="87"/>
        <v>58.5615591142816</v>
      </c>
      <c r="Q88" s="20">
        <f t="shared" si="54"/>
        <v>520.98266619811488</v>
      </c>
      <c r="R88" s="59">
        <f t="shared" si="55"/>
        <v>798.9899538037098</v>
      </c>
      <c r="S88" s="59">
        <f ca="1">AVERAGE(OFFSET($R$3,0,0,'Données projet'!$E$9+1,1))-AVERAGE(OFFSET($H$3,0,0,'Données projet'!$E$9+1,1))</f>
        <v>411.64357329340851</v>
      </c>
      <c r="T88" s="59">
        <f t="shared" si="88"/>
        <v>294.07942258675632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29.674240110924561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29.674240110924561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65.82016934698045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7.4950142450142421</v>
      </c>
      <c r="AI88" s="13">
        <f>IF('Données projet'!$A$62&gt;35,AI87+AH88-AQ87,IF(A88&lt;'Données projet'!$A$62,$AF$205^A88,IF(A88='Données projet'!$A$62,'Données projet'!$B$62,AI87+AH88-AQ87)))</f>
        <v>265.87891737891761</v>
      </c>
      <c r="AJ88" s="13">
        <f>AI88*VLOOKUP('Données projet'!$B$10,Paramètres!$A$1:$I$89,3,0)*VLOOKUP('Données projet'!$B$10,Paramètres!$A$1:$I$89,5,0)</f>
        <v>269.60122222222248</v>
      </c>
      <c r="AK88" s="13">
        <f t="shared" si="89"/>
        <v>64.764631300165817</v>
      </c>
      <c r="AL88" s="20">
        <f t="shared" si="58"/>
        <v>582.35386155149297</v>
      </c>
      <c r="AM88" s="59">
        <f t="shared" si="59"/>
        <v>860.36114915708799</v>
      </c>
      <c r="AN88" s="59">
        <f ca="1">AVERAGE(OFFSET($AM$3,0,0,'Données projet'!$E$10+1,1))-AVERAGE(OFFSET($H$3,0,0,'Données projet'!$E$10+1,1))</f>
        <v>453.05577105995508</v>
      </c>
      <c r="AO88" s="59">
        <f t="shared" si="90"/>
        <v>322.6839824496758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33.255613917415474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33.255613917415474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65.82016934698045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4.7037037037037051</v>
      </c>
      <c r="BD88" s="12">
        <f>IF('Données projet'!$A$88&gt;35,BD87+BC88-BL87,IF(A88&lt;'Données projet'!$A$88,$BA$205^A88,IF(A88='Données projet'!$A$88,'Données projet'!$B$88,BD87+BC88-BL87)))</f>
        <v>163.27706552706556</v>
      </c>
      <c r="BE88" s="13">
        <f>BD88*VLOOKUP('Données projet'!$B$11,Paramètres!$A$1:$I$89,3,0)*VLOOKUP('Données projet'!$B$11,Paramètres!$A$1:$I$89,5,0)</f>
        <v>163.01582222222225</v>
      </c>
      <c r="BF88" s="13">
        <f t="shared" si="91"/>
        <v>41.522001496870281</v>
      </c>
      <c r="BG88" s="20">
        <f t="shared" si="61"/>
        <v>356.23670964408615</v>
      </c>
      <c r="BH88" s="59">
        <f t="shared" si="62"/>
        <v>634.24399724968112</v>
      </c>
      <c r="BI88" s="59">
        <f ca="1">AVERAGE(OFFSET($BH$3,0,0,'Données projet'!$E$11+1,1))-AVERAGE(OFFSET($H$3,0,0,'Données projet'!$E$11+1,1))</f>
        <v>411.38162678377478</v>
      </c>
      <c r="BJ88" s="59">
        <f t="shared" si="92"/>
        <v>177.89903563360403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65.82016934698045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211</v>
      </c>
      <c r="BW88" s="12">
        <f>VLOOKUP(A88,'Données projet'!$A$113:$I$133,9,0)</f>
        <v>2.8</v>
      </c>
      <c r="BX88" s="12">
        <f t="array" ref="BX88">INDEX(BW:BW,MIN(IF(ISNUMBER(BW88:BW284),ROW(BW88:BW284),"")))</f>
        <v>2.8</v>
      </c>
      <c r="BY88" s="12">
        <f>IF('Données projet'!$A$114&gt;35,BY87+BX88-CG87,IF(A88&lt;'Données projet'!$A$114,$BV$205^A88,IF(A88='Données projet'!$A$114,'Données projet'!$B$114,BY87+BX88-CG87)))</f>
        <v>210.99999999999997</v>
      </c>
      <c r="BZ88" s="13">
        <f>BY88*VLOOKUP('Données projet'!$B$12,Paramètres!$A$1:$I$89,3,0)*VLOOKUP('Données projet'!$B$12,Paramètres!$A$1:$I$89,5,0)</f>
        <v>220.53719999999998</v>
      </c>
      <c r="CA88" s="13">
        <f t="shared" si="93"/>
        <v>54.23162690856141</v>
      </c>
      <c r="CB88" s="20">
        <f t="shared" si="64"/>
        <v>478.5557068657443</v>
      </c>
      <c r="CC88" s="59">
        <f t="shared" si="65"/>
        <v>756.56299447133927</v>
      </c>
      <c r="CD88" s="59">
        <f ca="1">AVERAGE(OFFSET($CC$3,0,0,'Données projet'!$E$12+1,1))-AVERAGE(OFFSET($H$3,0,0,'Données projet'!$E$12+1,1))</f>
        <v>374.38550202939507</v>
      </c>
      <c r="CE88" s="59">
        <f t="shared" si="94"/>
        <v>324.37486924296718</v>
      </c>
      <c r="CF88" s="15">
        <f>IF(ISNA(VLOOKUP(A88,'Données projet'!$A$113:$I$133,3,0)),0,VLOOKUP(A88,'Données projet'!$A$113:$I$133,3,0))</f>
        <v>14</v>
      </c>
      <c r="CG88" s="15" t="str">
        <f>IF(ISNA(VLOOKUP(A88,'Données projet'!$A$113:$I$133,4,0)),0,VLOOKUP(A88,'Données projet'!$A$113:$I$133,4,0))</f>
        <v>10</v>
      </c>
      <c r="CH88" s="16">
        <f>IF(ISNA(VLOOKUP(A88,'Données projet'!$A$113:$I$133,5,0)),0%,VLOOKUP(A88,'Données projet'!$A$113:$I$133,5,0)*VLOOKUP('Données projet'!$B$12,Paramètres!$A$1:$I$89,7,0))</f>
        <v>0.215</v>
      </c>
      <c r="CI88" s="16">
        <f>IF(ISNA(VLOOKUP(A88,'Données projet'!$A$113:$I$133,6,0)),0%,VLOOKUP(A88,'Données projet'!$A$113:$I$133,6,0)*VLOOKUP('Données projet'!$B$12,Paramètres!$A$1:$I$89,7,0))</f>
        <v>0.17200000000000001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14.297028771679605</v>
      </c>
      <c r="CL88" s="21">
        <f>EXP(-LN(2)/25)*CL87+(1-EXP(-LN(2)/25))/(LN(2)/25)*Calculateur!CG88*Calculateur!CI88*VLOOKUP('Données projet'!$B$12,Paramètres!$A$1:$I$89,3,0)*0.475*44/12</f>
        <v>16.917376358288205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31.214405129967808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65.82016934698045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5.2606837606837598</v>
      </c>
      <c r="CT88" s="12">
        <f>IF('Données projet'!$A$140&gt;35,CT87+CS88-DB87,IF(A88&lt;'Données projet'!$A$140,$CQ$205^A88,IF(A88='Données projet'!$A$140,'Données projet'!$B$140,CT87+CS88-DB87)))</f>
        <v>170.18376068376057</v>
      </c>
      <c r="CU88" s="17">
        <f>CT88*VLOOKUP('Données projet'!$B$13,Paramètres!$A$1:$I$89,3,0)*VLOOKUP('Données projet'!$B$13,Paramètres!$A$1:$I$89,5,0)</f>
        <v>161.94686666666655</v>
      </c>
      <c r="CV88" s="13">
        <f t="shared" si="95"/>
        <v>41.281327043159628</v>
      </c>
      <c r="CW88" s="20">
        <f t="shared" si="67"/>
        <v>353.95577071128059</v>
      </c>
      <c r="CX88" s="59">
        <f t="shared" si="68"/>
        <v>631.9630583168755</v>
      </c>
      <c r="CY88" s="59">
        <f ca="1">AVERAGE(OFFSET($CX$3,0,0,'Données projet'!$E$13+1,1))-AVERAGE(OFFSET($H$3,0,0,'Données projet'!$E$13+1,1))</f>
        <v>392.81074187112989</v>
      </c>
      <c r="CZ88" s="59">
        <f t="shared" si="96"/>
        <v>236.19146849073687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18.921683394703102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18.921683394703102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65.82016934698045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5.2606837606837598</v>
      </c>
      <c r="DO88" s="12">
        <f>IF('Données projet'!$A$166&gt;35,DO87+DN88-DW87,IF(A88&lt;'Données projet'!$A$166,$DL$205^A88,IF(A88='Données projet'!$A$166,'Données projet'!$B$166,DO87+DN88-DW87)))</f>
        <v>170.18376068376057</v>
      </c>
      <c r="DP88" s="17">
        <f>DO88*VLOOKUP('Données projet'!$B$14,Paramètres!$A$1:$I$89,3,0)*VLOOKUP('Données projet'!$B$14,Paramètres!$A$1:$I$89,5,0)</f>
        <v>183.18579999999986</v>
      </c>
      <c r="DQ88" s="13">
        <f t="shared" si="97"/>
        <v>46.030242637170218</v>
      </c>
      <c r="DR88" s="20">
        <f t="shared" si="70"/>
        <v>399.21794092640448</v>
      </c>
      <c r="DS88" s="59">
        <f t="shared" si="71"/>
        <v>677.22522853199939</v>
      </c>
      <c r="DT88" s="59">
        <f ca="1">AVERAGE(OFFSET($DS$3,0,0,'Données projet'!$E$14+1,1))-AVERAGE(OFFSET($H$3,0,0,'Données projet'!$E$14+1,1))</f>
        <v>434.77799524785502</v>
      </c>
      <c r="DU88" s="59">
        <f t="shared" si="98"/>
        <v>259.85949838170006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21.403215643188751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21.403215643188751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65.82016934698045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5.2606837606837598</v>
      </c>
      <c r="EJ88" s="12">
        <f>IF('Données projet'!$A$192&gt;35,EJ87+EI88-ER87,IF(A88&lt;'Données projet'!$A$192,$EG$205^A88,IF(A88='Données projet'!$A$192,'Données projet'!$B$192,EJ87+EI88-ER87)))</f>
        <v>170.18376068376057</v>
      </c>
      <c r="EK88" s="17">
        <f>EJ88*VLOOKUP('Données projet'!$B$15,Paramètres!$A$1:$I$89,3,0)*VLOOKUP('Données projet'!$B$15,Paramètres!$A$1:$I$89,5,0)</f>
        <v>164.60173333333324</v>
      </c>
      <c r="EL88" s="13">
        <f t="shared" si="99"/>
        <v>41.878730144777855</v>
      </c>
      <c r="EM88" s="20">
        <f t="shared" si="73"/>
        <v>359.6201405577101</v>
      </c>
      <c r="EN88" s="59">
        <f t="shared" si="74"/>
        <v>637.62742816330501</v>
      </c>
      <c r="EO88" s="59">
        <f ca="1">AVERAGE(OFFSET($EN$3,0,0,'Données projet'!$E$15+1,1))-AVERAGE(OFFSET($H$3,0,0,'Données projet'!$E$15+1,1))</f>
        <v>398.06270423055565</v>
      </c>
      <c r="EP88" s="59">
        <f t="shared" si="100"/>
        <v>239.15364562040614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19.231874925763808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19.231874925763808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65.82016934698045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-1.7053025658242404E-13</v>
      </c>
      <c r="FF88" s="17">
        <f>FE88*VLOOKUP('Données projet'!$B$16,Paramètres!$A$1:$I$89,3,0)*VLOOKUP('Données projet'!$B$16,Paramètres!$A$1:$I$89,5,0)</f>
        <v>-1.0197709343628959E-13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334.13861979962491</v>
      </c>
      <c r="FK88" s="59">
        <f t="shared" si="102"/>
        <v>416.48635183664305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91.697476299003185</v>
      </c>
      <c r="FR88" s="21">
        <f>EXP(-LN(2)/25)*FR87+(1-EXP(-LN(2)/25))/(LN(2)/25)*Calculateur!FM88*Calculateur!FO88*VLOOKUP('Données projet'!$B$16,Paramètres!$A$1:$I$89,3,0)*0.475*44/12</f>
        <v>19.780312547665638</v>
      </c>
      <c r="FS88" s="21">
        <f>EXP(-LN(2)/2)*FS87+(1-EXP(-LN(2)/2))/(LN(2)/2)*FM88*FP88*VLOOKUP('Données projet'!$B$16,Paramètres!$A$1:$I$89,3,0)*0.475*44/12</f>
        <v>1.7438732236816218E-3</v>
      </c>
      <c r="FT88" s="22">
        <f t="shared" si="78"/>
        <v>111.47953271989252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65.82016934698045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12.124038461538468</v>
      </c>
      <c r="FZ88" s="12">
        <f>IF('Données projet'!$A$244&gt;35,FZ87+FY88-GH87,IF(A88&lt;'Données projet'!$A$244,$FW$205^A88,IF(A88='Données projet'!$A$244,'Données projet'!$B$244,FZ87+FY88-GH87)))</f>
        <v>432.2673076923079</v>
      </c>
      <c r="GA88" s="17">
        <f>FZ88*VLOOKUP('Données projet'!$B$17,Paramètres!$A$1:$I$89,3,0)*VLOOKUP('Données projet'!$B$17,Paramètres!$A$1:$I$89,5,0)</f>
        <v>202.3011000000001</v>
      </c>
      <c r="GB88" s="13">
        <f t="shared" si="103"/>
        <v>50.249542664134772</v>
      </c>
      <c r="GC88" s="20">
        <f t="shared" si="79"/>
        <v>439.85903597336824</v>
      </c>
      <c r="GD88" s="59">
        <f t="shared" si="80"/>
        <v>717.86632357896315</v>
      </c>
      <c r="GE88" s="59">
        <f ca="1">AVERAGE(OFFSET($GD$3,0,0,'Données projet'!$E$17+1,1))-AVERAGE(OFFSET($H$3,0,0,'Données projet'!$E$17+1,1))</f>
        <v>317.79829681023142</v>
      </c>
      <c r="GF88" s="59">
        <f t="shared" si="104"/>
        <v>275.07716943523621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62.837646295349991</v>
      </c>
      <c r="GM88" s="21">
        <f>EXP(-LN(2)/25)*GM87+(1-EXP(-LN(2)/25))/(LN(2)/25)*Calculateur!GH88*Calculateur!GJ88*VLOOKUP('Données projet'!$B$17,Paramètres!$A$1:$I$89,3,0)*0.475*44/12</f>
        <v>23.314279188093611</v>
      </c>
      <c r="GN88" s="21">
        <f>EXP(-LN(2)/2)*GN87+(1-EXP(-LN(2)/2))/(LN(2)/2)*GH88*GK88*VLOOKUP('Données projet'!$B$17,Paramètres!$A$1:$I$89,3,0)*0.475*44/12</f>
        <v>0.72279986137521413</v>
      </c>
      <c r="GO88" s="21">
        <f t="shared" si="81"/>
        <v>86.874725344818813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65.82016934698045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>
        <f>GU88*VLOOKUP('Données projet'!$B$18,Paramètres!$A$1:$I$89,3,0)*VLOOKUP('Données projet'!$B$18,Paramètres!$A$1:$I$89,5,0)</f>
        <v>0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336.21787234885699</v>
      </c>
      <c r="HA88" s="59">
        <f t="shared" si="106"/>
        <v>315.36156736899113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156.3835212158414</v>
      </c>
      <c r="HH88" s="21">
        <f>EXP(-LN(2)/25)*HH87+(1-EXP(-LN(2)/25))/(LN(2)/25)*Calculateur!HC88*Calculateur!HE88*VLOOKUP('Données projet'!$B$18,Paramètres!$A$1:$I$89,3,0)*0.475*44/12</f>
        <v>36.57010677742759</v>
      </c>
      <c r="HI88" s="21">
        <f>EXP(-LN(2)/2)*HI87+(1-EXP(-LN(2)/2))/(LN(2)/2)*HC88*HF88*VLOOKUP('Données projet'!$B$18,Paramètres!$A$1:$I$89,3,0)*0.475*44/12</f>
        <v>0.22004478191178903</v>
      </c>
      <c r="HJ88" s="22">
        <f t="shared" si="84"/>
        <v>193.17367277518076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3.7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13.566666666666668</v>
      </c>
      <c r="H89" s="67">
        <f t="shared" si="56"/>
        <v>202.4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65.892680064108944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7.4950142450142421</v>
      </c>
      <c r="N89" s="13">
        <f>IF('Données projet'!$A$36&gt;35,N88+M89-V88,IF(A89&lt;'Données projet'!$A$36,$K$205^A89,IF(A89='Données projet'!$A$36,'Données projet'!$B$36,N88+M89-V88)))</f>
        <v>273.37393162393187</v>
      </c>
      <c r="O89" s="13">
        <f>N89*VLOOKUP('Données projet'!$B$9,Paramètres!$A$1:$I$89,3,0)*VLOOKUP('Données projet'!$B$9,Paramètres!$A$1:$I$89,5,0)</f>
        <v>247.34873333333351</v>
      </c>
      <c r="P89" s="13">
        <f t="shared" si="87"/>
        <v>60.017860197565874</v>
      </c>
      <c r="Q89" s="20">
        <f t="shared" si="54"/>
        <v>535.33015039964971</v>
      </c>
      <c r="R89" s="59">
        <f t="shared" si="55"/>
        <v>813.60331063471585</v>
      </c>
      <c r="S89" s="59">
        <f ca="1">AVERAGE(OFFSET($R$3,0,0,'Données projet'!$E$9+1,1))-AVERAGE(OFFSET($H$3,0,0,'Données projet'!$E$9+1,1))</f>
        <v>411.64357329340851</v>
      </c>
      <c r="T89" s="59">
        <f t="shared" si="88"/>
        <v>294.07942258675632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29.09234636184862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29.09234636184862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65.892680064108944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7.4950142450142421</v>
      </c>
      <c r="AI89" s="13">
        <f>IF('Données projet'!$A$62&gt;35,AI88+AH89-AQ88,IF(A89&lt;'Données projet'!$A$62,$AF$205^A89,IF(A89='Données projet'!$A$62,'Données projet'!$B$62,AI88+AH89-AQ88)))</f>
        <v>273.37393162393187</v>
      </c>
      <c r="AJ89" s="13">
        <f>AI89*VLOOKUP('Données projet'!$B$10,Paramètres!$A$1:$I$89,3,0)*VLOOKUP('Données projet'!$B$10,Paramètres!$A$1:$I$89,5,0)</f>
        <v>277.20116666666695</v>
      </c>
      <c r="AK89" s="13">
        <f t="shared" si="89"/>
        <v>66.37518955966982</v>
      </c>
      <c r="AL89" s="20">
        <f t="shared" si="58"/>
        <v>598.39548709420319</v>
      </c>
      <c r="AM89" s="59">
        <f t="shared" si="59"/>
        <v>876.66864732926933</v>
      </c>
      <c r="AN89" s="59">
        <f ca="1">AVERAGE(OFFSET($AM$3,0,0,'Données projet'!$E$10+1,1))-AVERAGE(OFFSET($H$3,0,0,'Données projet'!$E$10+1,1))</f>
        <v>453.05577105995508</v>
      </c>
      <c r="AO89" s="59">
        <f t="shared" si="90"/>
        <v>322.6839824496758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32.603491612416576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32.603491612416576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65.892680064108944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>
        <f>VLOOKUP(A89,'Données projet'!$A$87:$I$107,2,0)</f>
        <v>167.98076923076923</v>
      </c>
      <c r="BB89" s="12">
        <f>VLOOKUP(A89,'Données projet'!$A$87:$I$107,9,0)</f>
        <v>4.7037037037037051</v>
      </c>
      <c r="BC89" s="12">
        <f t="array" ref="BC89">INDEX(BB:BB,MIN(IF(ISNUMBER(BB89:BB285),ROW(BB89:BB285),"")))</f>
        <v>4.7037037037037051</v>
      </c>
      <c r="BD89" s="12">
        <f>IF('Données projet'!$A$88&gt;35,BD88+BC89-BL88,IF(A89&lt;'Données projet'!$A$88,$BA$205^A89,IF(A89='Données projet'!$A$88,'Données projet'!$B$88,BD88+BC89-BL88)))</f>
        <v>167.98076923076925</v>
      </c>
      <c r="BE89" s="13">
        <f>BD89*VLOOKUP('Données projet'!$B$11,Paramètres!$A$1:$I$89,3,0)*VLOOKUP('Données projet'!$B$11,Paramètres!$A$1:$I$89,5,0)</f>
        <v>167.71200000000002</v>
      </c>
      <c r="BF89" s="13">
        <f t="shared" si="91"/>
        <v>42.57718427946908</v>
      </c>
      <c r="BG89" s="20">
        <f t="shared" si="61"/>
        <v>366.25366262007537</v>
      </c>
      <c r="BH89" s="59">
        <f t="shared" si="62"/>
        <v>644.52682285514152</v>
      </c>
      <c r="BI89" s="59">
        <f ca="1">AVERAGE(OFFSET($BH$3,0,0,'Données projet'!$E$11+1,1))-AVERAGE(OFFSET($H$3,0,0,'Données projet'!$E$11+1,1))</f>
        <v>411.38162678377478</v>
      </c>
      <c r="BJ89" s="59">
        <f t="shared" si="92"/>
        <v>177.89903563360403</v>
      </c>
      <c r="BK89" s="15">
        <f>IF(ISNA(VLOOKUP(A89,'Données projet'!$A$87:$I$107,3,0)),0,VLOOKUP(A89,'Données projet'!$A$87:$I$107,3,0))</f>
        <v>4</v>
      </c>
      <c r="BL89" s="15">
        <f>IF(ISNA(VLOOKUP(A89,'Données projet'!$A$87:$I$107,4,0)),0,VLOOKUP(A89,'Données projet'!$A$87:$I$107,4,0))</f>
        <v>27.583333333333332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65.892680064108944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2.8</v>
      </c>
      <c r="BY89" s="12">
        <f>IF('Données projet'!$A$114&gt;35,BY88+BX89-CG88,IF(A89&lt;'Données projet'!$A$114,$BV$205^A89,IF(A89='Données projet'!$A$114,'Données projet'!$B$114,BY88+BX89-CG88)))</f>
        <v>203.79999999999998</v>
      </c>
      <c r="BZ89" s="13">
        <f>BY89*VLOOKUP('Données projet'!$B$12,Paramètres!$A$1:$I$89,3,0)*VLOOKUP('Données projet'!$B$12,Paramètres!$A$1:$I$89,5,0)</f>
        <v>213.01175999999998</v>
      </c>
      <c r="CA89" s="13">
        <f t="shared" si="93"/>
        <v>52.593184597040342</v>
      </c>
      <c r="CB89" s="20">
        <f t="shared" si="64"/>
        <v>462.59527850651193</v>
      </c>
      <c r="CC89" s="59">
        <f t="shared" si="65"/>
        <v>740.86843874157807</v>
      </c>
      <c r="CD89" s="59">
        <f ca="1">AVERAGE(OFFSET($CC$3,0,0,'Données projet'!$E$12+1,1))-AVERAGE(OFFSET($H$3,0,0,'Données projet'!$E$12+1,1))</f>
        <v>374.38550202939507</v>
      </c>
      <c r="CE89" s="59">
        <f t="shared" si="94"/>
        <v>324.37486924296718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14.016672757793458</v>
      </c>
      <c r="CL89" s="21">
        <f>EXP(-LN(2)/25)*CL88+(1-EXP(-LN(2)/25))/(LN(2)/25)*Calculateur!CG89*Calculateur!CI89*VLOOKUP('Données projet'!$B$12,Paramètres!$A$1:$I$89,3,0)*0.475*44/12</f>
        <v>16.454769812124656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30.471442569918114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65.892680064108944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5.2606837606837598</v>
      </c>
      <c r="CT89" s="12">
        <f>IF('Données projet'!$A$140&gt;35,CT88+CS89-DB88,IF(A89&lt;'Données projet'!$A$140,$CQ$205^A89,IF(A89='Données projet'!$A$140,'Données projet'!$B$140,CT88+CS89-DB88)))</f>
        <v>175.44444444444431</v>
      </c>
      <c r="CU89" s="17">
        <f>CT89*VLOOKUP('Données projet'!$B$13,Paramètres!$A$1:$I$89,3,0)*VLOOKUP('Données projet'!$B$13,Paramètres!$A$1:$I$89,5,0)</f>
        <v>166.95293333333319</v>
      </c>
      <c r="CV89" s="13">
        <f t="shared" si="95"/>
        <v>42.40686531651955</v>
      </c>
      <c r="CW89" s="20">
        <f t="shared" si="67"/>
        <v>364.63498264849346</v>
      </c>
      <c r="CX89" s="59">
        <f t="shared" si="68"/>
        <v>642.90814288355955</v>
      </c>
      <c r="CY89" s="59">
        <f ca="1">AVERAGE(OFFSET($CX$3,0,0,'Données projet'!$E$13+1,1))-AVERAGE(OFFSET($H$3,0,0,'Données projet'!$E$13+1,1))</f>
        <v>392.81074187112989</v>
      </c>
      <c r="CZ89" s="59">
        <f t="shared" si="96"/>
        <v>236.19146849073687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18.550640724420258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18.550640724420258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65.892680064108944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5.2606837606837598</v>
      </c>
      <c r="DO89" s="12">
        <f>IF('Données projet'!$A$166&gt;35,DO88+DN89-DW88,IF(A89&lt;'Données projet'!$A$166,$DL$205^A89,IF(A89='Données projet'!$A$166,'Données projet'!$B$166,DO88+DN89-DW88)))</f>
        <v>175.44444444444431</v>
      </c>
      <c r="DP89" s="17">
        <f>DO89*VLOOKUP('Données projet'!$B$14,Paramètres!$A$1:$I$89,3,0)*VLOOKUP('Données projet'!$B$14,Paramètres!$A$1:$I$89,5,0)</f>
        <v>188.84839999999986</v>
      </c>
      <c r="DQ89" s="13">
        <f t="shared" si="97"/>
        <v>47.285260426836061</v>
      </c>
      <c r="DR89" s="20">
        <f t="shared" si="70"/>
        <v>411.2661252434059</v>
      </c>
      <c r="DS89" s="59">
        <f t="shared" si="71"/>
        <v>689.53928547847204</v>
      </c>
      <c r="DT89" s="59">
        <f ca="1">AVERAGE(OFFSET($DS$3,0,0,'Données projet'!$E$14+1,1))-AVERAGE(OFFSET($H$3,0,0,'Données projet'!$E$14+1,1))</f>
        <v>434.77799524785502</v>
      </c>
      <c r="DU89" s="59">
        <f t="shared" si="98"/>
        <v>259.85949838170006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20.983511639098321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20.983511639098321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65.892680064108944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5.2606837606837598</v>
      </c>
      <c r="EJ89" s="12">
        <f>IF('Données projet'!$A$192&gt;35,EJ88+EI89-ER88,IF(A89&lt;'Données projet'!$A$192,$EG$205^A89,IF(A89='Données projet'!$A$192,'Données projet'!$B$192,EJ88+EI89-ER88)))</f>
        <v>175.44444444444431</v>
      </c>
      <c r="EK89" s="17">
        <f>EJ89*VLOOKUP('Données projet'!$B$15,Paramètres!$A$1:$I$89,3,0)*VLOOKUP('Données projet'!$B$15,Paramètres!$A$1:$I$89,5,0)</f>
        <v>169.68986666666655</v>
      </c>
      <c r="EL89" s="13">
        <f t="shared" si="99"/>
        <v>43.020556655548141</v>
      </c>
      <c r="EM89" s="20">
        <f t="shared" si="73"/>
        <v>370.47065395285722</v>
      </c>
      <c r="EN89" s="59">
        <f t="shared" si="74"/>
        <v>648.74381418792336</v>
      </c>
      <c r="EO89" s="59">
        <f ca="1">AVERAGE(OFFSET($EN$3,0,0,'Données projet'!$E$15+1,1))-AVERAGE(OFFSET($H$3,0,0,'Données projet'!$E$15+1,1))</f>
        <v>398.06270423055565</v>
      </c>
      <c r="EP89" s="59">
        <f t="shared" si="100"/>
        <v>239.15364562040614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18.854749588755016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18.854749588755016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65.892680064108944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-1.7053025658242404E-13</v>
      </c>
      <c r="FF89" s="17">
        <f>FE89*VLOOKUP('Données projet'!$B$16,Paramètres!$A$1:$I$89,3,0)*VLOOKUP('Données projet'!$B$16,Paramètres!$A$1:$I$89,5,0)</f>
        <v>-1.0197709343628959E-13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334.13861979962491</v>
      </c>
      <c r="FK89" s="59">
        <f t="shared" si="102"/>
        <v>416.48635183664305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89.899344718717657</v>
      </c>
      <c r="FR89" s="21">
        <f>EXP(-LN(2)/25)*FR88+(1-EXP(-LN(2)/25))/(LN(2)/25)*Calculateur!FM89*Calculateur!FO89*VLOOKUP('Données projet'!$B$16,Paramètres!$A$1:$I$89,3,0)*0.475*44/12</f>
        <v>19.239418860848293</v>
      </c>
      <c r="FS89" s="21">
        <f>EXP(-LN(2)/2)*FS88+(1-EXP(-LN(2)/2))/(LN(2)/2)*FM89*FP89*VLOOKUP('Données projet'!$B$16,Paramètres!$A$1:$I$89,3,0)*0.475*44/12</f>
        <v>1.2331045819949198E-3</v>
      </c>
      <c r="FT89" s="22">
        <f t="shared" si="78"/>
        <v>109.13999668414795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65.892680064108944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12.124038461538468</v>
      </c>
      <c r="FZ89" s="12">
        <f>IF('Données projet'!$A$244&gt;35,FZ88+FY89-GH88,IF(A89&lt;'Données projet'!$A$244,$FW$205^A89,IF(A89='Données projet'!$A$244,'Données projet'!$B$244,FZ88+FY89-GH88)))</f>
        <v>444.39134615384637</v>
      </c>
      <c r="GA89" s="17">
        <f>FZ89*VLOOKUP('Données projet'!$B$17,Paramètres!$A$1:$I$89,3,0)*VLOOKUP('Données projet'!$B$17,Paramètres!$A$1:$I$89,5,0)</f>
        <v>207.9751500000001</v>
      </c>
      <c r="GB89" s="13">
        <f t="shared" si="103"/>
        <v>51.492855825196166</v>
      </c>
      <c r="GC89" s="20">
        <f t="shared" si="79"/>
        <v>451.90677681221678</v>
      </c>
      <c r="GD89" s="59">
        <f t="shared" si="80"/>
        <v>730.17993704728292</v>
      </c>
      <c r="GE89" s="59">
        <f ca="1">AVERAGE(OFFSET($GD$3,0,0,'Données projet'!$E$17+1,1))-AVERAGE(OFFSET($H$3,0,0,'Données projet'!$E$17+1,1))</f>
        <v>317.79829681023142</v>
      </c>
      <c r="GF89" s="59">
        <f t="shared" si="104"/>
        <v>275.07716943523621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61.605438378677924</v>
      </c>
      <c r="GM89" s="21">
        <f>EXP(-LN(2)/25)*GM88+(1-EXP(-LN(2)/25))/(LN(2)/25)*Calculateur!GH89*Calculateur!GJ89*VLOOKUP('Données projet'!$B$17,Paramètres!$A$1:$I$89,3,0)*0.475*44/12</f>
        <v>22.676748997650535</v>
      </c>
      <c r="GN89" s="21">
        <f>EXP(-LN(2)/2)*GN88+(1-EXP(-LN(2)/2))/(LN(2)/2)*GH89*GK89*VLOOKUP('Données projet'!$B$17,Paramètres!$A$1:$I$89,3,0)*0.475*44/12</f>
        <v>0.51109668341911041</v>
      </c>
      <c r="GO89" s="21">
        <f t="shared" si="81"/>
        <v>84.793284059747577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65.892680064108944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>
        <f>GU89*VLOOKUP('Données projet'!$B$18,Paramètres!$A$1:$I$89,3,0)*VLOOKUP('Données projet'!$B$18,Paramètres!$A$1:$I$89,5,0)</f>
        <v>0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336.21787234885699</v>
      </c>
      <c r="HA89" s="59">
        <f t="shared" si="106"/>
        <v>315.36156736899113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153.31693574932825</v>
      </c>
      <c r="HH89" s="21">
        <f>EXP(-LN(2)/25)*HH88+(1-EXP(-LN(2)/25))/(LN(2)/25)*Calculateur!HC89*Calculateur!HE89*VLOOKUP('Données projet'!$B$18,Paramètres!$A$1:$I$89,3,0)*0.475*44/12</f>
        <v>35.5700952844605</v>
      </c>
      <c r="HI89" s="21">
        <f>EXP(-LN(2)/2)*HI88+(1-EXP(-LN(2)/2))/(LN(2)/2)*HC89*HF89*VLOOKUP('Données projet'!$B$18,Paramètres!$A$1:$I$89,3,0)*0.475*44/12</f>
        <v>0.15559515745454097</v>
      </c>
      <c r="HJ89" s="22">
        <f t="shared" si="84"/>
        <v>189.0426261912433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3.7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13.566666666666668</v>
      </c>
      <c r="H90" s="67">
        <f t="shared" si="56"/>
        <v>202.4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65.963932882404919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7.4950142450142421</v>
      </c>
      <c r="N90" s="13">
        <f>IF('Données projet'!$A$36&gt;35,N89+M90-V89,IF(A90&lt;'Données projet'!$A$36,$K$205^A90,IF(A90='Données projet'!$A$36,'Données projet'!$B$36,N89+M90-V89)))</f>
        <v>280.86894586894613</v>
      </c>
      <c r="O90" s="13">
        <f>N90*VLOOKUP('Données projet'!$B$9,Paramètres!$A$1:$I$89,3,0)*VLOOKUP('Données projet'!$B$9,Paramètres!$A$1:$I$89,5,0)</f>
        <v>254.13022222222247</v>
      </c>
      <c r="P90" s="13">
        <f t="shared" si="87"/>
        <v>61.469520573147591</v>
      </c>
      <c r="Q90" s="20">
        <f t="shared" si="54"/>
        <v>549.66955203526948</v>
      </c>
      <c r="R90" s="59">
        <f t="shared" si="55"/>
        <v>828.20397260408754</v>
      </c>
      <c r="S90" s="59">
        <f ca="1">AVERAGE(OFFSET($R$3,0,0,'Données projet'!$E$9+1,1))-AVERAGE(OFFSET($H$3,0,0,'Données projet'!$E$9+1,1))</f>
        <v>411.64357329340851</v>
      </c>
      <c r="T90" s="59">
        <f t="shared" si="88"/>
        <v>294.07942258675632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28.521863194271916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28.521863194271916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65.963932882404919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7.4950142450142421</v>
      </c>
      <c r="AI90" s="13">
        <f>IF('Données projet'!$A$62&gt;35,AI89+AH90-AQ89,IF(A90&lt;'Données projet'!$A$62,$AF$205^A90,IF(A90='Données projet'!$A$62,'Données projet'!$B$62,AI89+AH90-AQ89)))</f>
        <v>280.86894586894613</v>
      </c>
      <c r="AJ90" s="13">
        <f>AI90*VLOOKUP('Données projet'!$B$10,Paramètres!$A$1:$I$89,3,0)*VLOOKUP('Données projet'!$B$10,Paramètres!$A$1:$I$89,5,0)</f>
        <v>284.80111111111137</v>
      </c>
      <c r="AK90" s="13">
        <f t="shared" si="89"/>
        <v>67.98061554933885</v>
      </c>
      <c r="AL90" s="20">
        <f t="shared" si="58"/>
        <v>614.42817393361736</v>
      </c>
      <c r="AM90" s="59">
        <f t="shared" si="59"/>
        <v>892.96259450243542</v>
      </c>
      <c r="AN90" s="59">
        <f ca="1">AVERAGE(OFFSET($AM$3,0,0,'Données projet'!$E$10+1,1))-AVERAGE(OFFSET($H$3,0,0,'Données projet'!$E$10+1,1))</f>
        <v>453.05577105995508</v>
      </c>
      <c r="AO90" s="59">
        <f t="shared" si="90"/>
        <v>322.6839824496758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31.964157028063376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31.964157028063376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65.963932882404919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4.6887464387464428</v>
      </c>
      <c r="BD90" s="12">
        <f>IF('Données projet'!$A$88&gt;35,BD89+BC90-BL89,IF(A90&lt;'Données projet'!$A$88,$BA$205^A90,IF(A90='Données projet'!$A$88,'Données projet'!$B$88,BD89+BC90-BL89)))</f>
        <v>145.08618233618236</v>
      </c>
      <c r="BE90" s="13">
        <f>BD90*VLOOKUP('Données projet'!$B$11,Paramètres!$A$1:$I$89,3,0)*VLOOKUP('Données projet'!$B$11,Paramètres!$A$1:$I$89,5,0)</f>
        <v>144.85404444444447</v>
      </c>
      <c r="BF90" s="13">
        <f t="shared" si="91"/>
        <v>37.406783459719854</v>
      </c>
      <c r="BG90" s="20">
        <f t="shared" si="61"/>
        <v>317.43760859975288</v>
      </c>
      <c r="BH90" s="59">
        <f t="shared" si="62"/>
        <v>595.97202916857088</v>
      </c>
      <c r="BI90" s="59">
        <f ca="1">AVERAGE(OFFSET($BH$3,0,0,'Données projet'!$E$11+1,1))-AVERAGE(OFFSET($H$3,0,0,'Données projet'!$E$11+1,1))</f>
        <v>411.38162678377478</v>
      </c>
      <c r="BJ90" s="59">
        <f t="shared" si="92"/>
        <v>177.89903563360403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65.963932882404919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2.8</v>
      </c>
      <c r="BY90" s="12">
        <f>IF('Données projet'!$A$114&gt;35,BY89+BX90-CG89,IF(A90&lt;'Données projet'!$A$114,$BV$205^A90,IF(A90='Données projet'!$A$114,'Données projet'!$B$114,BY89+BX90-CG89)))</f>
        <v>206.6</v>
      </c>
      <c r="BZ90" s="13">
        <f>BY90*VLOOKUP('Données projet'!$B$12,Paramètres!$A$1:$I$89,3,0)*VLOOKUP('Données projet'!$B$12,Paramètres!$A$1:$I$89,5,0)</f>
        <v>215.93832</v>
      </c>
      <c r="CA90" s="13">
        <f t="shared" si="93"/>
        <v>53.231144506492122</v>
      </c>
      <c r="CB90" s="20">
        <f t="shared" si="64"/>
        <v>468.80348401547377</v>
      </c>
      <c r="CC90" s="59">
        <f t="shared" si="65"/>
        <v>747.33790458429178</v>
      </c>
      <c r="CD90" s="59">
        <f ca="1">AVERAGE(OFFSET($CC$3,0,0,'Données projet'!$E$12+1,1))-AVERAGE(OFFSET($H$3,0,0,'Données projet'!$E$12+1,1))</f>
        <v>374.38550202939507</v>
      </c>
      <c r="CE90" s="59">
        <f t="shared" si="94"/>
        <v>324.37486924296718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13.741814354339335</v>
      </c>
      <c r="CL90" s="21">
        <f>EXP(-LN(2)/25)*CL89+(1-EXP(-LN(2)/25))/(LN(2)/25)*Calculateur!CG90*Calculateur!CI90*VLOOKUP('Données projet'!$B$12,Paramètres!$A$1:$I$89,3,0)*0.475*44/12</f>
        <v>16.004813266293372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29.746627620632708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65.963932882404919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5.2606837606837598</v>
      </c>
      <c r="CT90" s="12">
        <f>IF('Données projet'!$A$140&gt;35,CT89+CS90-DB89,IF(A90&lt;'Données projet'!$A$140,$CQ$205^A90,IF(A90='Données projet'!$A$140,'Données projet'!$B$140,CT89+CS90-DB89)))</f>
        <v>180.70512820512806</v>
      </c>
      <c r="CU90" s="17">
        <f>CT90*VLOOKUP('Données projet'!$B$13,Paramètres!$A$1:$I$89,3,0)*VLOOKUP('Données projet'!$B$13,Paramètres!$A$1:$I$89,5,0)</f>
        <v>171.95899999999986</v>
      </c>
      <c r="CV90" s="13">
        <f t="shared" si="95"/>
        <v>43.528481415365803</v>
      </c>
      <c r="CW90" s="20">
        <f t="shared" si="67"/>
        <v>375.30736346509519</v>
      </c>
      <c r="CX90" s="59">
        <f t="shared" si="68"/>
        <v>653.8417840339132</v>
      </c>
      <c r="CY90" s="59">
        <f ca="1">AVERAGE(OFFSET($CX$3,0,0,'Données projet'!$E$13+1,1))-AVERAGE(OFFSET($H$3,0,0,'Données projet'!$E$13+1,1))</f>
        <v>392.81074187112989</v>
      </c>
      <c r="CZ90" s="59">
        <f t="shared" si="96"/>
        <v>236.19146849073687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18.186873974587979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18.186873974587979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65.963932882404919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5.2606837606837598</v>
      </c>
      <c r="DO90" s="12">
        <f>IF('Données projet'!$A$166&gt;35,DO89+DN90-DW89,IF(A90&lt;'Données projet'!$A$166,$DL$205^A90,IF(A90='Données projet'!$A$166,'Données projet'!$B$166,DO89+DN90-DW89)))</f>
        <v>180.70512820512806</v>
      </c>
      <c r="DP90" s="17">
        <f>DO90*VLOOKUP('Données projet'!$B$14,Paramètres!$A$1:$I$89,3,0)*VLOOKUP('Données projet'!$B$14,Paramètres!$A$1:$I$89,5,0)</f>
        <v>194.51099999999983</v>
      </c>
      <c r="DQ90" s="13">
        <f t="shared" si="97"/>
        <v>48.535904843418692</v>
      </c>
      <c r="DR90" s="20">
        <f t="shared" si="70"/>
        <v>423.30669260228728</v>
      </c>
      <c r="DS90" s="59">
        <f t="shared" si="71"/>
        <v>701.84111317110523</v>
      </c>
      <c r="DT90" s="59">
        <f ca="1">AVERAGE(OFFSET($DS$3,0,0,'Données projet'!$E$14+1,1))-AVERAGE(OFFSET($H$3,0,0,'Données projet'!$E$14+1,1))</f>
        <v>434.77799524785502</v>
      </c>
      <c r="DU90" s="59">
        <f t="shared" si="98"/>
        <v>259.85949838170006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20.572037774533939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20.572037774533939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65.963932882404919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5.2606837606837598</v>
      </c>
      <c r="EJ90" s="12">
        <f>IF('Données projet'!$A$192&gt;35,EJ89+EI90-ER89,IF(A90&lt;'Données projet'!$A$192,$EG$205^A90,IF(A90='Données projet'!$A$192,'Données projet'!$B$192,EJ89+EI90-ER89)))</f>
        <v>180.70512820512806</v>
      </c>
      <c r="EK90" s="17">
        <f>EJ90*VLOOKUP('Données projet'!$B$15,Paramètres!$A$1:$I$89,3,0)*VLOOKUP('Données projet'!$B$15,Paramètres!$A$1:$I$89,5,0)</f>
        <v>174.77799999999988</v>
      </c>
      <c r="EL90" s="13">
        <f t="shared" si="99"/>
        <v>44.158404232020459</v>
      </c>
      <c r="EM90" s="20">
        <f t="shared" si="73"/>
        <v>381.31423737076875</v>
      </c>
      <c r="EN90" s="59">
        <f t="shared" si="74"/>
        <v>659.8486579395867</v>
      </c>
      <c r="EO90" s="59">
        <f ca="1">AVERAGE(OFFSET($EN$3,0,0,'Données projet'!$E$15+1,1))-AVERAGE(OFFSET($H$3,0,0,'Données projet'!$E$15+1,1))</f>
        <v>398.06270423055565</v>
      </c>
      <c r="EP90" s="59">
        <f t="shared" si="100"/>
        <v>239.15364562040614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18.485019449581223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18.485019449581223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65.963932882404919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-1.7053025658242404E-13</v>
      </c>
      <c r="FF90" s="17">
        <f>FE90*VLOOKUP('Données projet'!$B$16,Paramètres!$A$1:$I$89,3,0)*VLOOKUP('Données projet'!$B$16,Paramètres!$A$1:$I$89,5,0)</f>
        <v>-1.0197709343628959E-13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334.13861979962491</v>
      </c>
      <c r="FK90" s="59">
        <f t="shared" si="102"/>
        <v>416.48635183664305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88.136473401969553</v>
      </c>
      <c r="FR90" s="21">
        <f>EXP(-LN(2)/25)*FR89+(1-EXP(-LN(2)/25))/(LN(2)/25)*Calculateur!FM90*Calculateur!FO90*VLOOKUP('Données projet'!$B$16,Paramètres!$A$1:$I$89,3,0)*0.475*44/12</f>
        <v>18.713315940341332</v>
      </c>
      <c r="FS90" s="21">
        <f>EXP(-LN(2)/2)*FS89+(1-EXP(-LN(2)/2))/(LN(2)/2)*FM90*FP90*VLOOKUP('Données projet'!$B$16,Paramètres!$A$1:$I$89,3,0)*0.475*44/12</f>
        <v>8.7193661184081089E-4</v>
      </c>
      <c r="FT90" s="22">
        <f t="shared" si="78"/>
        <v>106.85066127892273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65.963932882404919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>
        <f>VLOOKUP(A90,'Données projet'!$A$243:$I$263,2,0)</f>
        <v>456.51538461538462</v>
      </c>
      <c r="FX90" s="12">
        <f>VLOOKUP(A90,'Données projet'!$A$243:$I$263,9,0)</f>
        <v>12.124038461538468</v>
      </c>
      <c r="FY90" s="12">
        <f t="array" ref="FY90">INDEX(FX:FX,MIN(IF(ISNUMBER(FX90:FX286),ROW(FX90:FX286),"")))</f>
        <v>12.124038461538468</v>
      </c>
      <c r="FZ90" s="12">
        <f>IF('Données projet'!$A$244&gt;35,FZ89+FY90-GH89,IF(A90&lt;'Données projet'!$A$244,$FW$205^A90,IF(A90='Données projet'!$A$244,'Données projet'!$B$244,FZ89+FY90-GH89)))</f>
        <v>456.51538461538485</v>
      </c>
      <c r="GA90" s="17">
        <f>FZ90*VLOOKUP('Données projet'!$B$17,Paramètres!$A$1:$I$89,3,0)*VLOOKUP('Données projet'!$B$17,Paramètres!$A$1:$I$89,5,0)</f>
        <v>213.64920000000012</v>
      </c>
      <c r="GB90" s="13">
        <f t="shared" si="103"/>
        <v>52.732226385923781</v>
      </c>
      <c r="GC90" s="20">
        <f t="shared" si="79"/>
        <v>463.94765095548405</v>
      </c>
      <c r="GD90" s="59">
        <f t="shared" si="80"/>
        <v>742.482071524302</v>
      </c>
      <c r="GE90" s="59">
        <f ca="1">AVERAGE(OFFSET($GD$3,0,0,'Données projet'!$E$17+1,1))-AVERAGE(OFFSET($H$3,0,0,'Données projet'!$E$17+1,1))</f>
        <v>317.79829681023142</v>
      </c>
      <c r="GF90" s="59">
        <f t="shared" si="104"/>
        <v>275.07716943523621</v>
      </c>
      <c r="GG90" s="15">
        <f>IF(ISNA(VLOOKUP(A90,'Données projet'!$A$243:$I$263,3,0)),0,VLOOKUP(A90,'Données projet'!$A$243:$I$263,3,0))</f>
        <v>7</v>
      </c>
      <c r="GH90" s="15">
        <f>IF(ISNA(VLOOKUP(A90,'Données projet'!$A$243:$I$263,4,0)),0,VLOOKUP(A90,'Données projet'!$A$243:$I$263,4,0))</f>
        <v>77.330769230769235</v>
      </c>
      <c r="GI90" s="16">
        <f>IF(ISNA(VLOOKUP(A90,'Données projet'!$A$243:$I$263,5,0)),0%,VLOOKUP(A90,'Données projet'!$A$243:$I$263,5,0)*VLOOKUP('Données projet'!$B$17,Paramètres!$A$1:$I$89,7,0))</f>
        <v>0.38500000000000001</v>
      </c>
      <c r="GJ90" s="16">
        <f>IF(ISNA(VLOOKUP(A90,'Données projet'!$A$243:$I$263,6,0)),0%,VLOOKUP(A90,'Données projet'!$A$243:$I$263,6,0)*VLOOKUP('Données projet'!$B$17,Paramètres!$A$1:$I$89,7,0))</f>
        <v>9.240000000000001E-2</v>
      </c>
      <c r="GK90" s="16">
        <f>IF(ISNA(VLOOKUP(A90,'Données projet'!$A$243:$I$263,7,0)),0%,VLOOKUP(A90,'Données projet'!$A$243:$I$263,7,0))</f>
        <v>0.13200000000000001</v>
      </c>
      <c r="GL90" s="21">
        <f>EXP(-LN(2)/35)*GL89+(1-EXP(-LN(2)/35))/(LN(2)/35)*GH90*GI90*VLOOKUP('Données projet'!$B$17,Paramètres!$A$1:$I$89,3,0)*0.475*44/12</f>
        <v>78.881023431838884</v>
      </c>
      <c r="GM90" s="21">
        <f>EXP(-LN(2)/25)*GM89+(1-EXP(-LN(2)/25))/(LN(2)/25)*Calculateur!GH90*Calculateur!GJ90*VLOOKUP('Données projet'!$B$17,Paramètres!$A$1:$I$89,3,0)*0.475*44/12</f>
        <v>26.475256830882337</v>
      </c>
      <c r="GN90" s="21">
        <f>EXP(-LN(2)/2)*GN89+(1-EXP(-LN(2)/2))/(LN(2)/2)*GH90*GK90*VLOOKUP('Données projet'!$B$17,Paramètres!$A$1:$I$89,3,0)*0.475*44/12</f>
        <v>5.770283758285955</v>
      </c>
      <c r="GO90" s="21">
        <f t="shared" si="81"/>
        <v>111.12656402100717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65.963932882404919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>
        <f>GU90*VLOOKUP('Données projet'!$B$18,Paramètres!$A$1:$I$89,3,0)*VLOOKUP('Données projet'!$B$18,Paramètres!$A$1:$I$89,5,0)</f>
        <v>0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336.21787234885699</v>
      </c>
      <c r="HA90" s="59">
        <f t="shared" si="106"/>
        <v>315.36156736899113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150.31048415338097</v>
      </c>
      <c r="HH90" s="21">
        <f>EXP(-LN(2)/25)*HH89+(1-EXP(-LN(2)/25))/(LN(2)/25)*Calculateur!HC90*Calculateur!HE90*VLOOKUP('Données projet'!$B$18,Paramètres!$A$1:$I$89,3,0)*0.475*44/12</f>
        <v>34.59742915835691</v>
      </c>
      <c r="HI90" s="21">
        <f>EXP(-LN(2)/2)*HI89+(1-EXP(-LN(2)/2))/(LN(2)/2)*HC90*HF90*VLOOKUP('Données projet'!$B$18,Paramètres!$A$1:$I$89,3,0)*0.475*44/12</f>
        <v>0.11002239095589451</v>
      </c>
      <c r="HJ90" s="22">
        <f t="shared" si="84"/>
        <v>185.01793570269376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3.7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13.566666666666668</v>
      </c>
      <c r="H91" s="67">
        <f t="shared" si="56"/>
        <v>202.4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66.033949623600904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7.4950142450142421</v>
      </c>
      <c r="N91" s="13">
        <f>IF('Données projet'!$A$36&gt;35,N90+M91-V90,IF(A91&lt;'Données projet'!$A$36,$K$205^A91,IF(A91='Données projet'!$A$36,'Données projet'!$B$36,N90+M91-V90)))</f>
        <v>288.36396011396039</v>
      </c>
      <c r="O91" s="13">
        <f>N91*VLOOKUP('Données projet'!$B$9,Paramètres!$A$1:$I$89,3,0)*VLOOKUP('Données projet'!$B$9,Paramètres!$A$1:$I$89,5,0)</f>
        <v>260.91171111111134</v>
      </c>
      <c r="P91" s="13">
        <f t="shared" si="87"/>
        <v>62.916678312142118</v>
      </c>
      <c r="Q91" s="20">
        <f t="shared" si="54"/>
        <v>564.00111157883305</v>
      </c>
      <c r="R91" s="59">
        <f t="shared" si="55"/>
        <v>842.79226019870305</v>
      </c>
      <c r="S91" s="59">
        <f ca="1">AVERAGE(OFFSET($R$3,0,0,'Données projet'!$E$9+1,1))-AVERAGE(OFFSET($H$3,0,0,'Données projet'!$E$9+1,1))</f>
        <v>411.64357329340851</v>
      </c>
      <c r="T91" s="59">
        <f t="shared" si="88"/>
        <v>294.07942258675632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27.962566853651019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27.962566853651019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66.033949623600904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7.4950142450142421</v>
      </c>
      <c r="AI91" s="13">
        <f>IF('Données projet'!$A$62&gt;35,AI90+AH91-AQ90,IF(A91&lt;'Données projet'!$A$62,$AF$205^A91,IF(A91='Données projet'!$A$62,'Données projet'!$B$62,AI90+AH91-AQ90)))</f>
        <v>288.36396011396039</v>
      </c>
      <c r="AJ91" s="13">
        <f>AI91*VLOOKUP('Données projet'!$B$10,Paramètres!$A$1:$I$89,3,0)*VLOOKUP('Données projet'!$B$10,Paramètres!$A$1:$I$89,5,0)</f>
        <v>292.40105555555584</v>
      </c>
      <c r="AK91" s="13">
        <f t="shared" si="89"/>
        <v>69.581061965327606</v>
      </c>
      <c r="AL91" s="20">
        <f t="shared" si="58"/>
        <v>630.45218801553858</v>
      </c>
      <c r="AM91" s="59">
        <f t="shared" si="59"/>
        <v>909.24333663540858</v>
      </c>
      <c r="AN91" s="59">
        <f ca="1">AVERAGE(OFFSET($AM$3,0,0,'Données projet'!$E$10+1,1))-AVERAGE(OFFSET($H$3,0,0,'Données projet'!$E$10+1,1))</f>
        <v>453.05577105995508</v>
      </c>
      <c r="AO91" s="59">
        <f t="shared" si="90"/>
        <v>322.6839824496758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31.337359404953748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31.337359404953748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66.033949623600904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4.6887464387464428</v>
      </c>
      <c r="BD91" s="12">
        <f>IF('Données projet'!$A$88&gt;35,BD90+BC91-BL90,IF(A91&lt;'Données projet'!$A$88,$BA$205^A91,IF(A91='Données projet'!$A$88,'Données projet'!$B$88,BD90+BC91-BL90)))</f>
        <v>149.77492877492881</v>
      </c>
      <c r="BE91" s="13">
        <f>BD91*VLOOKUP('Données projet'!$B$11,Paramètres!$A$1:$I$89,3,0)*VLOOKUP('Données projet'!$B$11,Paramètres!$A$1:$I$89,5,0)</f>
        <v>149.53528888888894</v>
      </c>
      <c r="BF91" s="13">
        <f t="shared" si="91"/>
        <v>38.472959289485971</v>
      </c>
      <c r="BG91" s="20">
        <f t="shared" si="61"/>
        <v>327.44769891066966</v>
      </c>
      <c r="BH91" s="59">
        <f t="shared" si="62"/>
        <v>606.23884753053972</v>
      </c>
      <c r="BI91" s="59">
        <f ca="1">AVERAGE(OFFSET($BH$3,0,0,'Données projet'!$E$11+1,1))-AVERAGE(OFFSET($H$3,0,0,'Données projet'!$E$11+1,1))</f>
        <v>411.38162678377478</v>
      </c>
      <c r="BJ91" s="59">
        <f t="shared" si="92"/>
        <v>177.89903563360403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66.033949623600904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2.8</v>
      </c>
      <c r="BY91" s="12">
        <f>IF('Données projet'!$A$114&gt;35,BY90+BX91-CG90,IF(A91&lt;'Données projet'!$A$114,$BV$205^A91,IF(A91='Données projet'!$A$114,'Données projet'!$B$114,BY90+BX91-CG90)))</f>
        <v>209.4</v>
      </c>
      <c r="BZ91" s="13">
        <f>BY91*VLOOKUP('Données projet'!$B$12,Paramètres!$A$1:$I$89,3,0)*VLOOKUP('Données projet'!$B$12,Paramètres!$A$1:$I$89,5,0)</f>
        <v>218.86488</v>
      </c>
      <c r="CA91" s="13">
        <f t="shared" si="93"/>
        <v>53.868098768794098</v>
      </c>
      <c r="CB91" s="20">
        <f t="shared" si="64"/>
        <v>475.00993802231642</v>
      </c>
      <c r="CC91" s="59">
        <f t="shared" si="65"/>
        <v>753.80108664218642</v>
      </c>
      <c r="CD91" s="59">
        <f ca="1">AVERAGE(OFFSET($CC$3,0,0,'Données projet'!$E$12+1,1))-AVERAGE(OFFSET($H$3,0,0,'Données projet'!$E$12+1,1))</f>
        <v>374.38550202939507</v>
      </c>
      <c r="CE91" s="59">
        <f t="shared" si="94"/>
        <v>324.37486924296718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13.472345756529874</v>
      </c>
      <c r="CL91" s="21">
        <f>EXP(-LN(2)/25)*CL90+(1-EXP(-LN(2)/25))/(LN(2)/25)*Calculateur!CG91*Calculateur!CI91*VLOOKUP('Données projet'!$B$12,Paramètres!$A$1:$I$89,3,0)*0.475*44/12</f>
        <v>15.56716080587003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29.039506562399904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66.033949623600904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5.2606837606837598</v>
      </c>
      <c r="CT91" s="12">
        <f>IF('Données projet'!$A$140&gt;35,CT90+CS91-DB90,IF(A91&lt;'Données projet'!$A$140,$CQ$205^A91,IF(A91='Données projet'!$A$140,'Données projet'!$B$140,CT90+CS91-DB90)))</f>
        <v>185.96581196581181</v>
      </c>
      <c r="CU91" s="17">
        <f>CT91*VLOOKUP('Données projet'!$B$13,Paramètres!$A$1:$I$89,3,0)*VLOOKUP('Données projet'!$B$13,Paramètres!$A$1:$I$89,5,0)</f>
        <v>176.9650666666665</v>
      </c>
      <c r="CV91" s="13">
        <f t="shared" si="95"/>
        <v>44.646302633482748</v>
      </c>
      <c r="CW91" s="20">
        <f t="shared" si="67"/>
        <v>385.97313486442658</v>
      </c>
      <c r="CX91" s="59">
        <f t="shared" si="68"/>
        <v>664.76428348429658</v>
      </c>
      <c r="CY91" s="59">
        <f ca="1">AVERAGE(OFFSET($CX$3,0,0,'Données projet'!$E$13+1,1))-AVERAGE(OFFSET($H$3,0,0,'Données projet'!$E$13+1,1))</f>
        <v>392.81074187112989</v>
      </c>
      <c r="CZ91" s="59">
        <f t="shared" si="96"/>
        <v>236.19146849073687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17.830240468844099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17.830240468844099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66.033949623600904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5.2606837606837598</v>
      </c>
      <c r="DO91" s="12">
        <f>IF('Données projet'!$A$166&gt;35,DO90+DN91-DW90,IF(A91&lt;'Données projet'!$A$166,$DL$205^A91,IF(A91='Données projet'!$A$166,'Données projet'!$B$166,DO90+DN91-DW90)))</f>
        <v>185.96581196581181</v>
      </c>
      <c r="DP91" s="17">
        <f>DO91*VLOOKUP('Données projet'!$B$14,Paramètres!$A$1:$I$89,3,0)*VLOOKUP('Données projet'!$B$14,Paramètres!$A$1:$I$89,5,0)</f>
        <v>200.17359999999982</v>
      </c>
      <c r="DQ91" s="13">
        <f t="shared" si="97"/>
        <v>49.782317824307299</v>
      </c>
      <c r="DR91" s="20">
        <f t="shared" si="70"/>
        <v>435.33989021066822</v>
      </c>
      <c r="DS91" s="59">
        <f t="shared" si="71"/>
        <v>714.13103883053827</v>
      </c>
      <c r="DT91" s="59">
        <f ca="1">AVERAGE(OFFSET($DS$3,0,0,'Données projet'!$E$14+1,1))-AVERAGE(OFFSET($H$3,0,0,'Données projet'!$E$14+1,1))</f>
        <v>434.77799524785502</v>
      </c>
      <c r="DU91" s="59">
        <f t="shared" si="98"/>
        <v>259.85949838170006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20.168632661479389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20.168632661479389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66.033949623600904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5.2606837606837598</v>
      </c>
      <c r="EJ91" s="12">
        <f>IF('Données projet'!$A$192&gt;35,EJ90+EI91-ER90,IF(A91&lt;'Données projet'!$A$192,$EG$205^A91,IF(A91='Données projet'!$A$192,'Données projet'!$B$192,EJ90+EI91-ER90)))</f>
        <v>185.96581196581181</v>
      </c>
      <c r="EK91" s="17">
        <f>EJ91*VLOOKUP('Données projet'!$B$15,Paramètres!$A$1:$I$89,3,0)*VLOOKUP('Données projet'!$B$15,Paramètres!$A$1:$I$89,5,0)</f>
        <v>179.86613333333318</v>
      </c>
      <c r="EL91" s="13">
        <f t="shared" si="99"/>
        <v>45.292402010112326</v>
      </c>
      <c r="EM91" s="20">
        <f t="shared" si="73"/>
        <v>392.15111572316761</v>
      </c>
      <c r="EN91" s="59">
        <f t="shared" si="74"/>
        <v>670.94226434303755</v>
      </c>
      <c r="EO91" s="59">
        <f ca="1">AVERAGE(OFFSET($EN$3,0,0,'Données projet'!$E$15+1,1))-AVERAGE(OFFSET($H$3,0,0,'Données projet'!$E$15+1,1))</f>
        <v>398.06270423055565</v>
      </c>
      <c r="EP91" s="59">
        <f t="shared" si="100"/>
        <v>239.15364562040614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18.122539492923512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18.122539492923512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66.033949623600904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-1.7053025658242404E-13</v>
      </c>
      <c r="FF91" s="17">
        <f>FE91*VLOOKUP('Données projet'!$B$16,Paramètres!$A$1:$I$89,3,0)*VLOOKUP('Données projet'!$B$16,Paramètres!$A$1:$I$89,5,0)</f>
        <v>-1.0197709343628959E-13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334.13861979962491</v>
      </c>
      <c r="FK91" s="59">
        <f t="shared" si="102"/>
        <v>416.48635183664305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86.408170916497554</v>
      </c>
      <c r="FR91" s="21">
        <f>EXP(-LN(2)/25)*FR90+(1-EXP(-LN(2)/25))/(LN(2)/25)*Calculateur!FM91*Calculateur!FO91*VLOOKUP('Données projet'!$B$16,Paramètres!$A$1:$I$89,3,0)*0.475*44/12</f>
        <v>18.201599331862184</v>
      </c>
      <c r="FS91" s="21">
        <f>EXP(-LN(2)/2)*FS90+(1-EXP(-LN(2)/2))/(LN(2)/2)*FM91*FP91*VLOOKUP('Données projet'!$B$16,Paramètres!$A$1:$I$89,3,0)*0.475*44/12</f>
        <v>6.1655229099745988E-4</v>
      </c>
      <c r="FT91" s="22">
        <f t="shared" si="78"/>
        <v>104.61038680065073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66.033949623600904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11.242307692307691</v>
      </c>
      <c r="FZ91" s="12">
        <f>IF('Données projet'!$A$244&gt;35,FZ90+FY91-GH90,IF(A91&lt;'Données projet'!$A$244,$FW$205^A91,IF(A91='Données projet'!$A$244,'Données projet'!$B$244,FZ90+FY91-GH90)))</f>
        <v>390.42692307692329</v>
      </c>
      <c r="GA91" s="17">
        <f>FZ91*VLOOKUP('Données projet'!$B$17,Paramètres!$A$1:$I$89,3,0)*VLOOKUP('Données projet'!$B$17,Paramètres!$A$1:$I$89,5,0)</f>
        <v>182.71980000000011</v>
      </c>
      <c r="GB91" s="13">
        <f t="shared" si="103"/>
        <v>45.926762394770535</v>
      </c>
      <c r="GC91" s="20">
        <f t="shared" si="79"/>
        <v>398.22609617089216</v>
      </c>
      <c r="GD91" s="59">
        <f t="shared" si="80"/>
        <v>677.01724479076211</v>
      </c>
      <c r="GE91" s="59">
        <f ca="1">AVERAGE(OFFSET($GD$3,0,0,'Données projet'!$E$17+1,1))-AVERAGE(OFFSET($H$3,0,0,'Données projet'!$E$17+1,1))</f>
        <v>317.79829681023142</v>
      </c>
      <c r="GF91" s="59">
        <f t="shared" si="104"/>
        <v>275.07716943523621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77.334214675014081</v>
      </c>
      <c r="GM91" s="21">
        <f>EXP(-LN(2)/25)*GM90+(1-EXP(-LN(2)/25))/(LN(2)/25)*Calculateur!GH91*Calculateur!GJ91*VLOOKUP('Données projet'!$B$17,Paramètres!$A$1:$I$89,3,0)*0.475*44/12</f>
        <v>25.751289540568614</v>
      </c>
      <c r="GN91" s="21">
        <f>EXP(-LN(2)/2)*GN90+(1-EXP(-LN(2)/2))/(LN(2)/2)*GH91*GK91*VLOOKUP('Données projet'!$B$17,Paramètres!$A$1:$I$89,3,0)*0.475*44/12</f>
        <v>4.080206774854596</v>
      </c>
      <c r="GO91" s="21">
        <f t="shared" si="81"/>
        <v>107.16571099043729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66.033949623600904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>
        <f>GU91*VLOOKUP('Données projet'!$B$18,Paramètres!$A$1:$I$89,3,0)*VLOOKUP('Données projet'!$B$18,Paramètres!$A$1:$I$89,5,0)</f>
        <v>0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336.21787234885699</v>
      </c>
      <c r="HA91" s="59">
        <f t="shared" si="106"/>
        <v>315.36156736899113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147.36298723947581</v>
      </c>
      <c r="HH91" s="21">
        <f>EXP(-LN(2)/25)*HH90+(1-EXP(-LN(2)/25))/(LN(2)/25)*Calculateur!HC91*Calculateur!HE91*VLOOKUP('Données projet'!$B$18,Paramètres!$A$1:$I$89,3,0)*0.475*44/12</f>
        <v>33.651360638621917</v>
      </c>
      <c r="HI91" s="21">
        <f>EXP(-LN(2)/2)*HI90+(1-EXP(-LN(2)/2))/(LN(2)/2)*HC91*HF91*VLOOKUP('Données projet'!$B$18,Paramètres!$A$1:$I$89,3,0)*0.475*44/12</f>
        <v>7.7797578727270486E-2</v>
      </c>
      <c r="HJ91" s="22">
        <f t="shared" si="84"/>
        <v>181.09214545682499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3.7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13.566666666666668</v>
      </c>
      <c r="H92" s="67">
        <f t="shared" si="56"/>
        <v>202.4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66.102751730871134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7.4950142450142421</v>
      </c>
      <c r="M92" s="12">
        <f t="array" ref="M92">INDEX(L:L,MIN(IF(ISNUMBER(L92:L288),ROW(L92:L288),"")))</f>
        <v>7.4950142450142421</v>
      </c>
      <c r="N92" s="13">
        <f>IF('Données projet'!$A$36&gt;35,N91+M92-V91,IF(A92&lt;'Données projet'!$A$36,$K$205^A92,IF(A92='Données projet'!$A$36,'Données projet'!$B$36,N91+M92-V91)))</f>
        <v>295.85897435897465</v>
      </c>
      <c r="O92" s="13">
        <f>N92*VLOOKUP('Données projet'!$B$9,Paramètres!$A$1:$I$89,3,0)*VLOOKUP('Données projet'!$B$9,Paramètres!$A$1:$I$89,5,0)</f>
        <v>267.69320000000022</v>
      </c>
      <c r="P92" s="13">
        <f t="shared" si="87"/>
        <v>64.359463899490166</v>
      </c>
      <c r="Q92" s="20">
        <f t="shared" si="54"/>
        <v>578.32505629161233</v>
      </c>
      <c r="R92" s="59">
        <f t="shared" si="55"/>
        <v>857.36847930480644</v>
      </c>
      <c r="S92" s="59">
        <f ca="1">AVERAGE(OFFSET($R$3,0,0,'Données projet'!$E$9+1,1))-AVERAGE(OFFSET($H$3,0,0,'Données projet'!$E$9+1,1))</f>
        <v>411.64357329340851</v>
      </c>
      <c r="T92" s="59">
        <f t="shared" si="88"/>
        <v>294.07942258675632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0.30099999999999999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42.284350076207964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42.284350076207964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66.102751730871134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295.85897435897436</v>
      </c>
      <c r="AG92" s="12">
        <f>VLOOKUP(A92,'Données projet'!$A$61:$I$81,9,0)</f>
        <v>7.4950142450142421</v>
      </c>
      <c r="AH92" s="12">
        <f t="array" ref="AH92">INDEX(AG:AG,MIN(IF(ISNUMBER(AG92:AG288),ROW(AG92:AG288),"")))</f>
        <v>7.4950142450142421</v>
      </c>
      <c r="AI92" s="13">
        <f>IF('Données projet'!$A$62&gt;35,AI91+AH92-AQ91,IF(A92&lt;'Données projet'!$A$62,$AF$205^A92,IF(A92='Données projet'!$A$62,'Données projet'!$B$62,AI91+AH92-AQ91)))</f>
        <v>295.85897435897465</v>
      </c>
      <c r="AJ92" s="13">
        <f>AI92*VLOOKUP('Données projet'!$B$10,Paramètres!$A$1:$I$89,3,0)*VLOOKUP('Données projet'!$B$10,Paramètres!$A$1:$I$89,5,0)</f>
        <v>300.00100000000032</v>
      </c>
      <c r="AK92" s="13">
        <f t="shared" si="89"/>
        <v>71.176673114058119</v>
      </c>
      <c r="AL92" s="20">
        <f t="shared" si="58"/>
        <v>646.46778067365187</v>
      </c>
      <c r="AM92" s="59">
        <f t="shared" si="59"/>
        <v>925.5112036868461</v>
      </c>
      <c r="AN92" s="59">
        <f ca="1">AVERAGE(OFFSET($AM$3,0,0,'Données projet'!$E$10+1,1))-AVERAGE(OFFSET($H$3,0,0,'Données projet'!$E$10+1,1))</f>
        <v>453.05577105995508</v>
      </c>
      <c r="AO92" s="59">
        <f t="shared" si="90"/>
        <v>322.6839824496758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49.391025641025635</v>
      </c>
      <c r="AR92" s="16">
        <f>IF(ISNA(VLOOKUP(A92,'Données projet'!$A$61:$I$81,5,0)),0%,VLOOKUP(A92,'Données projet'!$A$61:$I$81,5,0)*VLOOKUP('Données projet'!$B$10,Paramètres!$A$1:$I$89,7,0))</f>
        <v>0.30099999999999999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47.387633706095151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47.387633706095151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66.102751730871134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4.6887464387464428</v>
      </c>
      <c r="BD92" s="12">
        <f>IF('Données projet'!$A$88&gt;35,BD91+BC92-BL91,IF(A92&lt;'Données projet'!$A$88,$BA$205^A92,IF(A92='Données projet'!$A$88,'Données projet'!$B$88,BD91+BC92-BL91)))</f>
        <v>154.46367521367526</v>
      </c>
      <c r="BE92" s="13">
        <f>BD92*VLOOKUP('Données projet'!$B$11,Paramètres!$A$1:$I$89,3,0)*VLOOKUP('Données projet'!$B$11,Paramètres!$A$1:$I$89,5,0)</f>
        <v>154.21653333333339</v>
      </c>
      <c r="BF92" s="13">
        <f t="shared" si="91"/>
        <v>39.53525644452013</v>
      </c>
      <c r="BG92" s="20">
        <f t="shared" si="61"/>
        <v>337.45103386309484</v>
      </c>
      <c r="BH92" s="59">
        <f t="shared" si="62"/>
        <v>616.49445687628895</v>
      </c>
      <c r="BI92" s="59">
        <f ca="1">AVERAGE(OFFSET($BH$3,0,0,'Données projet'!$E$11+1,1))-AVERAGE(OFFSET($H$3,0,0,'Données projet'!$E$11+1,1))</f>
        <v>411.38162678377478</v>
      </c>
      <c r="BJ92" s="59">
        <f t="shared" si="92"/>
        <v>177.89903563360403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66.102751730871134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2.8</v>
      </c>
      <c r="BY92" s="12">
        <f>IF('Données projet'!$A$114&gt;35,BY91+BX92-CG91,IF(A92&lt;'Données projet'!$A$114,$BV$205^A92,IF(A92='Données projet'!$A$114,'Données projet'!$B$114,BY91+BX92-CG91)))</f>
        <v>212.20000000000002</v>
      </c>
      <c r="BZ92" s="13">
        <f>BY92*VLOOKUP('Données projet'!$B$12,Paramètres!$A$1:$I$89,3,0)*VLOOKUP('Données projet'!$B$12,Paramètres!$A$1:$I$89,5,0)</f>
        <v>221.79144000000002</v>
      </c>
      <c r="CA92" s="13">
        <f t="shared" si="93"/>
        <v>54.504062385454226</v>
      </c>
      <c r="CB92" s="20">
        <f t="shared" si="64"/>
        <v>481.21466665466613</v>
      </c>
      <c r="CC92" s="59">
        <f t="shared" si="65"/>
        <v>760.2580896678603</v>
      </c>
      <c r="CD92" s="59">
        <f ca="1">AVERAGE(OFFSET($CC$3,0,0,'Données projet'!$E$12+1,1))-AVERAGE(OFFSET($H$3,0,0,'Données projet'!$E$12+1,1))</f>
        <v>374.38550202939507</v>
      </c>
      <c r="CE92" s="59">
        <f t="shared" si="94"/>
        <v>324.37486924296718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13.208161273563842</v>
      </c>
      <c r="CL92" s="21">
        <f>EXP(-LN(2)/25)*CL91+(1-EXP(-LN(2)/25))/(LN(2)/25)*Calculateur!CG92*Calculateur!CI92*VLOOKUP('Données projet'!$B$12,Paramètres!$A$1:$I$89,3,0)*0.475*44/12</f>
        <v>15.141475974992106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28.34963724855595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66.102751730871134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5.2606837606837598</v>
      </c>
      <c r="CT92" s="12">
        <f>IF('Données projet'!$A$140&gt;35,CT91+CS92-DB91,IF(A92&lt;'Données projet'!$A$140,$CQ$205^A92,IF(A92='Données projet'!$A$140,'Données projet'!$B$140,CT91+CS92-DB91)))</f>
        <v>191.22649572649556</v>
      </c>
      <c r="CU92" s="17">
        <f>CT92*VLOOKUP('Données projet'!$B$13,Paramètres!$A$1:$I$89,3,0)*VLOOKUP('Données projet'!$B$13,Paramètres!$A$1:$I$89,5,0)</f>
        <v>181.97113333333317</v>
      </c>
      <c r="CV92" s="13">
        <f t="shared" si="95"/>
        <v>45.760448653081077</v>
      </c>
      <c r="CW92" s="20">
        <f t="shared" si="67"/>
        <v>396.63250529300484</v>
      </c>
      <c r="CX92" s="59">
        <f t="shared" si="68"/>
        <v>675.67592830619901</v>
      </c>
      <c r="CY92" s="59">
        <f ca="1">AVERAGE(OFFSET($CX$3,0,0,'Données projet'!$E$13+1,1))-AVERAGE(OFFSET($H$3,0,0,'Données projet'!$E$13+1,1))</f>
        <v>392.81074187112989</v>
      </c>
      <c r="CZ92" s="59">
        <f t="shared" si="96"/>
        <v>236.19146849073687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17.480600328622899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17.480600328622899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66.102751730871134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5.2606837606837598</v>
      </c>
      <c r="DO92" s="12">
        <f>IF('Données projet'!$A$166&gt;35,DO91+DN92-DW91,IF(A92&lt;'Données projet'!$A$166,$DL$205^A92,IF(A92='Données projet'!$A$166,'Données projet'!$B$166,DO91+DN92-DW91)))</f>
        <v>191.22649572649556</v>
      </c>
      <c r="DP92" s="17">
        <f>DO92*VLOOKUP('Données projet'!$B$14,Paramètres!$A$1:$I$89,3,0)*VLOOKUP('Données projet'!$B$14,Paramètres!$A$1:$I$89,5,0)</f>
        <v>205.83619999999979</v>
      </c>
      <c r="DQ92" s="13">
        <f t="shared" si="97"/>
        <v>51.024632819698049</v>
      </c>
      <c r="DR92" s="20">
        <f t="shared" si="70"/>
        <v>447.36595049430707</v>
      </c>
      <c r="DS92" s="59">
        <f t="shared" si="71"/>
        <v>726.40937350750119</v>
      </c>
      <c r="DT92" s="59">
        <f ca="1">AVERAGE(OFFSET($DS$3,0,0,'Données projet'!$E$14+1,1))-AVERAGE(OFFSET($H$3,0,0,'Données projet'!$E$14+1,1))</f>
        <v>434.77799524785502</v>
      </c>
      <c r="DU92" s="59">
        <f t="shared" si="98"/>
        <v>259.85949838170006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19.773138076639015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19.773138076639015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66.102751730871134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5.2606837606837598</v>
      </c>
      <c r="EJ92" s="12">
        <f>IF('Données projet'!$A$192&gt;35,EJ91+EI92-ER91,IF(A92&lt;'Données projet'!$A$192,$EG$205^A92,IF(A92='Données projet'!$A$192,'Données projet'!$B$192,EJ91+EI92-ER91)))</f>
        <v>191.22649572649556</v>
      </c>
      <c r="EK92" s="17">
        <f>EJ92*VLOOKUP('Données projet'!$B$15,Paramètres!$A$1:$I$89,3,0)*VLOOKUP('Données projet'!$B$15,Paramètres!$A$1:$I$89,5,0)</f>
        <v>184.95426666666651</v>
      </c>
      <c r="EL92" s="13">
        <f t="shared" si="99"/>
        <v>46.422671404016612</v>
      </c>
      <c r="EM92" s="20">
        <f t="shared" si="73"/>
        <v>402.98150047310645</v>
      </c>
      <c r="EN92" s="59">
        <f t="shared" si="74"/>
        <v>682.02492348630062</v>
      </c>
      <c r="EO92" s="59">
        <f ca="1">AVERAGE(OFFSET($EN$3,0,0,'Données projet'!$E$15+1,1))-AVERAGE(OFFSET($H$3,0,0,'Données projet'!$E$15+1,1))</f>
        <v>398.06270423055565</v>
      </c>
      <c r="EP92" s="59">
        <f t="shared" si="100"/>
        <v>239.15364562040614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17.767167547124913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17.767167547124913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66.102751730871134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-1.7053025658242404E-13</v>
      </c>
      <c r="FF92" s="17">
        <f>FE92*VLOOKUP('Données projet'!$B$16,Paramètres!$A$1:$I$89,3,0)*VLOOKUP('Données projet'!$B$16,Paramètres!$A$1:$I$89,5,0)</f>
        <v>-1.0197709343628959E-13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334.13861979962491</v>
      </c>
      <c r="FK92" s="59">
        <f t="shared" si="102"/>
        <v>416.48635183664305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84.713759388605226</v>
      </c>
      <c r="FR92" s="21">
        <f>EXP(-LN(2)/25)*FR91+(1-EXP(-LN(2)/25))/(LN(2)/25)*Calculateur!FM92*Calculateur!FO92*VLOOKUP('Données projet'!$B$16,Paramètres!$A$1:$I$89,3,0)*0.475*44/12</f>
        <v>17.703875640951903</v>
      </c>
      <c r="FS92" s="21">
        <f>EXP(-LN(2)/2)*FS91+(1-EXP(-LN(2)/2))/(LN(2)/2)*FM92*FP92*VLOOKUP('Données projet'!$B$16,Paramètres!$A$1:$I$89,3,0)*0.475*44/12</f>
        <v>4.3596830592040545E-4</v>
      </c>
      <c r="FT92" s="22">
        <f t="shared" si="78"/>
        <v>102.41807099786305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66.102751730871134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11.242307692307691</v>
      </c>
      <c r="FZ92" s="12">
        <f>IF('Données projet'!$A$244&gt;35,FZ91+FY92-GH91,IF(A92&lt;'Données projet'!$A$244,$FW$205^A92,IF(A92='Données projet'!$A$244,'Données projet'!$B$244,FZ91+FY92-GH91)))</f>
        <v>401.66923076923098</v>
      </c>
      <c r="GA92" s="17">
        <f>FZ92*VLOOKUP('Données projet'!$B$17,Paramètres!$A$1:$I$89,3,0)*VLOOKUP('Données projet'!$B$17,Paramètres!$A$1:$I$89,5,0)</f>
        <v>187.98120000000011</v>
      </c>
      <c r="GB92" s="13">
        <f t="shared" si="103"/>
        <v>47.093347732155607</v>
      </c>
      <c r="GC92" s="20">
        <f t="shared" si="79"/>
        <v>409.42150396683786</v>
      </c>
      <c r="GD92" s="59">
        <f t="shared" si="80"/>
        <v>688.46492698003203</v>
      </c>
      <c r="GE92" s="59">
        <f ca="1">AVERAGE(OFFSET($GD$3,0,0,'Données projet'!$E$17+1,1))-AVERAGE(OFFSET($H$3,0,0,'Données projet'!$E$17+1,1))</f>
        <v>317.79829681023142</v>
      </c>
      <c r="GF92" s="59">
        <f t="shared" si="104"/>
        <v>275.07716943523621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75.817737894450431</v>
      </c>
      <c r="GM92" s="21">
        <f>EXP(-LN(2)/25)*GM91+(1-EXP(-LN(2)/25))/(LN(2)/25)*Calculateur!GH92*Calculateur!GJ92*VLOOKUP('Données projet'!$B$17,Paramètres!$A$1:$I$89,3,0)*0.475*44/12</f>
        <v>25.047119173880304</v>
      </c>
      <c r="GN92" s="21">
        <f>EXP(-LN(2)/2)*GN91+(1-EXP(-LN(2)/2))/(LN(2)/2)*GH92*GK92*VLOOKUP('Données projet'!$B$17,Paramètres!$A$1:$I$89,3,0)*0.475*44/12</f>
        <v>2.8851418791429779</v>
      </c>
      <c r="GO92" s="21">
        <f t="shared" si="81"/>
        <v>103.74999894747371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66.102751730871134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>
        <f>GU92*VLOOKUP('Données projet'!$B$18,Paramètres!$A$1:$I$89,3,0)*VLOOKUP('Données projet'!$B$18,Paramètres!$A$1:$I$89,5,0)</f>
        <v>0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336.21787234885699</v>
      </c>
      <c r="HA92" s="59">
        <f t="shared" si="106"/>
        <v>315.36156736899113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144.47328894225674</v>
      </c>
      <c r="HH92" s="21">
        <f>EXP(-LN(2)/25)*HH91+(1-EXP(-LN(2)/25))/(LN(2)/25)*Calculateur!HC92*Calculateur!HE92*VLOOKUP('Données projet'!$B$18,Paramètres!$A$1:$I$89,3,0)*0.475*44/12</f>
        <v>32.731162412310653</v>
      </c>
      <c r="HI92" s="21">
        <f>EXP(-LN(2)/2)*HI91+(1-EXP(-LN(2)/2))/(LN(2)/2)*HC92*HF92*VLOOKUP('Données projet'!$B$18,Paramètres!$A$1:$I$89,3,0)*0.475*44/12</f>
        <v>5.5011195477947257E-2</v>
      </c>
      <c r="HJ92" s="22">
        <f t="shared" si="84"/>
        <v>177.25946255004536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3.7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13.566666666666668</v>
      </c>
      <c r="H93" s="67">
        <f t="shared" si="56"/>
        <v>202.4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66.170360275398679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253.64615384615416</v>
      </c>
      <c r="O93" s="13">
        <f>N93*VLOOKUP('Données projet'!$B$9,Paramètres!$A$1:$I$89,3,0)*VLOOKUP('Données projet'!$B$9,Paramètres!$A$1:$I$89,5,0)</f>
        <v>229.49904000000029</v>
      </c>
      <c r="P93" s="13">
        <f t="shared" si="87"/>
        <v>56.174348524497042</v>
      </c>
      <c r="Q93" s="20">
        <f t="shared" si="54"/>
        <v>497.54781834683286</v>
      </c>
      <c r="R93" s="59">
        <f t="shared" si="55"/>
        <v>776.83913935662804</v>
      </c>
      <c r="S93" s="59">
        <f ca="1">AVERAGE(OFFSET($R$3,0,0,'Données projet'!$E$9+1,1))-AVERAGE(OFFSET($H$3,0,0,'Données projet'!$E$9+1,1))</f>
        <v>411.64357329340851</v>
      </c>
      <c r="T93" s="59">
        <f t="shared" si="88"/>
        <v>294.07942258675632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41.45517976212043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41.45517976212043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66.170360275398679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7.1782051282051267</v>
      </c>
      <c r="AI93" s="13">
        <f>IF('Données projet'!$A$62&gt;35,AI92+AH93-AQ92,IF(A93&lt;'Données projet'!$A$62,$AF$205^A93,IF(A93='Données projet'!$A$62,'Données projet'!$B$62,AI92+AH93-AQ92)))</f>
        <v>253.64615384615416</v>
      </c>
      <c r="AJ93" s="13">
        <f>AI93*VLOOKUP('Données projet'!$B$10,Paramètres!$A$1:$I$89,3,0)*VLOOKUP('Données projet'!$B$10,Paramètres!$A$1:$I$89,5,0)</f>
        <v>257.19720000000035</v>
      </c>
      <c r="AK93" s="13">
        <f t="shared" si="89"/>
        <v>62.124557913773614</v>
      </c>
      <c r="AL93" s="20">
        <f t="shared" si="58"/>
        <v>556.15206169982298</v>
      </c>
      <c r="AM93" s="59">
        <f t="shared" si="59"/>
        <v>835.44338270961816</v>
      </c>
      <c r="AN93" s="59">
        <f ca="1">AVERAGE(OFFSET($AM$3,0,0,'Données projet'!$E$10+1,1))-AVERAGE(OFFSET($H$3,0,0,'Données projet'!$E$10+1,1))</f>
        <v>453.05577105995508</v>
      </c>
      <c r="AO93" s="59">
        <f t="shared" si="90"/>
        <v>322.6839824496758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46.458391112721195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46.458391112721195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66.170360275398679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4.6887464387464428</v>
      </c>
      <c r="BD93" s="12">
        <f>IF('Données projet'!$A$88&gt;35,BD92+BC93-BL92,IF(A93&lt;'Données projet'!$A$88,$BA$205^A93,IF(A93='Données projet'!$A$88,'Données projet'!$B$88,BD92+BC93-BL92)))</f>
        <v>159.15242165242171</v>
      </c>
      <c r="BE93" s="13">
        <f>BD93*VLOOKUP('Données projet'!$B$11,Paramètres!$A$1:$I$89,3,0)*VLOOKUP('Données projet'!$B$11,Paramètres!$A$1:$I$89,5,0)</f>
        <v>158.89777777777783</v>
      </c>
      <c r="BF93" s="13">
        <f t="shared" si="91"/>
        <v>40.593806175586259</v>
      </c>
      <c r="BG93" s="20">
        <f t="shared" si="61"/>
        <v>347.44784205210908</v>
      </c>
      <c r="BH93" s="59">
        <f t="shared" si="62"/>
        <v>626.73916306190426</v>
      </c>
      <c r="BI93" s="59">
        <f ca="1">AVERAGE(OFFSET($BH$3,0,0,'Données projet'!$E$11+1,1))-AVERAGE(OFFSET($H$3,0,0,'Données projet'!$E$11+1,1))</f>
        <v>411.38162678377478</v>
      </c>
      <c r="BJ93" s="59">
        <f t="shared" si="92"/>
        <v>177.89903563360403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66.170360275398679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215</v>
      </c>
      <c r="BW93" s="12">
        <f>VLOOKUP(A93,'Données projet'!$A$113:$I$133,9,0)</f>
        <v>2.8</v>
      </c>
      <c r="BX93" s="12">
        <f t="array" ref="BX93">INDEX(BW:BW,MIN(IF(ISNUMBER(BW93:BW289),ROW(BW93:BW289),"")))</f>
        <v>2.8</v>
      </c>
      <c r="BY93" s="12">
        <f>IF('Données projet'!$A$114&gt;35,BY92+BX93-CG92,IF(A93&lt;'Données projet'!$A$114,$BV$205^A93,IF(A93='Données projet'!$A$114,'Données projet'!$B$114,BY92+BX93-CG92)))</f>
        <v>215.00000000000003</v>
      </c>
      <c r="BZ93" s="13">
        <f>BY93*VLOOKUP('Données projet'!$B$12,Paramètres!$A$1:$I$89,3,0)*VLOOKUP('Données projet'!$B$12,Paramètres!$A$1:$I$89,5,0)</f>
        <v>224.71800000000007</v>
      </c>
      <c r="CA93" s="13">
        <f t="shared" si="93"/>
        <v>55.13904993933199</v>
      </c>
      <c r="CB93" s="20">
        <f t="shared" si="64"/>
        <v>487.41769531100323</v>
      </c>
      <c r="CC93" s="59">
        <f t="shared" si="65"/>
        <v>766.70901632079836</v>
      </c>
      <c r="CD93" s="59">
        <f ca="1">AVERAGE(OFFSET($CC$3,0,0,'Données projet'!$E$12+1,1))-AVERAGE(OFFSET($H$3,0,0,'Données projet'!$E$12+1,1))</f>
        <v>374.38550202939507</v>
      </c>
      <c r="CE93" s="59">
        <f t="shared" si="94"/>
        <v>324.37486924296718</v>
      </c>
      <c r="CF93" s="15">
        <f>IF(ISNA(VLOOKUP(A93,'Données projet'!$A$113:$I$133,3,0)),0,VLOOKUP(A93,'Données projet'!$A$113:$I$133,3,0))</f>
        <v>15</v>
      </c>
      <c r="CG93" s="15" t="str">
        <f>IF(ISNA(VLOOKUP(A93,'Données projet'!$A$113:$I$133,4,0)),0,VLOOKUP(A93,'Données projet'!$A$113:$I$133,4,0))</f>
        <v>10</v>
      </c>
      <c r="CH93" s="16">
        <f>IF(ISNA(VLOOKUP(A93,'Données projet'!$A$113:$I$133,5,0)),0%,VLOOKUP(A93,'Données projet'!$A$113:$I$133,5,0)*VLOOKUP('Données projet'!$B$12,Paramètres!$A$1:$I$89,7,0))</f>
        <v>0.215</v>
      </c>
      <c r="CI93" s="16">
        <f>IF(ISNA(VLOOKUP(A93,'Données projet'!$A$113:$I$133,6,0)),0%,VLOOKUP(A93,'Données projet'!$A$113:$I$133,6,0)*VLOOKUP('Données projet'!$B$12,Paramètres!$A$1:$I$89,7,0))</f>
        <v>0.17200000000000001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15.433348214651005</v>
      </c>
      <c r="CL93" s="21">
        <f>EXP(-LN(2)/25)*CL92+(1-EXP(-LN(2)/25))/(LN(2)/25)*Calculateur!CG93*Calculateur!CI93*VLOOKUP('Données projet'!$B$12,Paramètres!$A$1:$I$89,3,0)*0.475*44/12</f>
        <v>16.706959295197468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32.140307509848469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66.170360275398679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5.2606837606837598</v>
      </c>
      <c r="CT93" s="12">
        <f>IF('Données projet'!$A$140&gt;35,CT92+CS93-DB92,IF(A93&lt;'Données projet'!$A$140,$CQ$205^A93,IF(A93='Données projet'!$A$140,'Données projet'!$B$140,CT92+CS93-DB92)))</f>
        <v>196.4871794871793</v>
      </c>
      <c r="CU93" s="17">
        <f>CT93*VLOOKUP('Données projet'!$B$13,Paramètres!$A$1:$I$89,3,0)*VLOOKUP('Données projet'!$B$13,Paramètres!$A$1:$I$89,5,0)</f>
        <v>186.97719999999984</v>
      </c>
      <c r="CV93" s="13">
        <f t="shared" si="95"/>
        <v>46.871032196648777</v>
      </c>
      <c r="CW93" s="20">
        <f t="shared" si="67"/>
        <v>407.28567107582967</v>
      </c>
      <c r="CX93" s="59">
        <f t="shared" si="68"/>
        <v>686.57699208562485</v>
      </c>
      <c r="CY93" s="59">
        <f ca="1">AVERAGE(OFFSET($CX$3,0,0,'Données projet'!$E$13+1,1))-AVERAGE(OFFSET($H$3,0,0,'Données projet'!$E$13+1,1))</f>
        <v>392.81074187112989</v>
      </c>
      <c r="CZ93" s="59">
        <f t="shared" si="96"/>
        <v>236.19146849073687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17.137816418292008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17.137816418292008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66.170360275398679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5.2606837606837598</v>
      </c>
      <c r="DO93" s="12">
        <f>IF('Données projet'!$A$166&gt;35,DO92+DN93-DW92,IF(A93&lt;'Données projet'!$A$166,$DL$205^A93,IF(A93='Données projet'!$A$166,'Données projet'!$B$166,DO92+DN93-DW92)))</f>
        <v>196.4871794871793</v>
      </c>
      <c r="DP93" s="17">
        <f>DO93*VLOOKUP('Données projet'!$B$14,Paramètres!$A$1:$I$89,3,0)*VLOOKUP('Données projet'!$B$14,Paramètres!$A$1:$I$89,5,0)</f>
        <v>211.49879999999979</v>
      </c>
      <c r="DQ93" s="13">
        <f t="shared" si="97"/>
        <v>52.262975519432992</v>
      </c>
      <c r="DR93" s="20">
        <f t="shared" si="70"/>
        <v>459.38509236301206</v>
      </c>
      <c r="DS93" s="59">
        <f t="shared" si="71"/>
        <v>738.67641337280725</v>
      </c>
      <c r="DT93" s="59">
        <f ca="1">AVERAGE(OFFSET($DS$3,0,0,'Données projet'!$E$14+1,1))-AVERAGE(OFFSET($H$3,0,0,'Données projet'!$E$14+1,1))</f>
        <v>434.77799524785502</v>
      </c>
      <c r="DU93" s="59">
        <f t="shared" si="98"/>
        <v>259.85949838170006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19.385398899379481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19.385398899379481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66.170360275398679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5.2606837606837598</v>
      </c>
      <c r="EJ93" s="12">
        <f>IF('Données projet'!$A$192&gt;35,EJ92+EI93-ER92,IF(A93&lt;'Données projet'!$A$192,$EG$205^A93,IF(A93='Données projet'!$A$192,'Données projet'!$B$192,EJ92+EI93-ER92)))</f>
        <v>196.4871794871793</v>
      </c>
      <c r="EK93" s="17">
        <f>EJ93*VLOOKUP('Données projet'!$B$15,Paramètres!$A$1:$I$89,3,0)*VLOOKUP('Données projet'!$B$15,Paramètres!$A$1:$I$89,5,0)</f>
        <v>190.04239999999982</v>
      </c>
      <c r="EL93" s="13">
        <f t="shared" si="99"/>
        <v>47.54932676748583</v>
      </c>
      <c r="EM93" s="20">
        <f t="shared" si="73"/>
        <v>413.80559078670422</v>
      </c>
      <c r="EN93" s="59">
        <f t="shared" si="74"/>
        <v>693.0969117964994</v>
      </c>
      <c r="EO93" s="59">
        <f ca="1">AVERAGE(OFFSET($EN$3,0,0,'Données projet'!$E$15+1,1))-AVERAGE(OFFSET($H$3,0,0,'Données projet'!$E$15+1,1))</f>
        <v>398.06270423055565</v>
      </c>
      <c r="EP93" s="59">
        <f t="shared" si="100"/>
        <v>239.15364562040614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17.418764228427943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17.418764228427943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66.170360275398679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-1.7053025658242404E-13</v>
      </c>
      <c r="FF93" s="17">
        <f>FE93*VLOOKUP('Données projet'!$B$16,Paramètres!$A$1:$I$89,3,0)*VLOOKUP('Données projet'!$B$16,Paramètres!$A$1:$I$89,5,0)</f>
        <v>-1.0197709343628959E-13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334.13861979962491</v>
      </c>
      <c r="FK93" s="59">
        <f t="shared" si="102"/>
        <v>416.48635183664305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83.052574237285882</v>
      </c>
      <c r="FR93" s="21">
        <f>EXP(-LN(2)/25)*FR92+(1-EXP(-LN(2)/25))/(LN(2)/25)*Calculateur!FM93*Calculateur!FO93*VLOOKUP('Données projet'!$B$16,Paramètres!$A$1:$I$89,3,0)*0.475*44/12</f>
        <v>17.219762230543715</v>
      </c>
      <c r="FS93" s="21">
        <f>EXP(-LN(2)/2)*FS92+(1-EXP(-LN(2)/2))/(LN(2)/2)*FM93*FP93*VLOOKUP('Données projet'!$B$16,Paramètres!$A$1:$I$89,3,0)*0.475*44/12</f>
        <v>3.0827614549872994E-4</v>
      </c>
      <c r="FT93" s="22">
        <f t="shared" si="78"/>
        <v>100.27264474397511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66.170360275398679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11.242307692307691</v>
      </c>
      <c r="FZ93" s="12">
        <f>IF('Données projet'!$A$244&gt;35,FZ92+FY93-GH92,IF(A93&lt;'Données projet'!$A$244,$FW$205^A93,IF(A93='Données projet'!$A$244,'Données projet'!$B$244,FZ92+FY93-GH92)))</f>
        <v>412.91153846153867</v>
      </c>
      <c r="GA93" s="17">
        <f>FZ93*VLOOKUP('Données projet'!$B$17,Paramètres!$A$1:$I$89,3,0)*VLOOKUP('Données projet'!$B$17,Paramètres!$A$1:$I$89,5,0)</f>
        <v>193.2426000000001</v>
      </c>
      <c r="GB93" s="13">
        <f t="shared" si="103"/>
        <v>48.256138093290417</v>
      </c>
      <c r="GC93" s="20">
        <f t="shared" si="79"/>
        <v>420.6103021791476</v>
      </c>
      <c r="GD93" s="59">
        <f t="shared" si="80"/>
        <v>699.90162318894272</v>
      </c>
      <c r="GE93" s="59">
        <f ca="1">AVERAGE(OFFSET($GD$3,0,0,'Données projet'!$E$17+1,1))-AVERAGE(OFFSET($H$3,0,0,'Données projet'!$E$17+1,1))</f>
        <v>317.79829681023142</v>
      </c>
      <c r="GF93" s="59">
        <f t="shared" si="104"/>
        <v>275.07716943523621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74.330998298594139</v>
      </c>
      <c r="GM93" s="21">
        <f>EXP(-LN(2)/25)*GM92+(1-EXP(-LN(2)/25))/(LN(2)/25)*Calculateur!GH93*Calculateur!GJ93*VLOOKUP('Données projet'!$B$17,Paramètres!$A$1:$I$89,3,0)*0.475*44/12</f>
        <v>24.362204382899797</v>
      </c>
      <c r="GN93" s="21">
        <f>EXP(-LN(2)/2)*GN92+(1-EXP(-LN(2)/2))/(LN(2)/2)*GH93*GK93*VLOOKUP('Données projet'!$B$17,Paramètres!$A$1:$I$89,3,0)*0.475*44/12</f>
        <v>2.0401033874272985</v>
      </c>
      <c r="GO93" s="21">
        <f t="shared" si="81"/>
        <v>100.73330606892124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66.170360275398679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>
        <f>GU93*VLOOKUP('Données projet'!$B$18,Paramètres!$A$1:$I$89,3,0)*VLOOKUP('Données projet'!$B$18,Paramètres!$A$1:$I$89,5,0)</f>
        <v>0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336.21787234885699</v>
      </c>
      <c r="HA93" s="59">
        <f t="shared" si="106"/>
        <v>315.36156736899113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141.64025586610421</v>
      </c>
      <c r="HH93" s="21">
        <f>EXP(-LN(2)/25)*HH92+(1-EXP(-LN(2)/25))/(LN(2)/25)*Calculateur!HC93*Calculateur!HE93*VLOOKUP('Données projet'!$B$18,Paramètres!$A$1:$I$89,3,0)*0.475*44/12</f>
        <v>31.836127054888994</v>
      </c>
      <c r="HI93" s="21">
        <f>EXP(-LN(2)/2)*HI92+(1-EXP(-LN(2)/2))/(LN(2)/2)*HC93*HF93*VLOOKUP('Données projet'!$B$18,Paramètres!$A$1:$I$89,3,0)*0.475*44/12</f>
        <v>3.8898789363635243E-2</v>
      </c>
      <c r="HJ93" s="22">
        <f t="shared" si="84"/>
        <v>173.51528171035685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3.7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13.566666666666668</v>
      </c>
      <c r="H94" s="67">
        <f t="shared" si="56"/>
        <v>202.4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66.236795962828737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260.82435897435931</v>
      </c>
      <c r="O94" s="13">
        <f>N94*VLOOKUP('Données projet'!$B$9,Paramètres!$A$1:$I$89,3,0)*VLOOKUP('Données projet'!$B$9,Paramètres!$A$1:$I$89,5,0)</f>
        <v>235.99388000000027</v>
      </c>
      <c r="P94" s="13">
        <f t="shared" si="87"/>
        <v>57.57675164364376</v>
      </c>
      <c r="Q94" s="20">
        <f t="shared" si="54"/>
        <v>511.30218344601343</v>
      </c>
      <c r="R94" s="59">
        <f t="shared" si="55"/>
        <v>790.8371019763855</v>
      </c>
      <c r="S94" s="59">
        <f ca="1">AVERAGE(OFFSET($R$3,0,0,'Données projet'!$E$9+1,1))-AVERAGE(OFFSET($H$3,0,0,'Données projet'!$E$9+1,1))</f>
        <v>411.64357329340851</v>
      </c>
      <c r="T94" s="59">
        <f t="shared" si="88"/>
        <v>294.07942258675632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40.642268972148202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40.642268972148202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66.236795962828737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7.1782051282051267</v>
      </c>
      <c r="AI94" s="13">
        <f>IF('Données projet'!$A$62&gt;35,AI93+AH94-AQ93,IF(A94&lt;'Données projet'!$A$62,$AF$205^A94,IF(A94='Données projet'!$A$62,'Données projet'!$B$62,AI93+AH94-AQ93)))</f>
        <v>260.82435897435931</v>
      </c>
      <c r="AJ94" s="13">
        <f>AI94*VLOOKUP('Données projet'!$B$10,Paramètres!$A$1:$I$89,3,0)*VLOOKUP('Données projet'!$B$10,Paramètres!$A$1:$I$89,5,0)</f>
        <v>264.47590000000037</v>
      </c>
      <c r="AK94" s="13">
        <f t="shared" si="89"/>
        <v>63.675509123397234</v>
      </c>
      <c r="AL94" s="20">
        <f t="shared" si="58"/>
        <v>571.53037088991744</v>
      </c>
      <c r="AM94" s="59">
        <f t="shared" si="59"/>
        <v>851.06528942028945</v>
      </c>
      <c r="AN94" s="59">
        <f ca="1">AVERAGE(OFFSET($AM$3,0,0,'Données projet'!$E$10+1,1))-AVERAGE(OFFSET($H$3,0,0,'Données projet'!$E$10+1,1))</f>
        <v>453.05577105995508</v>
      </c>
      <c r="AO94" s="59">
        <f t="shared" si="90"/>
        <v>322.6839824496758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45.547370399821283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45.547370399821283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66.236795962828737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4.6887464387464428</v>
      </c>
      <c r="BD94" s="12">
        <f>IF('Données projet'!$A$88&gt;35,BD93+BC94-BL93,IF(A94&lt;'Données projet'!$A$88,$BA$205^A94,IF(A94='Données projet'!$A$88,'Données projet'!$B$88,BD93+BC94-BL93)))</f>
        <v>163.84116809116816</v>
      </c>
      <c r="BE94" s="13">
        <f>BD94*VLOOKUP('Données projet'!$B$11,Paramètres!$A$1:$I$89,3,0)*VLOOKUP('Données projet'!$B$11,Paramètres!$A$1:$I$89,5,0)</f>
        <v>163.57902222222228</v>
      </c>
      <c r="BF94" s="13">
        <f t="shared" si="91"/>
        <v>41.648731560307965</v>
      </c>
      <c r="BG94" s="20">
        <f t="shared" si="61"/>
        <v>357.43833783790683</v>
      </c>
      <c r="BH94" s="59">
        <f t="shared" si="62"/>
        <v>636.97325636827895</v>
      </c>
      <c r="BI94" s="59">
        <f ca="1">AVERAGE(OFFSET($BH$3,0,0,'Données projet'!$E$11+1,1))-AVERAGE(OFFSET($H$3,0,0,'Données projet'!$E$11+1,1))</f>
        <v>411.38162678377478</v>
      </c>
      <c r="BJ94" s="59">
        <f t="shared" si="92"/>
        <v>177.89903563360403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66.236795962828737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2.8</v>
      </c>
      <c r="BY94" s="12">
        <f>IF('Données projet'!$A$114&gt;35,BY93+BX94-CG93,IF(A94&lt;'Données projet'!$A$114,$BV$205^A94,IF(A94='Données projet'!$A$114,'Données projet'!$B$114,BY93+BX94-CG93)))</f>
        <v>207.80000000000004</v>
      </c>
      <c r="BZ94" s="13">
        <f>BY94*VLOOKUP('Données projet'!$B$12,Paramètres!$A$1:$I$89,3,0)*VLOOKUP('Données projet'!$B$12,Paramètres!$A$1:$I$89,5,0)</f>
        <v>217.19256000000004</v>
      </c>
      <c r="CA94" s="13">
        <f t="shared" si="93"/>
        <v>53.504247160568738</v>
      </c>
      <c r="CB94" s="20">
        <f t="shared" si="64"/>
        <v>471.46360580465716</v>
      </c>
      <c r="CC94" s="59">
        <f t="shared" si="65"/>
        <v>750.99852433502929</v>
      </c>
      <c r="CD94" s="59">
        <f ca="1">AVERAGE(OFFSET($CC$3,0,0,'Données projet'!$E$12+1,1))-AVERAGE(OFFSET($H$3,0,0,'Données projet'!$E$12+1,1))</f>
        <v>374.38550202939507</v>
      </c>
      <c r="CE94" s="59">
        <f t="shared" si="94"/>
        <v>324.37486924296718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15.130709669574612</v>
      </c>
      <c r="CL94" s="21">
        <f>EXP(-LN(2)/25)*CL93+(1-EXP(-LN(2)/25))/(LN(2)/25)*Calculateur!CG94*Calculateur!CI94*VLOOKUP('Données projet'!$B$12,Paramètres!$A$1:$I$89,3,0)*0.475*44/12</f>
        <v>16.250106614689489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31.3808162842641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66.236795962828737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5.2606837606837598</v>
      </c>
      <c r="CT94" s="12">
        <f>IF('Données projet'!$A$140&gt;35,CT93+CS94-DB93,IF(A94&lt;'Données projet'!$A$140,$CQ$205^A94,IF(A94='Données projet'!$A$140,'Données projet'!$B$140,CT93+CS94-DB93)))</f>
        <v>201.74786324786305</v>
      </c>
      <c r="CU94" s="17">
        <f>CT94*VLOOKUP('Données projet'!$B$13,Paramètres!$A$1:$I$89,3,0)*VLOOKUP('Données projet'!$B$13,Paramètres!$A$1:$I$89,5,0)</f>
        <v>191.98326666666648</v>
      </c>
      <c r="CV94" s="13">
        <f t="shared" si="95"/>
        <v>47.97815960702949</v>
      </c>
      <c r="CW94" s="20">
        <f t="shared" si="67"/>
        <v>417.93281742668711</v>
      </c>
      <c r="CX94" s="59">
        <f t="shared" si="68"/>
        <v>697.46773595705918</v>
      </c>
      <c r="CY94" s="59">
        <f ca="1">AVERAGE(OFFSET($CX$3,0,0,'Données projet'!$E$13+1,1))-AVERAGE(OFFSET($H$3,0,0,'Données projet'!$E$13+1,1))</f>
        <v>392.81074187112989</v>
      </c>
      <c r="CZ94" s="59">
        <f t="shared" si="96"/>
        <v>236.19146849073687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16.801754291365164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16.801754291365164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66.236795962828737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5.2606837606837598</v>
      </c>
      <c r="DO94" s="12">
        <f>IF('Données projet'!$A$166&gt;35,DO93+DN94-DW93,IF(A94&lt;'Données projet'!$A$166,$DL$205^A94,IF(A94='Données projet'!$A$166,'Données projet'!$B$166,DO93+DN94-DW93)))</f>
        <v>201.74786324786305</v>
      </c>
      <c r="DP94" s="17">
        <f>DO94*VLOOKUP('Données projet'!$B$14,Paramètres!$A$1:$I$89,3,0)*VLOOKUP('Données projet'!$B$14,Paramètres!$A$1:$I$89,5,0)</f>
        <v>217.16139999999979</v>
      </c>
      <c r="DQ94" s="13">
        <f t="shared" si="97"/>
        <v>53.497464499809226</v>
      </c>
      <c r="DR94" s="20">
        <f t="shared" si="70"/>
        <v>471.39752233716735</v>
      </c>
      <c r="DS94" s="59">
        <f t="shared" si="71"/>
        <v>750.93244086753941</v>
      </c>
      <c r="DT94" s="59">
        <f ca="1">AVERAGE(OFFSET($DS$3,0,0,'Données projet'!$E$14+1,1))-AVERAGE(OFFSET($H$3,0,0,'Données projet'!$E$14+1,1))</f>
        <v>434.77799524785502</v>
      </c>
      <c r="DU94" s="59">
        <f t="shared" si="98"/>
        <v>259.85949838170006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19.005263050888463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19.005263050888463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66.236795962828737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5.2606837606837598</v>
      </c>
      <c r="EJ94" s="12">
        <f>IF('Données projet'!$A$192&gt;35,EJ93+EI94-ER93,IF(A94&lt;'Données projet'!$A$192,$EG$205^A94,IF(A94='Données projet'!$A$192,'Données projet'!$B$192,EJ93+EI94-ER93)))</f>
        <v>201.74786324786305</v>
      </c>
      <c r="EK94" s="17">
        <f>EJ94*VLOOKUP('Données projet'!$B$15,Paramètres!$A$1:$I$89,3,0)*VLOOKUP('Données projet'!$B$15,Paramètres!$A$1:$I$89,5,0)</f>
        <v>195.13053333333315</v>
      </c>
      <c r="EL94" s="13">
        <f t="shared" si="99"/>
        <v>48.672475982305059</v>
      </c>
      <c r="EM94" s="20">
        <f t="shared" si="73"/>
        <v>424.62357455806983</v>
      </c>
      <c r="EN94" s="59">
        <f t="shared" si="74"/>
        <v>704.1584930884419</v>
      </c>
      <c r="EO94" s="59">
        <f ca="1">AVERAGE(OFFSET($EN$3,0,0,'Données projet'!$E$15+1,1))-AVERAGE(OFFSET($H$3,0,0,'Données projet'!$E$15+1,1))</f>
        <v>398.06270423055565</v>
      </c>
      <c r="EP94" s="59">
        <f t="shared" si="100"/>
        <v>239.15364562040614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17.077192886305578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17.077192886305578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66.236795962828737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-1.7053025658242404E-13</v>
      </c>
      <c r="FF94" s="17">
        <f>FE94*VLOOKUP('Données projet'!$B$16,Paramètres!$A$1:$I$89,3,0)*VLOOKUP('Données projet'!$B$16,Paramètres!$A$1:$I$89,5,0)</f>
        <v>-1.0197709343628959E-13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334.13861979962491</v>
      </c>
      <c r="FK94" s="59">
        <f t="shared" si="102"/>
        <v>416.48635183664305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81.423963913561025</v>
      </c>
      <c r="FR94" s="21">
        <f>EXP(-LN(2)/25)*FR93+(1-EXP(-LN(2)/25))/(LN(2)/25)*Calculateur!FM94*Calculateur!FO94*VLOOKUP('Données projet'!$B$16,Paramètres!$A$1:$I$89,3,0)*0.475*44/12</f>
        <v>16.748886926801557</v>
      </c>
      <c r="FS94" s="21">
        <f>EXP(-LN(2)/2)*FS93+(1-EXP(-LN(2)/2))/(LN(2)/2)*FM94*FP94*VLOOKUP('Données projet'!$B$16,Paramètres!$A$1:$I$89,3,0)*0.475*44/12</f>
        <v>2.1798415296020272E-4</v>
      </c>
      <c r="FT94" s="22">
        <f t="shared" si="78"/>
        <v>98.173068824515539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66.236795962828737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11.242307692307691</v>
      </c>
      <c r="FZ94" s="12">
        <f>IF('Données projet'!$A$244&gt;35,FZ93+FY94-GH93,IF(A94&lt;'Données projet'!$A$244,$FW$205^A94,IF(A94='Données projet'!$A$244,'Données projet'!$B$244,FZ93+FY94-GH93)))</f>
        <v>424.15384615384636</v>
      </c>
      <c r="GA94" s="17">
        <f>FZ94*VLOOKUP('Données projet'!$B$17,Paramètres!$A$1:$I$89,3,0)*VLOOKUP('Données projet'!$B$17,Paramètres!$A$1:$I$89,5,0)</f>
        <v>198.5040000000001</v>
      </c>
      <c r="GB94" s="13">
        <f t="shared" si="103"/>
        <v>49.415248676990458</v>
      </c>
      <c r="GC94" s="20">
        <f t="shared" si="79"/>
        <v>431.79269144575846</v>
      </c>
      <c r="GD94" s="59">
        <f t="shared" si="80"/>
        <v>711.32760997613059</v>
      </c>
      <c r="GE94" s="59">
        <f ca="1">AVERAGE(OFFSET($GD$3,0,0,'Données projet'!$E$17+1,1))-AVERAGE(OFFSET($H$3,0,0,'Données projet'!$E$17+1,1))</f>
        <v>317.79829681023142</v>
      </c>
      <c r="GF94" s="59">
        <f t="shared" si="104"/>
        <v>275.07716943523621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72.873412759390973</v>
      </c>
      <c r="GM94" s="21">
        <f>EXP(-LN(2)/25)*GM93+(1-EXP(-LN(2)/25))/(LN(2)/25)*Calculateur!GH94*Calculateur!GJ94*VLOOKUP('Données projet'!$B$17,Paramètres!$A$1:$I$89,3,0)*0.475*44/12</f>
        <v>23.696018622896755</v>
      </c>
      <c r="GN94" s="21">
        <f>EXP(-LN(2)/2)*GN93+(1-EXP(-LN(2)/2))/(LN(2)/2)*GH94*GK94*VLOOKUP('Données projet'!$B$17,Paramètres!$A$1:$I$89,3,0)*0.475*44/12</f>
        <v>1.4425709395714892</v>
      </c>
      <c r="GO94" s="21">
        <f t="shared" si="81"/>
        <v>98.012002321859228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66.236795962828737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>
        <f>GU94*VLOOKUP('Données projet'!$B$18,Paramètres!$A$1:$I$89,3,0)*VLOOKUP('Données projet'!$B$18,Paramètres!$A$1:$I$89,5,0)</f>
        <v>0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336.21787234885699</v>
      </c>
      <c r="HA94" s="59">
        <f t="shared" si="106"/>
        <v>315.36156736899113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138.86277684059547</v>
      </c>
      <c r="HH94" s="21">
        <f>EXP(-LN(2)/25)*HH93+(1-EXP(-LN(2)/25))/(LN(2)/25)*Calculateur!HC94*Calculateur!HE94*VLOOKUP('Données projet'!$B$18,Paramètres!$A$1:$I$89,3,0)*0.475*44/12</f>
        <v>30.965566486383896</v>
      </c>
      <c r="HI94" s="21">
        <f>EXP(-LN(2)/2)*HI93+(1-EXP(-LN(2)/2))/(LN(2)/2)*HC94*HF94*VLOOKUP('Données projet'!$B$18,Paramètres!$A$1:$I$89,3,0)*0.475*44/12</f>
        <v>2.7505597738973629E-2</v>
      </c>
      <c r="HJ94" s="22">
        <f t="shared" si="84"/>
        <v>169.85584892471834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3.7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13.566666666666668</v>
      </c>
      <c r="H95" s="67">
        <f t="shared" si="56"/>
        <v>202.4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66.30207913960983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268.00256410256446</v>
      </c>
      <c r="O95" s="13">
        <f>N95*VLOOKUP('Données projet'!$B$9,Paramètres!$A$1:$I$89,3,0)*VLOOKUP('Données projet'!$B$9,Paramètres!$A$1:$I$89,5,0)</f>
        <v>242.48872000000031</v>
      </c>
      <c r="P95" s="13">
        <f t="shared" si="87"/>
        <v>58.974668795914049</v>
      </c>
      <c r="Q95" s="20">
        <f t="shared" si="54"/>
        <v>525.04873548621742</v>
      </c>
      <c r="R95" s="59">
        <f t="shared" si="55"/>
        <v>804.82302566478688</v>
      </c>
      <c r="S95" s="59">
        <f ca="1">AVERAGE(OFFSET($R$3,0,0,'Données projet'!$E$9+1,1))-AVERAGE(OFFSET($H$3,0,0,'Données projet'!$E$9+1,1))</f>
        <v>411.64357329340851</v>
      </c>
      <c r="T95" s="59">
        <f t="shared" si="88"/>
        <v>294.07942258675632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39.845298866940702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39.845298866940702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66.30207913960983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7.1782051282051267</v>
      </c>
      <c r="AI95" s="13">
        <f>IF('Données projet'!$A$62&gt;35,AI94+AH95-AQ94,IF(A95&lt;'Données projet'!$A$62,$AF$205^A95,IF(A95='Données projet'!$A$62,'Données projet'!$B$62,AI94+AH95-AQ94)))</f>
        <v>268.00256410256446</v>
      </c>
      <c r="AJ95" s="13">
        <f>AI95*VLOOKUP('Données projet'!$B$10,Paramètres!$A$1:$I$89,3,0)*VLOOKUP('Données projet'!$B$10,Paramètres!$A$1:$I$89,5,0)</f>
        <v>271.75460000000038</v>
      </c>
      <c r="AK95" s="13">
        <f t="shared" si="89"/>
        <v>65.221499194772917</v>
      </c>
      <c r="AL95" s="20">
        <f t="shared" si="58"/>
        <v>586.90003943089675</v>
      </c>
      <c r="AM95" s="59">
        <f t="shared" si="59"/>
        <v>866.67432960946621</v>
      </c>
      <c r="AN95" s="59">
        <f ca="1">AVERAGE(OFFSET($AM$3,0,0,'Données projet'!$E$10+1,1))-AVERAGE(OFFSET($H$3,0,0,'Données projet'!$E$10+1,1))</f>
        <v>453.05577105995508</v>
      </c>
      <c r="AO95" s="59">
        <f t="shared" si="90"/>
        <v>322.6839824496758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44.654214247433572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44.654214247433572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66.30207913960983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4.6887464387464428</v>
      </c>
      <c r="BD95" s="12">
        <f>IF('Données projet'!$A$88&gt;35,BD94+BC95-BL94,IF(A95&lt;'Données projet'!$A$88,$BA$205^A95,IF(A95='Données projet'!$A$88,'Données projet'!$B$88,BD94+BC95-BL94)))</f>
        <v>168.52991452991461</v>
      </c>
      <c r="BE95" s="13">
        <f>BD95*VLOOKUP('Données projet'!$B$11,Paramètres!$A$1:$I$89,3,0)*VLOOKUP('Données projet'!$B$11,Paramètres!$A$1:$I$89,5,0)</f>
        <v>168.26026666666675</v>
      </c>
      <c r="BF95" s="13">
        <f t="shared" si="91"/>
        <v>42.700148231272237</v>
      </c>
      <c r="BG95" s="20">
        <f t="shared" si="61"/>
        <v>367.42272261391037</v>
      </c>
      <c r="BH95" s="59">
        <f t="shared" si="62"/>
        <v>647.19701279247977</v>
      </c>
      <c r="BI95" s="59">
        <f ca="1">AVERAGE(OFFSET($BH$3,0,0,'Données projet'!$E$11+1,1))-AVERAGE(OFFSET($H$3,0,0,'Données projet'!$E$11+1,1))</f>
        <v>411.38162678377478</v>
      </c>
      <c r="BJ95" s="59">
        <f t="shared" si="92"/>
        <v>177.89903563360403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66.30207913960983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2.8</v>
      </c>
      <c r="BY95" s="12">
        <f>IF('Données projet'!$A$114&gt;35,BY94+BX95-CG94,IF(A95&lt;'Données projet'!$A$114,$BV$205^A95,IF(A95='Données projet'!$A$114,'Données projet'!$B$114,BY94+BX95-CG94)))</f>
        <v>210.60000000000005</v>
      </c>
      <c r="BZ95" s="13">
        <f>BY95*VLOOKUP('Données projet'!$B$12,Paramètres!$A$1:$I$89,3,0)*VLOOKUP('Données projet'!$B$12,Paramètres!$A$1:$I$89,5,0)</f>
        <v>220.11912000000007</v>
      </c>
      <c r="CA95" s="13">
        <f t="shared" si="93"/>
        <v>54.140775048344437</v>
      </c>
      <c r="CB95" s="20">
        <f t="shared" si="64"/>
        <v>477.66931720920002</v>
      </c>
      <c r="CC95" s="59">
        <f t="shared" si="65"/>
        <v>757.44360738776936</v>
      </c>
      <c r="CD95" s="59">
        <f ca="1">AVERAGE(OFFSET($CC$3,0,0,'Données projet'!$E$12+1,1))-AVERAGE(OFFSET($H$3,0,0,'Données projet'!$E$12+1,1))</f>
        <v>374.38550202939507</v>
      </c>
      <c r="CE95" s="59">
        <f t="shared" si="94"/>
        <v>324.37486924296718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14.834005681775881</v>
      </c>
      <c r="CL95" s="21">
        <f>EXP(-LN(2)/25)*CL94+(1-EXP(-LN(2)/25))/(LN(2)/25)*Calculateur!CG95*Calculateur!CI95*VLOOKUP('Données projet'!$B$12,Paramètres!$A$1:$I$89,3,0)*0.475*44/12</f>
        <v>15.805746594754838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30.639752276530722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66.30207913960983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5.2606837606837598</v>
      </c>
      <c r="CT95" s="12">
        <f>IF('Données projet'!$A$140&gt;35,CT94+CS95-DB94,IF(A95&lt;'Données projet'!$A$140,$CQ$205^A95,IF(A95='Données projet'!$A$140,'Données projet'!$B$140,CT94+CS95-DB94)))</f>
        <v>207.0085470085468</v>
      </c>
      <c r="CU95" s="17">
        <f>CT95*VLOOKUP('Données projet'!$B$13,Paramètres!$A$1:$I$89,3,0)*VLOOKUP('Données projet'!$B$13,Paramètres!$A$1:$I$89,5,0)</f>
        <v>196.98933333333315</v>
      </c>
      <c r="CV95" s="13">
        <f t="shared" si="95"/>
        <v>49.081931365294992</v>
      </c>
      <c r="CW95" s="20">
        <f t="shared" si="67"/>
        <v>428.57411935011061</v>
      </c>
      <c r="CX95" s="59">
        <f t="shared" si="68"/>
        <v>708.34840952868001</v>
      </c>
      <c r="CY95" s="59">
        <f ca="1">AVERAGE(OFFSET($CX$3,0,0,'Données projet'!$E$13+1,1))-AVERAGE(OFFSET($H$3,0,0,'Données projet'!$E$13+1,1))</f>
        <v>392.81074187112989</v>
      </c>
      <c r="CZ95" s="59">
        <f t="shared" si="96"/>
        <v>236.19146849073687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16.4722821377697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16.4722821377697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66.30207913960983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5.2606837606837598</v>
      </c>
      <c r="DO95" s="12">
        <f>IF('Données projet'!$A$166&gt;35,DO94+DN95-DW94,IF(A95&lt;'Données projet'!$A$166,$DL$205^A95,IF(A95='Données projet'!$A$166,'Données projet'!$B$166,DO94+DN95-DW94)))</f>
        <v>207.0085470085468</v>
      </c>
      <c r="DP95" s="17">
        <f>DO95*VLOOKUP('Données projet'!$B$14,Paramètres!$A$1:$I$89,3,0)*VLOOKUP('Données projet'!$B$14,Paramètres!$A$1:$I$89,5,0)</f>
        <v>222.82399999999978</v>
      </c>
      <c r="DQ95" s="13">
        <f t="shared" si="97"/>
        <v>54.728211801026077</v>
      </c>
      <c r="DR95" s="20">
        <f t="shared" si="70"/>
        <v>483.40343555345339</v>
      </c>
      <c r="DS95" s="59">
        <f t="shared" si="71"/>
        <v>763.17772573202274</v>
      </c>
      <c r="DT95" s="59">
        <f ca="1">AVERAGE(OFFSET($DS$3,0,0,'Données projet'!$E$14+1,1))-AVERAGE(OFFSET($H$3,0,0,'Données projet'!$E$14+1,1))</f>
        <v>434.77799524785502</v>
      </c>
      <c r="DU95" s="59">
        <f t="shared" si="98"/>
        <v>259.85949838170006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18.632581434526379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18.632581434526379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66.30207913960983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5.2606837606837598</v>
      </c>
      <c r="EJ95" s="12">
        <f>IF('Données projet'!$A$192&gt;35,EJ94+EI95-ER94,IF(A95&lt;'Données projet'!$A$192,$EG$205^A95,IF(A95='Données projet'!$A$192,'Données projet'!$B$192,EJ94+EI95-ER94)))</f>
        <v>207.0085470085468</v>
      </c>
      <c r="EK95" s="17">
        <f>EJ95*VLOOKUP('Données projet'!$B$15,Paramètres!$A$1:$I$89,3,0)*VLOOKUP('Données projet'!$B$15,Paramètres!$A$1:$I$89,5,0)</f>
        <v>200.21866666666645</v>
      </c>
      <c r="EL95" s="13">
        <f t="shared" si="99"/>
        <v>49.792220983658822</v>
      </c>
      <c r="EM95" s="20">
        <f t="shared" si="73"/>
        <v>435.43562932431655</v>
      </c>
      <c r="EN95" s="59">
        <f t="shared" si="74"/>
        <v>715.2099195028859</v>
      </c>
      <c r="EO95" s="59">
        <f ca="1">AVERAGE(OFFSET($EN$3,0,0,'Données projet'!$E$15+1,1))-AVERAGE(OFFSET($H$3,0,0,'Données projet'!$E$15+1,1))</f>
        <v>398.06270423055565</v>
      </c>
      <c r="EP95" s="59">
        <f t="shared" si="100"/>
        <v>239.15364562040614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16.742319549864288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16.742319549864288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66.30207913960983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-1.7053025658242404E-13</v>
      </c>
      <c r="FF95" s="17">
        <f>FE95*VLOOKUP('Données projet'!$B$16,Paramètres!$A$1:$I$89,3,0)*VLOOKUP('Données projet'!$B$16,Paramètres!$A$1:$I$89,5,0)</f>
        <v>-1.0197709343628959E-13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334.13861979962491</v>
      </c>
      <c r="FK95" s="59">
        <f t="shared" si="102"/>
        <v>416.48635183664305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79.82728964493019</v>
      </c>
      <c r="FR95" s="21">
        <f>EXP(-LN(2)/25)*FR94+(1-EXP(-LN(2)/25))/(LN(2)/25)*Calculateur!FM95*Calculateur!FO95*VLOOKUP('Données projet'!$B$16,Paramètres!$A$1:$I$89,3,0)*0.475*44/12</f>
        <v>16.290887733002485</v>
      </c>
      <c r="FS95" s="21">
        <f>EXP(-LN(2)/2)*FS94+(1-EXP(-LN(2)/2))/(LN(2)/2)*FM95*FP95*VLOOKUP('Données projet'!$B$16,Paramètres!$A$1:$I$89,3,0)*0.475*44/12</f>
        <v>1.5413807274936497E-4</v>
      </c>
      <c r="FT95" s="22">
        <f t="shared" si="78"/>
        <v>96.118331516005426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66.30207913960983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11.242307692307691</v>
      </c>
      <c r="FZ95" s="12">
        <f>IF('Données projet'!$A$244&gt;35,FZ94+FY95-GH94,IF(A95&lt;'Données projet'!$A$244,$FW$205^A95,IF(A95='Données projet'!$A$244,'Données projet'!$B$244,FZ94+FY95-GH94)))</f>
        <v>435.39615384615405</v>
      </c>
      <c r="GA95" s="17">
        <f>FZ95*VLOOKUP('Données projet'!$B$17,Paramètres!$A$1:$I$89,3,0)*VLOOKUP('Données projet'!$B$17,Paramètres!$A$1:$I$89,5,0)</f>
        <v>203.76540000000008</v>
      </c>
      <c r="GB95" s="13">
        <f t="shared" si="103"/>
        <v>50.570788227585879</v>
      </c>
      <c r="GC95" s="20">
        <f t="shared" si="79"/>
        <v>442.96886116304557</v>
      </c>
      <c r="GD95" s="59">
        <f t="shared" si="80"/>
        <v>722.74315134161498</v>
      </c>
      <c r="GE95" s="59">
        <f ca="1">AVERAGE(OFFSET($GD$3,0,0,'Données projet'!$E$17+1,1))-AVERAGE(OFFSET($H$3,0,0,'Données projet'!$E$17+1,1))</f>
        <v>317.79829681023142</v>
      </c>
      <c r="GF95" s="59">
        <f t="shared" si="104"/>
        <v>275.07716943523621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71.444409583572181</v>
      </c>
      <c r="GM95" s="21">
        <f>EXP(-LN(2)/25)*GM94+(1-EXP(-LN(2)/25))/(LN(2)/25)*Calculateur!GH95*Calculateur!GJ95*VLOOKUP('Données projet'!$B$17,Paramètres!$A$1:$I$89,3,0)*0.475*44/12</f>
        <v>23.048049747534183</v>
      </c>
      <c r="GN95" s="21">
        <f>EXP(-LN(2)/2)*GN94+(1-EXP(-LN(2)/2))/(LN(2)/2)*GH95*GK95*VLOOKUP('Données projet'!$B$17,Paramètres!$A$1:$I$89,3,0)*0.475*44/12</f>
        <v>1.0200516937136495</v>
      </c>
      <c r="GO95" s="21">
        <f t="shared" si="81"/>
        <v>95.512511024820014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66.30207913960983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>
        <f>GU95*VLOOKUP('Données projet'!$B$18,Paramètres!$A$1:$I$89,3,0)*VLOOKUP('Données projet'!$B$18,Paramètres!$A$1:$I$89,5,0)</f>
        <v>0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336.21787234885699</v>
      </c>
      <c r="HA95" s="59">
        <f t="shared" si="106"/>
        <v>315.36156736899113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136.13976248468205</v>
      </c>
      <c r="HH95" s="21">
        <f>EXP(-LN(2)/25)*HH94+(1-EXP(-LN(2)/25))/(LN(2)/25)*Calculateur!HC95*Calculateur!HE95*VLOOKUP('Données projet'!$B$18,Paramètres!$A$1:$I$89,3,0)*0.475*44/12</f>
        <v>30.118811442405359</v>
      </c>
      <c r="HI95" s="21">
        <f>EXP(-LN(2)/2)*HI94+(1-EXP(-LN(2)/2))/(LN(2)/2)*HC95*HF95*VLOOKUP('Données projet'!$B$18,Paramètres!$A$1:$I$89,3,0)*0.475*44/12</f>
        <v>1.9449394681817622E-2</v>
      </c>
      <c r="HJ95" s="22">
        <f t="shared" si="84"/>
        <v>166.27802332176924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3.7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13.566666666666668</v>
      </c>
      <c r="H96" s="67">
        <f t="shared" si="56"/>
        <v>202.4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66.366229799225081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275.18076923076961</v>
      </c>
      <c r="O96" s="13">
        <f>N96*VLOOKUP('Données projet'!$B$9,Paramètres!$A$1:$I$89,3,0)*VLOOKUP('Données projet'!$B$9,Paramètres!$A$1:$I$89,5,0)</f>
        <v>248.98356000000032</v>
      </c>
      <c r="P96" s="13">
        <f t="shared" si="87"/>
        <v>60.368233943158614</v>
      </c>
      <c r="Q96" s="20">
        <f t="shared" si="54"/>
        <v>538.78770778433511</v>
      </c>
      <c r="R96" s="59">
        <f t="shared" si="55"/>
        <v>818.79721704816041</v>
      </c>
      <c r="S96" s="59">
        <f ca="1">AVERAGE(OFFSET($R$3,0,0,'Données projet'!$E$9+1,1))-AVERAGE(OFFSET($H$3,0,0,'Données projet'!$E$9+1,1))</f>
        <v>411.64357329340851</v>
      </c>
      <c r="T96" s="59">
        <f t="shared" si="88"/>
        <v>294.07942258675632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39.063956859392562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39.063956859392562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66.366229799225081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7.1782051282051267</v>
      </c>
      <c r="AI96" s="13">
        <f>IF('Données projet'!$A$62&gt;35,AI95+AH96-AQ95,IF(A96&lt;'Données projet'!$A$62,$AF$205^A96,IF(A96='Données projet'!$A$62,'Données projet'!$B$62,AI95+AH96-AQ95)))</f>
        <v>275.18076923076961</v>
      </c>
      <c r="AJ96" s="13">
        <f>AI96*VLOOKUP('Données projet'!$B$10,Paramètres!$A$1:$I$89,3,0)*VLOOKUP('Données projet'!$B$10,Paramètres!$A$1:$I$89,5,0)</f>
        <v>279.03330000000039</v>
      </c>
      <c r="AK96" s="13">
        <f t="shared" si="89"/>
        <v>66.762676279521131</v>
      </c>
      <c r="AL96" s="20">
        <f t="shared" si="58"/>
        <v>602.26132535349996</v>
      </c>
      <c r="AM96" s="59">
        <f t="shared" si="59"/>
        <v>882.27083461732525</v>
      </c>
      <c r="AN96" s="59">
        <f ca="1">AVERAGE(OFFSET($AM$3,0,0,'Données projet'!$E$10+1,1))-AVERAGE(OFFSET($H$3,0,0,'Données projet'!$E$10+1,1))</f>
        <v>453.05577105995508</v>
      </c>
      <c r="AO96" s="59">
        <f t="shared" si="90"/>
        <v>322.6839824496758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43.77857234242272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43.77857234242272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66.366229799225081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4.6887464387464428</v>
      </c>
      <c r="BD96" s="12">
        <f>IF('Données projet'!$A$88&gt;35,BD95+BC96-BL95,IF(A96&lt;'Données projet'!$A$88,$BA$205^A96,IF(A96='Données projet'!$A$88,'Données projet'!$B$88,BD95+BC96-BL95)))</f>
        <v>173.21866096866106</v>
      </c>
      <c r="BE96" s="13">
        <f>BD96*VLOOKUP('Données projet'!$B$11,Paramètres!$A$1:$I$89,3,0)*VLOOKUP('Données projet'!$B$11,Paramètres!$A$1:$I$89,5,0)</f>
        <v>172.9415111111112</v>
      </c>
      <c r="BF96" s="13">
        <f t="shared" si="91"/>
        <v>43.7481650208275</v>
      </c>
      <c r="BG96" s="20">
        <f t="shared" si="61"/>
        <v>377.4011859297932</v>
      </c>
      <c r="BH96" s="59">
        <f t="shared" si="62"/>
        <v>657.41069519361849</v>
      </c>
      <c r="BI96" s="59">
        <f ca="1">AVERAGE(OFFSET($BH$3,0,0,'Données projet'!$E$11+1,1))-AVERAGE(OFFSET($H$3,0,0,'Données projet'!$E$11+1,1))</f>
        <v>411.38162678377478</v>
      </c>
      <c r="BJ96" s="59">
        <f t="shared" si="92"/>
        <v>177.89903563360403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66.366229799225081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2.8</v>
      </c>
      <c r="BY96" s="12">
        <f>IF('Données projet'!$A$114&gt;35,BY95+BX96-CG95,IF(A96&lt;'Données projet'!$A$114,$BV$205^A96,IF(A96='Données projet'!$A$114,'Données projet'!$B$114,BY95+BX96-CG95)))</f>
        <v>213.40000000000006</v>
      </c>
      <c r="BZ96" s="13">
        <f>BY96*VLOOKUP('Données projet'!$B$12,Paramètres!$A$1:$I$89,3,0)*VLOOKUP('Données projet'!$B$12,Paramètres!$A$1:$I$89,5,0)</f>
        <v>223.04568000000006</v>
      </c>
      <c r="CA96" s="13">
        <f t="shared" si="93"/>
        <v>54.776318590526813</v>
      </c>
      <c r="CB96" s="20">
        <f t="shared" si="64"/>
        <v>483.87331421183421</v>
      </c>
      <c r="CC96" s="59">
        <f t="shared" si="65"/>
        <v>763.88282347565951</v>
      </c>
      <c r="CD96" s="59">
        <f ca="1">AVERAGE(OFFSET($CC$3,0,0,'Données projet'!$E$12+1,1))-AVERAGE(OFFSET($H$3,0,0,'Données projet'!$E$12+1,1))</f>
        <v>374.38550202939507</v>
      </c>
      <c r="CE96" s="59">
        <f t="shared" si="94"/>
        <v>324.37486924296718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14.543119878206321</v>
      </c>
      <c r="CL96" s="21">
        <f>EXP(-LN(2)/25)*CL95+(1-EXP(-LN(2)/25))/(LN(2)/25)*Calculateur!CG96*Calculateur!CI96*VLOOKUP('Données projet'!$B$12,Paramètres!$A$1:$I$89,3,0)*0.475*44/12</f>
        <v>15.373537622933178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29.916657501139497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66.366229799225081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212.26923076923075</v>
      </c>
      <c r="CR96" s="12">
        <f>VLOOKUP(A96,'Données projet'!$A$139:$I$159,9,0)</f>
        <v>5.2606837606837598</v>
      </c>
      <c r="CS96" s="12">
        <f t="array" ref="CS96">INDEX(CR:CR,MIN(IF(ISNUMBER(CR96:CR292),ROW(CR96:CR292),"")))</f>
        <v>5.2606837606837598</v>
      </c>
      <c r="CT96" s="12">
        <f>IF('Données projet'!$A$140&gt;35,CT95+CS96-DB95,IF(A96&lt;'Données projet'!$A$140,$CQ$205^A96,IF(A96='Données projet'!$A$140,'Données projet'!$B$140,CT95+CS96-DB95)))</f>
        <v>212.26923076923055</v>
      </c>
      <c r="CU96" s="17">
        <f>CT96*VLOOKUP('Données projet'!$B$13,Paramètres!$A$1:$I$89,3,0)*VLOOKUP('Données projet'!$B$13,Paramètres!$A$1:$I$89,5,0)</f>
        <v>201.99539999999979</v>
      </c>
      <c r="CV96" s="13">
        <f t="shared" si="95"/>
        <v>50.182442554493718</v>
      </c>
      <c r="CW96" s="20">
        <f t="shared" si="67"/>
        <v>439.2097424490762</v>
      </c>
      <c r="CX96" s="59">
        <f t="shared" si="68"/>
        <v>719.2192517129015</v>
      </c>
      <c r="CY96" s="59">
        <f ca="1">AVERAGE(OFFSET($CX$3,0,0,'Données projet'!$E$13+1,1))-AVERAGE(OFFSET($H$3,0,0,'Données projet'!$E$13+1,1))</f>
        <v>392.81074187112989</v>
      </c>
      <c r="CZ96" s="59">
        <f t="shared" si="96"/>
        <v>236.19146849073687</v>
      </c>
      <c r="DA96" s="15">
        <f>IF(ISNA(VLOOKUP(A96,'Données projet'!$A$139:$I$159,3,0)),0,VLOOKUP(A96,'Données projet'!$A$139:$I$159,3,0))</f>
        <v>7</v>
      </c>
      <c r="DB96" s="15">
        <f>IF(ISNA(VLOOKUP(A96,'Données projet'!$A$139:$I$159,4,0)),0,VLOOKUP(A96,'Données projet'!$A$139:$I$159,4,0))</f>
        <v>30.083333333333332</v>
      </c>
      <c r="DC96" s="16">
        <f>IF(ISNA(VLOOKUP(A96,'Données projet'!$A$139:$I$159,5,0)),0%,VLOOKUP(A96,'Données projet'!$A$139:$I$159,5,0)*VLOOKUP('Données projet'!$B$13,Paramètres!$A$1:$I$89,7,0))</f>
        <v>0.30099999999999999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25.67490702314516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25.67490702314516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66.366229799225081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212.26923076923075</v>
      </c>
      <c r="DM96" s="12">
        <f>VLOOKUP(A96,'Données projet'!$A$165:$I$185,9,0)</f>
        <v>5.2606837606837598</v>
      </c>
      <c r="DN96" s="12">
        <f t="array" ref="DN96">INDEX(DM:DM,MIN(IF(ISNUMBER(DM96:DM292),ROW(DM96:DM292),"")))</f>
        <v>5.2606837606837598</v>
      </c>
      <c r="DO96" s="12">
        <f>IF('Données projet'!$A$166&gt;35,DO95+DN96-DW95,IF(A96&lt;'Données projet'!$A$166,$DL$205^A96,IF(A96='Données projet'!$A$166,'Données projet'!$B$166,DO95+DN96-DW95)))</f>
        <v>212.26923076923055</v>
      </c>
      <c r="DP96" s="17">
        <f>DO96*VLOOKUP('Données projet'!$B$14,Paramètres!$A$1:$I$89,3,0)*VLOOKUP('Données projet'!$B$14,Paramètres!$A$1:$I$89,5,0)</f>
        <v>228.48659999999975</v>
      </c>
      <c r="DQ96" s="13">
        <f t="shared" si="97"/>
        <v>55.95532344428247</v>
      </c>
      <c r="DR96" s="20">
        <f t="shared" si="70"/>
        <v>495.40301666545815</v>
      </c>
      <c r="DS96" s="59">
        <f t="shared" si="71"/>
        <v>775.41252592928345</v>
      </c>
      <c r="DT96" s="59">
        <f ca="1">AVERAGE(OFFSET($DS$3,0,0,'Données projet'!$E$14+1,1))-AVERAGE(OFFSET($H$3,0,0,'Données projet'!$E$14+1,1))</f>
        <v>434.77799524785502</v>
      </c>
      <c r="DU96" s="59">
        <f t="shared" si="98"/>
        <v>259.85949838170006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30.083333333333332</v>
      </c>
      <c r="DX96" s="16">
        <f>IF(ISNA(VLOOKUP(A96,'Données projet'!$A$165:$I$185,5,0)),0%,VLOOKUP(A96,'Données projet'!$A$165:$I$185,5,0)*VLOOKUP('Données projet'!$B$14,Paramètres!$A$1:$I$89,7,0))</f>
        <v>0.30099999999999999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29.042107944213377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29.042107944213377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66.366229799225081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>
        <f>VLOOKUP(A96,'Données projet'!$A$191:$I$211,2,0)</f>
        <v>212.26923076923075</v>
      </c>
      <c r="EH96" s="12">
        <f>VLOOKUP(A96,'Données projet'!$A$191:$I$211,9,0)</f>
        <v>5.2606837606837598</v>
      </c>
      <c r="EI96" s="12">
        <f t="array" ref="EI96">INDEX(EH:EH,MIN(IF(ISNUMBER(EH96:EH292),ROW(EH96:EH292),"")))</f>
        <v>5.2606837606837598</v>
      </c>
      <c r="EJ96" s="12">
        <f>IF('Données projet'!$A$192&gt;35,EJ95+EI96-ER95,IF(A96&lt;'Données projet'!$A$192,$EG$205^A96,IF(A96='Données projet'!$A$192,'Données projet'!$B$192,EJ95+EI96-ER95)))</f>
        <v>212.26923076923055</v>
      </c>
      <c r="EK96" s="17">
        <f>EJ96*VLOOKUP('Données projet'!$B$15,Paramètres!$A$1:$I$89,3,0)*VLOOKUP('Données projet'!$B$15,Paramètres!$A$1:$I$89,5,0)</f>
        <v>205.30679999999978</v>
      </c>
      <c r="EL96" s="13">
        <f t="shared" si="99"/>
        <v>50.908658230590753</v>
      </c>
      <c r="EM96" s="20">
        <f t="shared" si="73"/>
        <v>446.24192308494509</v>
      </c>
      <c r="EN96" s="59">
        <f t="shared" si="74"/>
        <v>726.25143234877032</v>
      </c>
      <c r="EO96" s="59">
        <f ca="1">AVERAGE(OFFSET($EN$3,0,0,'Données projet'!$E$15+1,1))-AVERAGE(OFFSET($H$3,0,0,'Données projet'!$E$15+1,1))</f>
        <v>398.06270423055565</v>
      </c>
      <c r="EP96" s="59">
        <f t="shared" si="100"/>
        <v>239.15364562040614</v>
      </c>
      <c r="EQ96" s="15">
        <f>IF(ISNA(VLOOKUP(A96,'Données projet'!$A$191:$I$211,3,0)),0,VLOOKUP(A96,'Données projet'!$A$191:$I$211,3,0))</f>
        <v>7</v>
      </c>
      <c r="ER96" s="15">
        <f>IF(ISNA(VLOOKUP(A96,'Données projet'!$A$191:$I$211,4,0)),0,VLOOKUP(A96,'Données projet'!$A$191:$I$211,4,0))</f>
        <v>30.083333333333332</v>
      </c>
      <c r="ES96" s="16">
        <f>IF(ISNA(VLOOKUP(A96,'Données projet'!$A$191:$I$211,5,0)),0%,VLOOKUP(A96,'Données projet'!$A$191:$I$211,5,0)*VLOOKUP('Données projet'!$B$15,Paramètres!$A$1:$I$89,7,0))</f>
        <v>0.30099999999999999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26.095807138278694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26.095807138278694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66.366229799225081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-1.7053025658242404E-13</v>
      </c>
      <c r="FF96" s="17">
        <f>FE96*VLOOKUP('Données projet'!$B$16,Paramètres!$A$1:$I$89,3,0)*VLOOKUP('Données projet'!$B$16,Paramètres!$A$1:$I$89,5,0)</f>
        <v>-1.0197709343628959E-13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334.13861979962491</v>
      </c>
      <c r="FK96" s="59">
        <f t="shared" si="102"/>
        <v>416.48635183664305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78.261925184832066</v>
      </c>
      <c r="FR96" s="21">
        <f>EXP(-LN(2)/25)*FR95+(1-EXP(-LN(2)/25))/(LN(2)/25)*Calculateur!FM96*Calculateur!FO96*VLOOKUP('Données projet'!$B$16,Paramètres!$A$1:$I$89,3,0)*0.475*44/12</f>
        <v>15.84541255124298</v>
      </c>
      <c r="FS96" s="21">
        <f>EXP(-LN(2)/2)*FS95+(1-EXP(-LN(2)/2))/(LN(2)/2)*FM96*FP96*VLOOKUP('Données projet'!$B$16,Paramètres!$A$1:$I$89,3,0)*0.475*44/12</f>
        <v>1.0899207648010136E-4</v>
      </c>
      <c r="FT96" s="22">
        <f t="shared" si="78"/>
        <v>94.107446728151515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66.366229799225081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11.242307692307691</v>
      </c>
      <c r="FZ96" s="12">
        <f>IF('Données projet'!$A$244&gt;35,FZ95+FY96-GH95,IF(A96&lt;'Données projet'!$A$244,$FW$205^A96,IF(A96='Données projet'!$A$244,'Données projet'!$B$244,FZ95+FY96-GH95)))</f>
        <v>446.63846153846174</v>
      </c>
      <c r="GA96" s="17">
        <f>FZ96*VLOOKUP('Données projet'!$B$17,Paramètres!$A$1:$I$89,3,0)*VLOOKUP('Données projet'!$B$17,Paramètres!$A$1:$I$89,5,0)</f>
        <v>209.02680000000009</v>
      </c>
      <c r="GB96" s="13">
        <f t="shared" si="103"/>
        <v>51.722859553755349</v>
      </c>
      <c r="GC96" s="20">
        <f t="shared" si="79"/>
        <v>454.13899038945743</v>
      </c>
      <c r="GD96" s="59">
        <f t="shared" si="80"/>
        <v>734.14849965328267</v>
      </c>
      <c r="GE96" s="59">
        <f ca="1">AVERAGE(OFFSET($GD$3,0,0,'Données projet'!$E$17+1,1))-AVERAGE(OFFSET($H$3,0,0,'Données projet'!$E$17+1,1))</f>
        <v>317.79829681023142</v>
      </c>
      <c r="GF96" s="59">
        <f t="shared" si="104"/>
        <v>275.07716943523621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70.043428288425332</v>
      </c>
      <c r="GM96" s="21">
        <f>EXP(-LN(2)/25)*GM95+(1-EXP(-LN(2)/25))/(LN(2)/25)*Calculateur!GH96*Calculateur!GJ96*VLOOKUP('Données projet'!$B$17,Paramètres!$A$1:$I$89,3,0)*0.475*44/12</f>
        <v>22.417799615143601</v>
      </c>
      <c r="GN96" s="21">
        <f>EXP(-LN(2)/2)*GN95+(1-EXP(-LN(2)/2))/(LN(2)/2)*GH96*GK96*VLOOKUP('Données projet'!$B$17,Paramètres!$A$1:$I$89,3,0)*0.475*44/12</f>
        <v>0.72128546978574481</v>
      </c>
      <c r="GO96" s="21">
        <f t="shared" si="81"/>
        <v>93.182513373354666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66.366229799225081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>
        <f>GU96*VLOOKUP('Données projet'!$B$18,Paramètres!$A$1:$I$89,3,0)*VLOOKUP('Données projet'!$B$18,Paramètres!$A$1:$I$89,5,0)</f>
        <v>0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336.21787234885699</v>
      </c>
      <c r="HA96" s="59">
        <f t="shared" si="106"/>
        <v>315.36156736899113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133.47014477941332</v>
      </c>
      <c r="HH96" s="21">
        <f>EXP(-LN(2)/25)*HH95+(1-EXP(-LN(2)/25))/(LN(2)/25)*Calculateur!HC96*Calculateur!HE96*VLOOKUP('Données projet'!$B$18,Paramètres!$A$1:$I$89,3,0)*0.475*44/12</f>
        <v>29.29521095963333</v>
      </c>
      <c r="HI96" s="21">
        <f>EXP(-LN(2)/2)*HI95+(1-EXP(-LN(2)/2))/(LN(2)/2)*HC96*HF96*VLOOKUP('Données projet'!$B$18,Paramètres!$A$1:$I$89,3,0)*0.475*44/12</f>
        <v>1.3752798869486814E-2</v>
      </c>
      <c r="HJ96" s="22">
        <f t="shared" si="84"/>
        <v>162.77910853791613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3.7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13.566666666666668</v>
      </c>
      <c r="H97" s="67">
        <f t="shared" si="56"/>
        <v>202.4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66.429267588315412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282.35897435897476</v>
      </c>
      <c r="O97" s="13">
        <f>N97*VLOOKUP('Données projet'!$B$9,Paramètres!$A$1:$I$89,3,0)*VLOOKUP('Données projet'!$B$9,Paramètres!$A$1:$I$89,5,0)</f>
        <v>255.47840000000036</v>
      </c>
      <c r="P97" s="13">
        <f t="shared" si="87"/>
        <v>61.757573660260803</v>
      </c>
      <c r="Q97" s="20">
        <f t="shared" si="54"/>
        <v>552.51932079162145</v>
      </c>
      <c r="R97" s="59">
        <f t="shared" si="55"/>
        <v>832.75996861544468</v>
      </c>
      <c r="S97" s="59">
        <f ca="1">AVERAGE(OFFSET($R$3,0,0,'Données projet'!$E$9+1,1))-AVERAGE(OFFSET($H$3,0,0,'Données projet'!$E$9+1,1))</f>
        <v>411.64357329340851</v>
      </c>
      <c r="T97" s="59">
        <f t="shared" si="88"/>
        <v>294.07942258675632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38.297936492040868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38.297936492040868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66.429267588315412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7.1782051282051267</v>
      </c>
      <c r="AI97" s="13">
        <f>IF('Données projet'!$A$62&gt;35,AI96+AH97-AQ96,IF(A97&lt;'Données projet'!$A$62,$AF$205^A97,IF(A97='Données projet'!$A$62,'Données projet'!$B$62,AI96+AH97-AQ96)))</f>
        <v>282.35897435897476</v>
      </c>
      <c r="AJ97" s="13">
        <f>AI97*VLOOKUP('Données projet'!$B$10,Paramètres!$A$1:$I$89,3,0)*VLOOKUP('Données projet'!$B$10,Paramètres!$A$1:$I$89,5,0)</f>
        <v>286.31200000000047</v>
      </c>
      <c r="AK97" s="13">
        <f t="shared" si="89"/>
        <v>68.299180359837749</v>
      </c>
      <c r="AL97" s="20">
        <f t="shared" si="58"/>
        <v>617.6144724600515</v>
      </c>
      <c r="AM97" s="59">
        <f t="shared" si="59"/>
        <v>897.85512028387461</v>
      </c>
      <c r="AN97" s="59">
        <f ca="1">AVERAGE(OFFSET($AM$3,0,0,'Données projet'!$E$10+1,1))-AVERAGE(OFFSET($H$3,0,0,'Données projet'!$E$10+1,1))</f>
        <v>453.05577105995508</v>
      </c>
      <c r="AO97" s="59">
        <f t="shared" si="90"/>
        <v>322.6839824496758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42.92010124108031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42.92010124108031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66.429267588315412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4.6887464387464428</v>
      </c>
      <c r="BD97" s="12">
        <f>IF('Données projet'!$A$88&gt;35,BD96+BC97-BL96,IF(A97&lt;'Données projet'!$A$88,$BA$205^A97,IF(A97='Données projet'!$A$88,'Données projet'!$B$88,BD96+BC97-BL96)))</f>
        <v>177.9074074074075</v>
      </c>
      <c r="BE97" s="13">
        <f>BD97*VLOOKUP('Données projet'!$B$11,Paramètres!$A$1:$I$89,3,0)*VLOOKUP('Données projet'!$B$11,Paramètres!$A$1:$I$89,5,0)</f>
        <v>177.62275555555567</v>
      </c>
      <c r="BF97" s="13">
        <f t="shared" si="91"/>
        <v>44.792884534104282</v>
      </c>
      <c r="BG97" s="20">
        <f t="shared" si="61"/>
        <v>387.37390648949105</v>
      </c>
      <c r="BH97" s="59">
        <f t="shared" si="62"/>
        <v>667.61455431331422</v>
      </c>
      <c r="BI97" s="59">
        <f ca="1">AVERAGE(OFFSET($BH$3,0,0,'Données projet'!$E$11+1,1))-AVERAGE(OFFSET($H$3,0,0,'Données projet'!$E$11+1,1))</f>
        <v>411.38162678377478</v>
      </c>
      <c r="BJ97" s="59">
        <f t="shared" si="92"/>
        <v>177.89903563360403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66.429267588315412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2.8</v>
      </c>
      <c r="BY97" s="12">
        <f>IF('Données projet'!$A$114&gt;35,BY96+BX97-CG96,IF(A97&lt;'Données projet'!$A$114,$BV$205^A97,IF(A97='Données projet'!$A$114,'Données projet'!$B$114,BY96+BX97-CG96)))</f>
        <v>216.20000000000007</v>
      </c>
      <c r="BZ97" s="13">
        <f>BY97*VLOOKUP('Données projet'!$B$12,Paramètres!$A$1:$I$89,3,0)*VLOOKUP('Données projet'!$B$12,Paramètres!$A$1:$I$89,5,0)</f>
        <v>225.97224000000011</v>
      </c>
      <c r="CA97" s="13">
        <f t="shared" si="93"/>
        <v>55.410892195806532</v>
      </c>
      <c r="CB97" s="20">
        <f t="shared" si="64"/>
        <v>490.07562190769653</v>
      </c>
      <c r="CC97" s="59">
        <f t="shared" si="65"/>
        <v>770.3162697315197</v>
      </c>
      <c r="CD97" s="59">
        <f ca="1">AVERAGE(OFFSET($CC$3,0,0,'Données projet'!$E$12+1,1))-AVERAGE(OFFSET($H$3,0,0,'Données projet'!$E$12+1,1))</f>
        <v>374.38550202939507</v>
      </c>
      <c r="CE97" s="59">
        <f t="shared" si="94"/>
        <v>324.37486924296718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14.257938167821939</v>
      </c>
      <c r="CL97" s="21">
        <f>EXP(-LN(2)/25)*CL96+(1-EXP(-LN(2)/25))/(LN(2)/25)*Calculateur!CG97*Calculateur!CI97*VLOOKUP('Données projet'!$B$12,Paramètres!$A$1:$I$89,3,0)*0.475*44/12</f>
        <v>14.953147428174862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29.211085595996799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66.429267588315412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5.2583333333333373</v>
      </c>
      <c r="CT97" s="12">
        <f>IF('Données projet'!$A$140&gt;35,CT96+CS97-DB96,IF(A97&lt;'Données projet'!$A$140,$CQ$205^A97,IF(A97='Données projet'!$A$140,'Données projet'!$B$140,CT96+CS97-DB96)))</f>
        <v>187.44423076923053</v>
      </c>
      <c r="CU97" s="17">
        <f>CT97*VLOOKUP('Données projet'!$B$13,Paramètres!$A$1:$I$89,3,0)*VLOOKUP('Données projet'!$B$13,Paramètres!$A$1:$I$89,5,0)</f>
        <v>178.37192999999979</v>
      </c>
      <c r="CV97" s="13">
        <f t="shared" si="95"/>
        <v>44.959779268450049</v>
      </c>
      <c r="CW97" s="20">
        <f t="shared" si="67"/>
        <v>388.96939364255013</v>
      </c>
      <c r="CX97" s="59">
        <f t="shared" si="68"/>
        <v>669.21004146637324</v>
      </c>
      <c r="CY97" s="59">
        <f ca="1">AVERAGE(OFFSET($CX$3,0,0,'Données projet'!$E$13+1,1))-AVERAGE(OFFSET($H$3,0,0,'Données projet'!$E$13+1,1))</f>
        <v>392.81074187112989</v>
      </c>
      <c r="CZ97" s="59">
        <f t="shared" si="96"/>
        <v>236.19146849073687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25.171437756568256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25.171437756568256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66.429267588315412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5.2583333333333373</v>
      </c>
      <c r="DO97" s="12">
        <f>IF('Données projet'!$A$166&gt;35,DO96+DN97-DW96,IF(A97&lt;'Données projet'!$A$166,$DL$205^A97,IF(A97='Données projet'!$A$166,'Données projet'!$B$166,DO96+DN97-DW96)))</f>
        <v>187.44423076923053</v>
      </c>
      <c r="DP97" s="17">
        <f>DO97*VLOOKUP('Données projet'!$B$14,Paramètres!$A$1:$I$89,3,0)*VLOOKUP('Données projet'!$B$14,Paramètres!$A$1:$I$89,5,0)</f>
        <v>201.76496999999972</v>
      </c>
      <c r="DQ97" s="13">
        <f t="shared" si="97"/>
        <v>50.131856141075623</v>
      </c>
      <c r="DR97" s="20">
        <f t="shared" si="70"/>
        <v>438.72030552903954</v>
      </c>
      <c r="DS97" s="59">
        <f t="shared" si="71"/>
        <v>718.9609533528627</v>
      </c>
      <c r="DT97" s="59">
        <f ca="1">AVERAGE(OFFSET($DS$3,0,0,'Données projet'!$E$14+1,1))-AVERAGE(OFFSET($H$3,0,0,'Données projet'!$E$14+1,1))</f>
        <v>434.77799524785502</v>
      </c>
      <c r="DU97" s="59">
        <f t="shared" si="98"/>
        <v>259.85949838170006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28.472609921364093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28.472609921364093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66.429267588315412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5.2583333333333373</v>
      </c>
      <c r="EJ97" s="12">
        <f>IF('Données projet'!$A$192&gt;35,EJ96+EI97-ER96,IF(A97&lt;'Données projet'!$A$192,$EG$205^A97,IF(A97='Données projet'!$A$192,'Données projet'!$B$192,EJ96+EI97-ER96)))</f>
        <v>187.44423076923053</v>
      </c>
      <c r="EK97" s="17">
        <f>EJ97*VLOOKUP('Données projet'!$B$15,Paramètres!$A$1:$I$89,3,0)*VLOOKUP('Données projet'!$B$15,Paramètres!$A$1:$I$89,5,0)</f>
        <v>181.29605999999978</v>
      </c>
      <c r="EL97" s="13">
        <f t="shared" si="99"/>
        <v>45.610415125067746</v>
      </c>
      <c r="EM97" s="20">
        <f t="shared" si="73"/>
        <v>395.19544417615924</v>
      </c>
      <c r="EN97" s="59">
        <f t="shared" si="74"/>
        <v>675.43609199998241</v>
      </c>
      <c r="EO97" s="59">
        <f ca="1">AVERAGE(OFFSET($EN$3,0,0,'Données projet'!$E$15+1,1))-AVERAGE(OFFSET($H$3,0,0,'Données projet'!$E$15+1,1))</f>
        <v>398.06270423055565</v>
      </c>
      <c r="EP97" s="59">
        <f t="shared" si="100"/>
        <v>239.15364562040614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25.584084277167744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25.584084277167744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66.429267588315412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-1.7053025658242404E-13</v>
      </c>
      <c r="FF97" s="17">
        <f>FE97*VLOOKUP('Données projet'!$B$16,Paramètres!$A$1:$I$89,3,0)*VLOOKUP('Données projet'!$B$16,Paramètres!$A$1:$I$89,5,0)</f>
        <v>-1.0197709343628959E-13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334.13861979962491</v>
      </c>
      <c r="FK97" s="59">
        <f t="shared" si="102"/>
        <v>416.48635183664305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76.727256567018429</v>
      </c>
      <c r="FR97" s="21">
        <f>EXP(-LN(2)/25)*FR96+(1-EXP(-LN(2)/25))/(LN(2)/25)*Calculateur!FM97*Calculateur!FO97*VLOOKUP('Données projet'!$B$16,Paramètres!$A$1:$I$89,3,0)*0.475*44/12</f>
        <v>15.41211891175521</v>
      </c>
      <c r="FS97" s="21">
        <f>EXP(-LN(2)/2)*FS96+(1-EXP(-LN(2)/2))/(LN(2)/2)*FM97*FP97*VLOOKUP('Données projet'!$B$16,Paramètres!$A$1:$I$89,3,0)*0.475*44/12</f>
        <v>7.7069036374682485E-5</v>
      </c>
      <c r="FT97" s="22">
        <f t="shared" si="78"/>
        <v>92.139452547810023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66.429267588315412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11.242307692307691</v>
      </c>
      <c r="FZ97" s="12">
        <f>IF('Données projet'!$A$244&gt;35,FZ96+FY97-GH96,IF(A97&lt;'Données projet'!$A$244,$FW$205^A97,IF(A97='Données projet'!$A$244,'Données projet'!$B$244,FZ96+FY97-GH96)))</f>
        <v>457.88076923076943</v>
      </c>
      <c r="GA97" s="17">
        <f>FZ97*VLOOKUP('Données projet'!$B$17,Paramètres!$A$1:$I$89,3,0)*VLOOKUP('Données projet'!$B$17,Paramètres!$A$1:$I$89,5,0)</f>
        <v>214.28820000000007</v>
      </c>
      <c r="GB97" s="13">
        <f t="shared" si="103"/>
        <v>52.871559993650941</v>
      </c>
      <c r="GC97" s="20">
        <f t="shared" si="79"/>
        <v>465.3032486556088</v>
      </c>
      <c r="GD97" s="59">
        <f t="shared" si="80"/>
        <v>745.54389647943196</v>
      </c>
      <c r="GE97" s="59">
        <f ca="1">AVERAGE(OFFSET($GD$3,0,0,'Données projet'!$E$17+1,1))-AVERAGE(OFFSET($H$3,0,0,'Données projet'!$E$17+1,1))</f>
        <v>317.79829681023142</v>
      </c>
      <c r="GF97" s="59">
        <f t="shared" si="104"/>
        <v>275.07716943523621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68.669919381962089</v>
      </c>
      <c r="GM97" s="21">
        <f>EXP(-LN(2)/25)*GM96+(1-EXP(-LN(2)/25))/(LN(2)/25)*Calculateur!GH97*Calculateur!GJ97*VLOOKUP('Données projet'!$B$17,Paramètres!$A$1:$I$89,3,0)*0.475*44/12</f>
        <v>21.804783705766653</v>
      </c>
      <c r="GN97" s="21">
        <f>EXP(-LN(2)/2)*GN96+(1-EXP(-LN(2)/2))/(LN(2)/2)*GH97*GK97*VLOOKUP('Données projet'!$B$17,Paramètres!$A$1:$I$89,3,0)*0.475*44/12</f>
        <v>0.51002584685682484</v>
      </c>
      <c r="GO97" s="21">
        <f t="shared" si="81"/>
        <v>90.984728934585561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66.429267588315412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>
        <f>GU97*VLOOKUP('Données projet'!$B$18,Paramètres!$A$1:$I$89,3,0)*VLOOKUP('Données projet'!$B$18,Paramètres!$A$1:$I$89,5,0)</f>
        <v>0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336.21787234885699</v>
      </c>
      <c r="HA97" s="59">
        <f t="shared" si="106"/>
        <v>315.36156736899113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130.8528766490389</v>
      </c>
      <c r="HH97" s="21">
        <f>EXP(-LN(2)/25)*HH96+(1-EXP(-LN(2)/25))/(LN(2)/25)*Calculateur!HC97*Calculateur!HE97*VLOOKUP('Données projet'!$B$18,Paramètres!$A$1:$I$89,3,0)*0.475*44/12</f>
        <v>28.494131875373967</v>
      </c>
      <c r="HI97" s="21">
        <f>EXP(-LN(2)/2)*HI96+(1-EXP(-LN(2)/2))/(LN(2)/2)*HC97*HF97*VLOOKUP('Données projet'!$B$18,Paramètres!$A$1:$I$89,3,0)*0.475*44/12</f>
        <v>9.7246973409088108E-3</v>
      </c>
      <c r="HJ97" s="22">
        <f t="shared" si="84"/>
        <v>159.35673322175379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3.7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13.566666666666668</v>
      </c>
      <c r="H98" s="67">
        <f t="shared" si="56"/>
        <v>202.4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66.491211812696392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289.53717948717991</v>
      </c>
      <c r="O98" s="13">
        <f>N98*VLOOKUP('Données projet'!$B$9,Paramètres!$A$1:$I$89,3,0)*VLOOKUP('Données projet'!$B$9,Paramètres!$A$1:$I$89,5,0)</f>
        <v>261.97324000000037</v>
      </c>
      <c r="P98" s="13">
        <f t="shared" si="87"/>
        <v>63.142807719765102</v>
      </c>
      <c r="Q98" s="20">
        <f t="shared" si="54"/>
        <v>566.24378311192481</v>
      </c>
      <c r="R98" s="59">
        <f t="shared" si="55"/>
        <v>846.71155975847819</v>
      </c>
      <c r="S98" s="59">
        <f ca="1">AVERAGE(OFFSET($R$3,0,0,'Données projet'!$E$9+1,1))-AVERAGE(OFFSET($H$3,0,0,'Données projet'!$E$9+1,1))</f>
        <v>411.64357329340851</v>
      </c>
      <c r="T98" s="59">
        <f t="shared" si="88"/>
        <v>294.07942258675632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37.546937316866654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37.546937316866654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66.491211812696392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7.1782051282051267</v>
      </c>
      <c r="AI98" s="13">
        <f>IF('Données projet'!$A$62&gt;35,AI97+AH98-AQ97,IF(A98&lt;'Données projet'!$A$62,$AF$205^A98,IF(A98='Données projet'!$A$62,'Données projet'!$B$62,AI97+AH98-AQ97)))</f>
        <v>289.53717948717991</v>
      </c>
      <c r="AJ98" s="13">
        <f>AI98*VLOOKUP('Données projet'!$B$10,Paramètres!$A$1:$I$89,3,0)*VLOOKUP('Données projet'!$B$10,Paramètres!$A$1:$I$89,5,0)</f>
        <v>293.59070000000042</v>
      </c>
      <c r="AK98" s="13">
        <f t="shared" si="89"/>
        <v>69.831143895049522</v>
      </c>
      <c r="AL98" s="20">
        <f t="shared" si="58"/>
        <v>632.95971145054534</v>
      </c>
      <c r="AM98" s="59">
        <f t="shared" si="59"/>
        <v>913.42748809709883</v>
      </c>
      <c r="AN98" s="59">
        <f ca="1">AVERAGE(OFFSET($AM$3,0,0,'Données projet'!$E$10+1,1))-AVERAGE(OFFSET($H$3,0,0,'Données projet'!$E$10+1,1))</f>
        <v>453.05577105995508</v>
      </c>
      <c r="AO98" s="59">
        <f t="shared" si="90"/>
        <v>322.6839824496758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42.078464234419556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42.078464234419556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66.491211812696392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182.59615384615387</v>
      </c>
      <c r="BB98" s="12">
        <f>VLOOKUP(A98,'Données projet'!$A$87:$I$107,9,0)</f>
        <v>4.6887464387464428</v>
      </c>
      <c r="BC98" s="12">
        <f t="array" ref="BC98">INDEX(BB:BB,MIN(IF(ISNUMBER(BB98:BB294),ROW(BB98:BB294),"")))</f>
        <v>4.6887464387464428</v>
      </c>
      <c r="BD98" s="12">
        <f>IF('Données projet'!$A$88&gt;35,BD97+BC98-BL97,IF(A98&lt;'Données projet'!$A$88,$BA$205^A98,IF(A98='Données projet'!$A$88,'Données projet'!$B$88,BD97+BC98-BL97)))</f>
        <v>182.59615384615395</v>
      </c>
      <c r="BE98" s="13">
        <f>BD98*VLOOKUP('Données projet'!$B$11,Paramètres!$A$1:$I$89,3,0)*VLOOKUP('Données projet'!$B$11,Paramètres!$A$1:$I$89,5,0)</f>
        <v>182.30400000000012</v>
      </c>
      <c r="BF98" s="13">
        <f t="shared" si="91"/>
        <v>45.834403659928206</v>
      </c>
      <c r="BG98" s="20">
        <f t="shared" si="61"/>
        <v>397.34105304104179</v>
      </c>
      <c r="BH98" s="59">
        <f t="shared" si="62"/>
        <v>677.80882968759522</v>
      </c>
      <c r="BI98" s="59">
        <f ca="1">AVERAGE(OFFSET($BH$3,0,0,'Données projet'!$E$11+1,1))-AVERAGE(OFFSET($H$3,0,0,'Données projet'!$E$11+1,1))</f>
        <v>411.38162678377478</v>
      </c>
      <c r="BJ98" s="59">
        <f t="shared" si="92"/>
        <v>177.89903563360403</v>
      </c>
      <c r="BK98" s="15">
        <f>IF(ISNA(VLOOKUP(A98,'Données projet'!$A$87:$I$107,3,0)),0,VLOOKUP(A98,'Données projet'!$A$87:$I$107,3,0))</f>
        <v>5</v>
      </c>
      <c r="BL98" s="15">
        <f>IF(ISNA(VLOOKUP(A98,'Données projet'!$A$87:$I$107,4,0)),0,VLOOKUP(A98,'Données projet'!$A$87:$I$107,4,0))</f>
        <v>30.634615384615383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66.491211812696392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219</v>
      </c>
      <c r="BW98" s="12">
        <f>VLOOKUP(A98,'Données projet'!$A$113:$I$133,9,0)</f>
        <v>2.8</v>
      </c>
      <c r="BX98" s="12">
        <f t="array" ref="BX98">INDEX(BW:BW,MIN(IF(ISNUMBER(BW98:BW294),ROW(BW98:BW294),"")))</f>
        <v>2.8</v>
      </c>
      <c r="BY98" s="12">
        <f>IF('Données projet'!$A$114&gt;35,BY97+BX98-CG97,IF(A98&lt;'Données projet'!$A$114,$BV$205^A98,IF(A98='Données projet'!$A$114,'Données projet'!$B$114,BY97+BX98-CG97)))</f>
        <v>219.00000000000009</v>
      </c>
      <c r="BZ98" s="13">
        <f>BY98*VLOOKUP('Données projet'!$B$12,Paramètres!$A$1:$I$89,3,0)*VLOOKUP('Données projet'!$B$12,Paramètres!$A$1:$I$89,5,0)</f>
        <v>228.89880000000014</v>
      </c>
      <c r="CA98" s="13">
        <f t="shared" si="93"/>
        <v>56.044509878204714</v>
      </c>
      <c r="CB98" s="20">
        <f t="shared" si="64"/>
        <v>496.2762647045401</v>
      </c>
      <c r="CC98" s="59">
        <f t="shared" si="65"/>
        <v>776.74404135109353</v>
      </c>
      <c r="CD98" s="59">
        <f ca="1">AVERAGE(OFFSET($CC$3,0,0,'Données projet'!$E$12+1,1))-AVERAGE(OFFSET($H$3,0,0,'Données projet'!$E$12+1,1))</f>
        <v>374.38550202939507</v>
      </c>
      <c r="CE98" s="59">
        <f t="shared" si="94"/>
        <v>324.37486924296718</v>
      </c>
      <c r="CF98" s="15">
        <f>IF(ISNA(VLOOKUP(A98,'Données projet'!$A$113:$I$133,3,0)),0,VLOOKUP(A98,'Données projet'!$A$113:$I$133,3,0))</f>
        <v>16</v>
      </c>
      <c r="CG98" s="15" t="str">
        <f>IF(ISNA(VLOOKUP(A98,'Données projet'!$A$113:$I$133,4,0)),0,VLOOKUP(A98,'Données projet'!$A$113:$I$133,4,0))</f>
        <v>11</v>
      </c>
      <c r="CH98" s="16">
        <f>IF(ISNA(VLOOKUP(A98,'Données projet'!$A$113:$I$133,5,0)),0%,VLOOKUP(A98,'Données projet'!$A$113:$I$133,5,0)*VLOOKUP('Données projet'!$B$12,Paramètres!$A$1:$I$89,7,0))</f>
        <v>0.215</v>
      </c>
      <c r="CI98" s="16">
        <f>IF(ISNA(VLOOKUP(A98,'Données projet'!$A$113:$I$133,6,0)),0%,VLOOKUP(A98,'Données projet'!$A$113:$I$133,6,0)*VLOOKUP('Données projet'!$B$12,Paramètres!$A$1:$I$89,7,0))</f>
        <v>0.17200000000000001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16.710958717061267</v>
      </c>
      <c r="CL98" s="21">
        <f>EXP(-LN(2)/25)*CL97+(1-EXP(-LN(2)/25))/(LN(2)/25)*Calculateur!CG98*Calculateur!CI98*VLOOKUP('Données projet'!$B$12,Paramètres!$A$1:$I$89,3,0)*0.475*44/12</f>
        <v>16.721733380096424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33.432692097157691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66.491211812696392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5.2583333333333373</v>
      </c>
      <c r="CT98" s="12">
        <f>IF('Données projet'!$A$140&gt;35,CT97+CS98-DB97,IF(A98&lt;'Données projet'!$A$140,$CQ$205^A98,IF(A98='Données projet'!$A$140,'Données projet'!$B$140,CT97+CS98-DB97)))</f>
        <v>192.70256410256385</v>
      </c>
      <c r="CU98" s="17">
        <f>CT98*VLOOKUP('Données projet'!$B$13,Paramètres!$A$1:$I$89,3,0)*VLOOKUP('Données projet'!$B$13,Paramètres!$A$1:$I$89,5,0)</f>
        <v>183.37575999999976</v>
      </c>
      <c r="CV98" s="13">
        <f t="shared" si="95"/>
        <v>46.072416475172908</v>
      </c>
      <c r="CW98" s="20">
        <f t="shared" si="67"/>
        <v>399.62224069425901</v>
      </c>
      <c r="CX98" s="59">
        <f t="shared" si="68"/>
        <v>680.09001734081244</v>
      </c>
      <c r="CY98" s="59">
        <f ca="1">AVERAGE(OFFSET($CX$3,0,0,'Données projet'!$E$13+1,1))-AVERAGE(OFFSET($H$3,0,0,'Données projet'!$E$13+1,1))</f>
        <v>392.81074187112989</v>
      </c>
      <c r="CZ98" s="59">
        <f t="shared" si="96"/>
        <v>236.19146849073687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24.677841215222994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24.677841215222994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66.491211812696392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5.2583333333333373</v>
      </c>
      <c r="DO98" s="12">
        <f>IF('Données projet'!$A$166&gt;35,DO97+DN98-DW97,IF(A98&lt;'Données projet'!$A$166,$DL$205^A98,IF(A98='Données projet'!$A$166,'Données projet'!$B$166,DO97+DN98-DW97)))</f>
        <v>192.70256410256385</v>
      </c>
      <c r="DP98" s="17">
        <f>DO98*VLOOKUP('Données projet'!$B$14,Paramètres!$A$1:$I$89,3,0)*VLOOKUP('Données projet'!$B$14,Paramètres!$A$1:$I$89,5,0)</f>
        <v>207.42503999999971</v>
      </c>
      <c r="DQ98" s="13">
        <f t="shared" si="97"/>
        <v>51.372488752983891</v>
      </c>
      <c r="DR98" s="20">
        <f t="shared" si="70"/>
        <v>450.73902924477983</v>
      </c>
      <c r="DS98" s="59">
        <f t="shared" si="71"/>
        <v>731.20680589133326</v>
      </c>
      <c r="DT98" s="59">
        <f ca="1">AVERAGE(OFFSET($DS$3,0,0,'Données projet'!$E$14+1,1))-AVERAGE(OFFSET($H$3,0,0,'Données projet'!$E$14+1,1))</f>
        <v>434.77799524785502</v>
      </c>
      <c r="DU98" s="59">
        <f t="shared" si="98"/>
        <v>259.85949838170006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27.914279407383386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27.914279407383386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66.491211812696392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5.2583333333333373</v>
      </c>
      <c r="EJ98" s="12">
        <f>IF('Données projet'!$A$192&gt;35,EJ97+EI98-ER97,IF(A98&lt;'Données projet'!$A$192,$EG$205^A98,IF(A98='Données projet'!$A$192,'Données projet'!$B$192,EJ97+EI98-ER97)))</f>
        <v>192.70256410256385</v>
      </c>
      <c r="EK98" s="17">
        <f>EJ98*VLOOKUP('Données projet'!$B$15,Paramètres!$A$1:$I$89,3,0)*VLOOKUP('Données projet'!$B$15,Paramètres!$A$1:$I$89,5,0)</f>
        <v>186.38191999999978</v>
      </c>
      <c r="EL98" s="13">
        <f t="shared" si="99"/>
        <v>46.739153871297241</v>
      </c>
      <c r="EM98" s="20">
        <f t="shared" si="73"/>
        <v>406.01920365917562</v>
      </c>
      <c r="EN98" s="59">
        <f t="shared" si="74"/>
        <v>686.48698030572905</v>
      </c>
      <c r="EO98" s="59">
        <f ca="1">AVERAGE(OFFSET($EN$3,0,0,'Données projet'!$E$15+1,1))-AVERAGE(OFFSET($H$3,0,0,'Données projet'!$E$15+1,1))</f>
        <v>398.06270423055565</v>
      </c>
      <c r="EP98" s="59">
        <f t="shared" si="100"/>
        <v>239.15364562040614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25.082395989243054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25.082395989243054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66.491211812696392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-1.7053025658242404E-13</v>
      </c>
      <c r="FF98" s="17">
        <f>FE98*VLOOKUP('Données projet'!$B$16,Paramètres!$A$1:$I$89,3,0)*VLOOKUP('Données projet'!$B$16,Paramètres!$A$1:$I$89,5,0)</f>
        <v>-1.0197709343628959E-13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334.13861979962491</v>
      </c>
      <c r="FK98" s="59">
        <f t="shared" si="102"/>
        <v>416.48635183664305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75.222681864744686</v>
      </c>
      <c r="FR98" s="21">
        <f>EXP(-LN(2)/25)*FR97+(1-EXP(-LN(2)/25))/(LN(2)/25)*Calculateur!FM98*Calculateur!FO98*VLOOKUP('Données projet'!$B$16,Paramètres!$A$1:$I$89,3,0)*0.475*44/12</f>
        <v>14.990673709625154</v>
      </c>
      <c r="FS98" s="21">
        <f>EXP(-LN(2)/2)*FS97+(1-EXP(-LN(2)/2))/(LN(2)/2)*FM98*FP98*VLOOKUP('Données projet'!$B$16,Paramètres!$A$1:$I$89,3,0)*0.475*44/12</f>
        <v>5.4496038240050681E-5</v>
      </c>
      <c r="FT98" s="22">
        <f t="shared" si="78"/>
        <v>90.213410070408088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66.491211812696392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>
        <f>VLOOKUP(A98,'Données projet'!$A$243:$I$263,2,0)</f>
        <v>469.12307692307689</v>
      </c>
      <c r="FX98" s="12">
        <f>VLOOKUP(A98,'Données projet'!$A$243:$I$263,9,0)</f>
        <v>11.242307692307691</v>
      </c>
      <c r="FY98" s="12">
        <f t="array" ref="FY98">INDEX(FX:FX,MIN(IF(ISNUMBER(FX98:FX294),ROW(FX98:FX294),"")))</f>
        <v>11.242307692307691</v>
      </c>
      <c r="FZ98" s="12">
        <f>IF('Données projet'!$A$244&gt;35,FZ97+FY98-GH97,IF(A98&lt;'Données projet'!$A$244,$FW$205^A98,IF(A98='Données projet'!$A$244,'Données projet'!$B$244,FZ97+FY98-GH97)))</f>
        <v>469.12307692307712</v>
      </c>
      <c r="GA98" s="17">
        <f>FZ98*VLOOKUP('Données projet'!$B$17,Paramètres!$A$1:$I$89,3,0)*VLOOKUP('Données projet'!$B$17,Paramètres!$A$1:$I$89,5,0)</f>
        <v>219.54960000000008</v>
      </c>
      <c r="GB98" s="13">
        <f t="shared" si="103"/>
        <v>54.016981833057052</v>
      </c>
      <c r="GC98" s="20">
        <f t="shared" si="79"/>
        <v>476.46179669257441</v>
      </c>
      <c r="GD98" s="59">
        <f t="shared" si="80"/>
        <v>756.92957333912784</v>
      </c>
      <c r="GE98" s="59">
        <f ca="1">AVERAGE(OFFSET($GD$3,0,0,'Données projet'!$E$17+1,1))-AVERAGE(OFFSET($H$3,0,0,'Données projet'!$E$17+1,1))</f>
        <v>317.79829681023142</v>
      </c>
      <c r="GF98" s="59">
        <f t="shared" si="104"/>
        <v>275.07716943523621</v>
      </c>
      <c r="GG98" s="15">
        <f>IF(ISNA(VLOOKUP(A98,'Données projet'!$A$243:$I$263,3,0)),0,VLOOKUP(A98,'Données projet'!$A$243:$I$263,3,0))</f>
        <v>8</v>
      </c>
      <c r="GH98" s="15">
        <f>IF(ISNA(VLOOKUP(A98,'Données projet'!$A$243:$I$263,4,0)),0,VLOOKUP(A98,'Données projet'!$A$243:$I$263,4,0))</f>
        <v>234.42307692307691</v>
      </c>
      <c r="GI98" s="16">
        <f>IF(ISNA(VLOOKUP(A98,'Données projet'!$A$243:$I$263,5,0)),0%,VLOOKUP(A98,'Données projet'!$A$243:$I$263,5,0)*VLOOKUP('Données projet'!$B$17,Paramètres!$A$1:$I$89,7,0))</f>
        <v>0.38500000000000001</v>
      </c>
      <c r="GJ98" s="16">
        <f>IF(ISNA(VLOOKUP(A98,'Données projet'!$A$243:$I$263,6,0)),0%,VLOOKUP(A98,'Données projet'!$A$243:$I$263,6,0)*VLOOKUP('Données projet'!$B$17,Paramètres!$A$1:$I$89,7,0))</f>
        <v>9.240000000000001E-2</v>
      </c>
      <c r="GK98" s="16">
        <f>IF(ISNA(VLOOKUP(A98,'Données projet'!$A$243:$I$263,7,0)),0%,VLOOKUP(A98,'Données projet'!$A$243:$I$263,7,0))</f>
        <v>0.13200000000000001</v>
      </c>
      <c r="GL98" s="21">
        <f>EXP(-LN(2)/35)*GL97+(1-EXP(-LN(2)/35))/(LN(2)/35)*GH98*GI98*VLOOKUP('Données projet'!$B$17,Paramètres!$A$1:$I$89,3,0)*0.475*44/12</f>
        <v>123.35523791381158</v>
      </c>
      <c r="GM98" s="21">
        <f>EXP(-LN(2)/25)*GM97+(1-EXP(-LN(2)/25))/(LN(2)/25)*Calculateur!GH98*Calculateur!GJ98*VLOOKUP('Données projet'!$B$17,Paramètres!$A$1:$I$89,3,0)*0.475*44/12</f>
        <v>34.603236712868167</v>
      </c>
      <c r="GN98" s="21">
        <f>EXP(-LN(2)/2)*GN97+(1-EXP(-LN(2)/2))/(LN(2)/2)*GH98*GK98*VLOOKUP('Données projet'!$B$17,Paramètres!$A$1:$I$89,3,0)*0.475*44/12</f>
        <v>16.757313842627845</v>
      </c>
      <c r="GO98" s="21">
        <f t="shared" si="81"/>
        <v>174.71578846930757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66.491211812696392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>
        <f>GU98*VLOOKUP('Données projet'!$B$18,Paramètres!$A$1:$I$89,3,0)*VLOOKUP('Données projet'!$B$18,Paramètres!$A$1:$I$89,5,0)</f>
        <v>0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336.21787234885699</v>
      </c>
      <c r="HA98" s="59">
        <f t="shared" si="106"/>
        <v>315.36156736899113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128.28693155032519</v>
      </c>
      <c r="HH98" s="21">
        <f>EXP(-LN(2)/25)*HH97+(1-EXP(-LN(2)/25))/(LN(2)/25)*Calculateur!HC98*Calculateur!HE98*VLOOKUP('Données projet'!$B$18,Paramètres!$A$1:$I$89,3,0)*0.475*44/12</f>
        <v>27.714958340800596</v>
      </c>
      <c r="HI98" s="21">
        <f>EXP(-LN(2)/2)*HI97+(1-EXP(-LN(2)/2))/(LN(2)/2)*HC98*HF98*VLOOKUP('Données projet'!$B$18,Paramètres!$A$1:$I$89,3,0)*0.475*44/12</f>
        <v>6.8763994347434071E-3</v>
      </c>
      <c r="HJ98" s="22">
        <f t="shared" si="84"/>
        <v>156.00876629056052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3.7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13.566666666666668</v>
      </c>
      <c r="H99" s="67">
        <f t="shared" si="56"/>
        <v>202.4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66.552081443270907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296.71538461538506</v>
      </c>
      <c r="O99" s="13">
        <f>N99*VLOOKUP('Données projet'!$B$9,Paramètres!$A$1:$I$89,3,0)*VLOOKUP('Données projet'!$B$9,Paramètres!$A$1:$I$89,5,0)</f>
        <v>268.46808000000038</v>
      </c>
      <c r="P99" s="13">
        <f t="shared" si="87"/>
        <v>64.524049616897415</v>
      </c>
      <c r="Q99" s="20">
        <f t="shared" ref="Q99:Q130" si="107">(O99+P99)*0.475*44/12</f>
        <v>579.96129241609697</v>
      </c>
      <c r="R99" s="59">
        <f t="shared" si="55"/>
        <v>860.65225770809025</v>
      </c>
      <c r="S99" s="59">
        <f ca="1">AVERAGE(OFFSET($R$3,0,0,'Données projet'!$E$9+1,1))-AVERAGE(OFFSET($H$3,0,0,'Données projet'!$E$9+1,1))</f>
        <v>411.64357329340851</v>
      </c>
      <c r="T99" s="59">
        <f t="shared" si="88"/>
        <v>294.07942258675632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36.81066477745334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36.81066477745334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66.552081443270907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7.1782051282051267</v>
      </c>
      <c r="AI99" s="13">
        <f>IF('Données projet'!$A$62&gt;35,AI98+AH99-AQ98,IF(A99&lt;'Données projet'!$A$62,$AF$205^A99,IF(A99='Données projet'!$A$62,'Données projet'!$B$62,AI98+AH99-AQ98)))</f>
        <v>296.71538461538506</v>
      </c>
      <c r="AJ99" s="13">
        <f>AI99*VLOOKUP('Données projet'!$B$10,Paramètres!$A$1:$I$89,3,0)*VLOOKUP('Données projet'!$B$10,Paramètres!$A$1:$I$89,5,0)</f>
        <v>300.8694000000005</v>
      </c>
      <c r="AK99" s="13">
        <f t="shared" si="89"/>
        <v>71.35869240224595</v>
      </c>
      <c r="AL99" s="20">
        <f t="shared" si="58"/>
        <v>648.29726093391253</v>
      </c>
      <c r="AM99" s="59">
        <f t="shared" si="59"/>
        <v>928.98822622590592</v>
      </c>
      <c r="AN99" s="59">
        <f ca="1">AVERAGE(OFFSET($AM$3,0,0,'Données projet'!$E$10+1,1))-AVERAGE(OFFSET($H$3,0,0,'Données projet'!$E$10+1,1))</f>
        <v>453.05577105995508</v>
      </c>
      <c r="AO99" s="59">
        <f t="shared" si="90"/>
        <v>322.6839824496758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41.253331216111533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41.253331216111533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66.552081443270907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4.6794871794871762</v>
      </c>
      <c r="BD99" s="12">
        <f>IF('Données projet'!$A$88&gt;35,BD98+BC99-BL98,IF(A99&lt;'Données projet'!$A$88,$BA$205^A99,IF(A99='Données projet'!$A$88,'Données projet'!$B$88,BD98+BC99-BL98)))</f>
        <v>156.64102564102575</v>
      </c>
      <c r="BE99" s="13">
        <f>BD99*VLOOKUP('Données projet'!$B$11,Paramètres!$A$1:$I$89,3,0)*VLOOKUP('Données projet'!$B$11,Paramètres!$A$1:$I$89,5,0)</f>
        <v>156.39040000000011</v>
      </c>
      <c r="BF99" s="13">
        <f t="shared" si="91"/>
        <v>40.027281988543329</v>
      </c>
      <c r="BG99" s="20">
        <f t="shared" si="61"/>
        <v>342.09412946337983</v>
      </c>
      <c r="BH99" s="59">
        <f t="shared" si="62"/>
        <v>622.78509475537317</v>
      </c>
      <c r="BI99" s="59">
        <f ca="1">AVERAGE(OFFSET($BH$3,0,0,'Données projet'!$E$11+1,1))-AVERAGE(OFFSET($H$3,0,0,'Données projet'!$E$11+1,1))</f>
        <v>411.38162678377478</v>
      </c>
      <c r="BJ99" s="59">
        <f t="shared" si="92"/>
        <v>177.89903563360403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66.552081443270907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</v>
      </c>
      <c r="BY99" s="12">
        <f>IF('Données projet'!$A$114&gt;35,BY98+BX99-CG98,IF(A99&lt;'Données projet'!$A$114,$BV$205^A99,IF(A99='Données projet'!$A$114,'Données projet'!$B$114,BY98+BX99-CG98)))</f>
        <v>211.00000000000009</v>
      </c>
      <c r="BZ99" s="13">
        <f>BY99*VLOOKUP('Données projet'!$B$12,Paramètres!$A$1:$I$89,3,0)*VLOOKUP('Données projet'!$B$12,Paramètres!$A$1:$I$89,5,0)</f>
        <v>220.5372000000001</v>
      </c>
      <c r="CA99" s="13">
        <f t="shared" si="93"/>
        <v>54.231626908561452</v>
      </c>
      <c r="CB99" s="20">
        <f t="shared" si="64"/>
        <v>478.55570686574464</v>
      </c>
      <c r="CC99" s="59">
        <f t="shared" si="65"/>
        <v>759.24667215773798</v>
      </c>
      <c r="CD99" s="59">
        <f ca="1">AVERAGE(OFFSET($CC$3,0,0,'Données projet'!$E$12+1,1))-AVERAGE(OFFSET($H$3,0,0,'Données projet'!$E$12+1,1))</f>
        <v>374.38550202939507</v>
      </c>
      <c r="CE99" s="59">
        <f t="shared" si="94"/>
        <v>324.37486924296718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16.38326700929807</v>
      </c>
      <c r="CL99" s="21">
        <f>EXP(-LN(2)/25)*CL98+(1-EXP(-LN(2)/25))/(LN(2)/25)*Calculateur!CG99*Calculateur!CI99*VLOOKUP('Données projet'!$B$12,Paramètres!$A$1:$I$89,3,0)*0.475*44/12</f>
        <v>16.264476701459948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32.647743710758022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66.552081443270907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5.2583333333333373</v>
      </c>
      <c r="CT99" s="12">
        <f>IF('Données projet'!$A$140&gt;35,CT98+CS99-DB98,IF(A99&lt;'Données projet'!$A$140,$CQ$205^A99,IF(A99='Données projet'!$A$140,'Données projet'!$B$140,CT98+CS99-DB98)))</f>
        <v>197.96089743589718</v>
      </c>
      <c r="CU99" s="17">
        <f>CT99*VLOOKUP('Données projet'!$B$13,Paramètres!$A$1:$I$89,3,0)*VLOOKUP('Données projet'!$B$13,Paramètres!$A$1:$I$89,5,0)</f>
        <v>188.37958999999975</v>
      </c>
      <c r="CV99" s="13">
        <f t="shared" si="95"/>
        <v>47.181524820464901</v>
      </c>
      <c r="CW99" s="20">
        <f t="shared" si="67"/>
        <v>410.26894164564254</v>
      </c>
      <c r="CX99" s="59">
        <f t="shared" si="68"/>
        <v>690.95990693763588</v>
      </c>
      <c r="CY99" s="59">
        <f ca="1">AVERAGE(OFFSET($CX$3,0,0,'Données projet'!$E$13+1,1))-AVERAGE(OFFSET($H$3,0,0,'Données projet'!$E$13+1,1))</f>
        <v>392.81074187112989</v>
      </c>
      <c r="CZ99" s="59">
        <f t="shared" si="96"/>
        <v>236.19146849073687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24.193923800989353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24.193923800989353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66.552081443270907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5.2583333333333373</v>
      </c>
      <c r="DO99" s="12">
        <f>IF('Données projet'!$A$166&gt;35,DO98+DN99-DW98,IF(A99&lt;'Données projet'!$A$166,$DL$205^A99,IF(A99='Données projet'!$A$166,'Données projet'!$B$166,DO98+DN99-DW98)))</f>
        <v>197.96089743589718</v>
      </c>
      <c r="DP99" s="17">
        <f>DO99*VLOOKUP('Données projet'!$B$14,Paramètres!$A$1:$I$89,3,0)*VLOOKUP('Données projet'!$B$14,Paramètres!$A$1:$I$89,5,0)</f>
        <v>213.08510999999973</v>
      </c>
      <c r="DQ99" s="13">
        <f t="shared" si="97"/>
        <v>52.609186550787896</v>
      </c>
      <c r="DR99" s="20">
        <f t="shared" si="70"/>
        <v>462.75089982595506</v>
      </c>
      <c r="DS99" s="59">
        <f t="shared" si="71"/>
        <v>743.4418651179484</v>
      </c>
      <c r="DT99" s="59">
        <f ca="1">AVERAGE(OFFSET($DS$3,0,0,'Données projet'!$E$14+1,1))-AVERAGE(OFFSET($H$3,0,0,'Données projet'!$E$14+1,1))</f>
        <v>434.77799524785502</v>
      </c>
      <c r="DU99" s="59">
        <f t="shared" si="98"/>
        <v>259.85949838170006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27.366897414233854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27.366897414233854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66.552081443270907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5.2583333333333373</v>
      </c>
      <c r="EJ99" s="12">
        <f>IF('Données projet'!$A$192&gt;35,EJ98+EI99-ER98,IF(A99&lt;'Données projet'!$A$192,$EG$205^A99,IF(A99='Données projet'!$A$192,'Données projet'!$B$192,EJ98+EI99-ER98)))</f>
        <v>197.96089743589718</v>
      </c>
      <c r="EK99" s="17">
        <f>EJ99*VLOOKUP('Données projet'!$B$15,Paramètres!$A$1:$I$89,3,0)*VLOOKUP('Données projet'!$B$15,Paramètres!$A$1:$I$89,5,0)</f>
        <v>191.46777999999978</v>
      </c>
      <c r="EL99" s="13">
        <f t="shared" si="99"/>
        <v>47.864312688145425</v>
      </c>
      <c r="EM99" s="20">
        <f t="shared" si="73"/>
        <v>416.83672809851947</v>
      </c>
      <c r="EN99" s="59">
        <f t="shared" si="74"/>
        <v>697.52769339051281</v>
      </c>
      <c r="EO99" s="59">
        <f ca="1">AVERAGE(OFFSET($EN$3,0,0,'Données projet'!$E$15+1,1))-AVERAGE(OFFSET($H$3,0,0,'Données projet'!$E$15+1,1))</f>
        <v>398.06270423055565</v>
      </c>
      <c r="EP99" s="59">
        <f t="shared" si="100"/>
        <v>239.15364562040614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24.590545502644925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24.590545502644925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66.552081443270907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-1.7053025658242404E-13</v>
      </c>
      <c r="FF99" s="17">
        <f>FE99*VLOOKUP('Données projet'!$B$16,Paramètres!$A$1:$I$89,3,0)*VLOOKUP('Données projet'!$B$16,Paramètres!$A$1:$I$89,5,0)</f>
        <v>-1.0197709343628959E-13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334.13861979962491</v>
      </c>
      <c r="FK99" s="59">
        <f t="shared" si="102"/>
        <v>416.48635183664305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73.747610954682571</v>
      </c>
      <c r="FR99" s="21">
        <f>EXP(-LN(2)/25)*FR98+(1-EXP(-LN(2)/25))/(LN(2)/25)*Calculateur!FM99*Calculateur!FO99*VLOOKUP('Données projet'!$B$16,Paramètres!$A$1:$I$89,3,0)*0.475*44/12</f>
        <v>14.580752948710186</v>
      </c>
      <c r="FS99" s="21">
        <f>EXP(-LN(2)/2)*FS98+(1-EXP(-LN(2)/2))/(LN(2)/2)*FM99*FP99*VLOOKUP('Données projet'!$B$16,Paramètres!$A$1:$I$89,3,0)*0.475*44/12</f>
        <v>3.8534518187341243E-5</v>
      </c>
      <c r="FT99" s="22">
        <f t="shared" si="78"/>
        <v>88.328402437910938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66.552081443270907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7.5015384615384617</v>
      </c>
      <c r="FZ99" s="12">
        <f>IF('Données projet'!$A$244&gt;35,FZ98+FY99-GH98,IF(A99&lt;'Données projet'!$A$244,$FW$205^A99,IF(A99='Données projet'!$A$244,'Données projet'!$B$244,FZ98+FY99-GH98)))</f>
        <v>242.20153846153869</v>
      </c>
      <c r="GA99" s="17">
        <f>FZ99*VLOOKUP('Données projet'!$B$17,Paramètres!$A$1:$I$89,3,0)*VLOOKUP('Données projet'!$B$17,Paramètres!$A$1:$I$89,5,0)</f>
        <v>113.35032000000011</v>
      </c>
      <c r="GB99" s="13">
        <f t="shared" si="103"/>
        <v>30.118962463528121</v>
      </c>
      <c r="GC99" s="20">
        <f t="shared" si="79"/>
        <v>249.87566695731167</v>
      </c>
      <c r="GD99" s="59">
        <f t="shared" si="80"/>
        <v>530.56663224930503</v>
      </c>
      <c r="GE99" s="59">
        <f ca="1">AVERAGE(OFFSET($GD$3,0,0,'Données projet'!$E$17+1,1))-AVERAGE(OFFSET($H$3,0,0,'Données projet'!$E$17+1,1))</f>
        <v>317.79829681023142</v>
      </c>
      <c r="GF99" s="59">
        <f t="shared" si="104"/>
        <v>275.07716943523621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120.93631693758761</v>
      </c>
      <c r="GM99" s="21">
        <f>EXP(-LN(2)/25)*GM98+(1-EXP(-LN(2)/25))/(LN(2)/25)*Calculateur!GH99*Calculateur!GJ99*VLOOKUP('Données projet'!$B$17,Paramètres!$A$1:$I$89,3,0)*0.475*44/12</f>
        <v>33.657009385249658</v>
      </c>
      <c r="GN99" s="21">
        <f>EXP(-LN(2)/2)*GN98+(1-EXP(-LN(2)/2))/(LN(2)/2)*GH99*GK99*VLOOKUP('Données projet'!$B$17,Paramètres!$A$1:$I$89,3,0)*0.475*44/12</f>
        <v>11.849210252593352</v>
      </c>
      <c r="GO99" s="21">
        <f t="shared" si="81"/>
        <v>166.44253657543061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66.552081443270907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>
        <f>GU99*VLOOKUP('Données projet'!$B$18,Paramètres!$A$1:$I$89,3,0)*VLOOKUP('Données projet'!$B$18,Paramètres!$A$1:$I$89,5,0)</f>
        <v>0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336.21787234885699</v>
      </c>
      <c r="HA99" s="59">
        <f t="shared" si="106"/>
        <v>315.36156736899113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125.77130306992528</v>
      </c>
      <c r="HH99" s="21">
        <f>EXP(-LN(2)/25)*HH98+(1-EXP(-LN(2)/25))/(LN(2)/25)*Calculateur!HC99*Calculateur!HE99*VLOOKUP('Données projet'!$B$18,Paramètres!$A$1:$I$89,3,0)*0.475*44/12</f>
        <v>26.957091347505088</v>
      </c>
      <c r="HI99" s="21">
        <f>EXP(-LN(2)/2)*HI98+(1-EXP(-LN(2)/2))/(LN(2)/2)*HC99*HF99*VLOOKUP('Données projet'!$B$18,Paramètres!$A$1:$I$89,3,0)*0.475*44/12</f>
        <v>4.8623486704544054E-3</v>
      </c>
      <c r="HJ99" s="22">
        <f t="shared" si="84"/>
        <v>152.73325676610082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3.7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13.566666666666668</v>
      </c>
      <c r="H100" s="67">
        <f t="shared" si="56"/>
        <v>202.4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66.611895121839069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303.89358974359021</v>
      </c>
      <c r="O100" s="13">
        <f>N100*VLOOKUP('Données projet'!$B$9,Paramètres!$A$1:$I$89,3,0)*VLOOKUP('Données projet'!$B$9,Paramètres!$A$1:$I$89,5,0)</f>
        <v>274.96292000000045</v>
      </c>
      <c r="P100" s="13">
        <f t="shared" si="87"/>
        <v>65.901407042348566</v>
      </c>
      <c r="Q100" s="20">
        <f t="shared" si="107"/>
        <v>593.67203626542459</v>
      </c>
      <c r="R100" s="59">
        <f t="shared" si="55"/>
        <v>874.58231837883454</v>
      </c>
      <c r="S100" s="59">
        <f ca="1">AVERAGE(OFFSET($R$3,0,0,'Données projet'!$E$9+1,1))-AVERAGE(OFFSET($H$3,0,0,'Données projet'!$E$9+1,1))</f>
        <v>411.64357329340851</v>
      </c>
      <c r="T100" s="59">
        <f t="shared" si="88"/>
        <v>294.07942258675632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36.088830093456018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36.088830093456018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66.611895121839069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7.1782051282051267</v>
      </c>
      <c r="AI100" s="13">
        <f>IF('Données projet'!$A$62&gt;35,AI99+AH100-AQ99,IF(A100&lt;'Données projet'!$A$62,$AF$205^A100,IF(A100='Données projet'!$A$62,'Données projet'!$B$62,AI99+AH100-AQ99)))</f>
        <v>303.89358974359021</v>
      </c>
      <c r="AJ100" s="13">
        <f>AI100*VLOOKUP('Données projet'!$B$10,Paramètres!$A$1:$I$89,3,0)*VLOOKUP('Données projet'!$B$10,Paramètres!$A$1:$I$89,5,0)</f>
        <v>308.14810000000051</v>
      </c>
      <c r="AK100" s="13">
        <f t="shared" si="89"/>
        <v>72.881944979142219</v>
      </c>
      <c r="AL100" s="20">
        <f t="shared" si="58"/>
        <v>663.62732833867358</v>
      </c>
      <c r="AM100" s="59">
        <f t="shared" si="59"/>
        <v>944.53761045208353</v>
      </c>
      <c r="AN100" s="59">
        <f ca="1">AVERAGE(OFFSET($AM$3,0,0,'Données projet'!$E$10+1,1))-AVERAGE(OFFSET($H$3,0,0,'Données projet'!$E$10+1,1))</f>
        <v>453.05577105995508</v>
      </c>
      <c r="AO100" s="59">
        <f t="shared" si="90"/>
        <v>322.6839824496758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40.444378553011084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40.444378553011084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66.611895121839069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4.6794871794871762</v>
      </c>
      <c r="BD100" s="12">
        <f>IF('Données projet'!$A$88&gt;35,BD99+BC100-BL99,IF(A100&lt;'Données projet'!$A$88,$BA$205^A100,IF(A100='Données projet'!$A$88,'Données projet'!$B$88,BD99+BC100-BL99)))</f>
        <v>161.32051282051293</v>
      </c>
      <c r="BE100" s="13">
        <f>BD100*VLOOKUP('Données projet'!$B$11,Paramètres!$A$1:$I$89,3,0)*VLOOKUP('Données projet'!$B$11,Paramètres!$A$1:$I$89,5,0)</f>
        <v>161.06240000000014</v>
      </c>
      <c r="BF100" s="13">
        <f t="shared" si="91"/>
        <v>41.082050316742759</v>
      </c>
      <c r="BG100" s="20">
        <f t="shared" si="61"/>
        <v>352.06825096832722</v>
      </c>
      <c r="BH100" s="59">
        <f t="shared" si="62"/>
        <v>632.97853308173717</v>
      </c>
      <c r="BI100" s="59">
        <f ca="1">AVERAGE(OFFSET($BH$3,0,0,'Données projet'!$E$11+1,1))-AVERAGE(OFFSET($H$3,0,0,'Données projet'!$E$11+1,1))</f>
        <v>411.38162678377478</v>
      </c>
      <c r="BJ100" s="59">
        <f t="shared" si="92"/>
        <v>177.89903563360403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66.611895121839069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</v>
      </c>
      <c r="BY100" s="12">
        <f>IF('Données projet'!$A$114&gt;35,BY99+BX100-CG99,IF(A100&lt;'Données projet'!$A$114,$BV$205^A100,IF(A100='Données projet'!$A$114,'Données projet'!$B$114,BY99+BX100-CG99)))</f>
        <v>214.00000000000009</v>
      </c>
      <c r="BZ100" s="13">
        <f>BY100*VLOOKUP('Données projet'!$B$12,Paramètres!$A$1:$I$89,3,0)*VLOOKUP('Données projet'!$B$12,Paramètres!$A$1:$I$89,5,0)</f>
        <v>223.67280000000008</v>
      </c>
      <c r="CA100" s="13">
        <f t="shared" si="93"/>
        <v>54.91237981823884</v>
      </c>
      <c r="CB100" s="20">
        <f t="shared" si="64"/>
        <v>485.20252151676618</v>
      </c>
      <c r="CC100" s="59">
        <f t="shared" si="65"/>
        <v>766.11280363017613</v>
      </c>
      <c r="CD100" s="59">
        <f ca="1">AVERAGE(OFFSET($CC$3,0,0,'Données projet'!$E$12+1,1))-AVERAGE(OFFSET($H$3,0,0,'Données projet'!$E$12+1,1))</f>
        <v>374.38550202939507</v>
      </c>
      <c r="CE100" s="59">
        <f t="shared" si="94"/>
        <v>324.37486924296718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16.062001136051904</v>
      </c>
      <c r="CL100" s="21">
        <f>EXP(-LN(2)/25)*CL99+(1-EXP(-LN(2)/25))/(LN(2)/25)*Calculateur!CG100*Calculateur!CI100*VLOOKUP('Données projet'!$B$12,Paramètres!$A$1:$I$89,3,0)*0.475*44/12</f>
        <v>15.819723730746869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31.881724866798773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66.611895121839069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5.2583333333333373</v>
      </c>
      <c r="CT100" s="12">
        <f>IF('Données projet'!$A$140&gt;35,CT99+CS100-DB99,IF(A100&lt;'Données projet'!$A$140,$CQ$205^A100,IF(A100='Données projet'!$A$140,'Données projet'!$B$140,CT99+CS100-DB99)))</f>
        <v>203.21923076923051</v>
      </c>
      <c r="CU100" s="17">
        <f>CT100*VLOOKUP('Données projet'!$B$13,Paramètres!$A$1:$I$89,3,0)*VLOOKUP('Données projet'!$B$13,Paramètres!$A$1:$I$89,5,0)</f>
        <v>193.38341999999975</v>
      </c>
      <c r="CV100" s="13">
        <f t="shared" si="95"/>
        <v>48.287208813717676</v>
      </c>
      <c r="CW100" s="20">
        <f t="shared" si="67"/>
        <v>420.90967851722456</v>
      </c>
      <c r="CX100" s="59">
        <f t="shared" si="68"/>
        <v>701.81996063063445</v>
      </c>
      <c r="CY100" s="59">
        <f ca="1">AVERAGE(OFFSET($CX$3,0,0,'Données projet'!$E$13+1,1))-AVERAGE(OFFSET($H$3,0,0,'Données projet'!$E$13+1,1))</f>
        <v>392.81074187112989</v>
      </c>
      <c r="CZ100" s="59">
        <f t="shared" si="96"/>
        <v>236.19146849073687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23.719495712088353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23.719495712088353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66.611895121839069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5.2583333333333373</v>
      </c>
      <c r="DO100" s="12">
        <f>IF('Données projet'!$A$166&gt;35,DO99+DN100-DW99,IF(A100&lt;'Données projet'!$A$166,$DL$205^A100,IF(A100='Données projet'!$A$166,'Données projet'!$B$166,DO99+DN100-DW99)))</f>
        <v>203.21923076923051</v>
      </c>
      <c r="DP100" s="17">
        <f>DO100*VLOOKUP('Données projet'!$B$14,Paramètres!$A$1:$I$89,3,0)*VLOOKUP('Données projet'!$B$14,Paramètres!$A$1:$I$89,5,0)</f>
        <v>218.74517999999969</v>
      </c>
      <c r="DQ100" s="13">
        <f t="shared" si="97"/>
        <v>53.842066066416017</v>
      </c>
      <c r="DR100" s="20">
        <f t="shared" si="70"/>
        <v>474.75612023234066</v>
      </c>
      <c r="DS100" s="59">
        <f t="shared" si="71"/>
        <v>755.66640234575061</v>
      </c>
      <c r="DT100" s="59">
        <f ca="1">AVERAGE(OFFSET($DS$3,0,0,'Données projet'!$E$14+1,1))-AVERAGE(OFFSET($H$3,0,0,'Données projet'!$E$14+1,1))</f>
        <v>434.77799524785502</v>
      </c>
      <c r="DU100" s="59">
        <f t="shared" si="98"/>
        <v>259.85949838170006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26.830249248099935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26.830249248099935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66.611895121839069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5.2583333333333373</v>
      </c>
      <c r="EJ100" s="12">
        <f>IF('Données projet'!$A$192&gt;35,EJ99+EI100-ER99,IF(A100&lt;'Données projet'!$A$192,$EG$205^A100,IF(A100='Données projet'!$A$192,'Données projet'!$B$192,EJ99+EI100-ER99)))</f>
        <v>203.21923076923051</v>
      </c>
      <c r="EK100" s="17">
        <f>EJ100*VLOOKUP('Données projet'!$B$15,Paramètres!$A$1:$I$89,3,0)*VLOOKUP('Données projet'!$B$15,Paramètres!$A$1:$I$89,5,0)</f>
        <v>196.55363999999975</v>
      </c>
      <c r="EL100" s="13">
        <f t="shared" si="99"/>
        <v>48.985997597412556</v>
      </c>
      <c r="EM100" s="20">
        <f t="shared" si="73"/>
        <v>427.64820214882644</v>
      </c>
      <c r="EN100" s="59">
        <f t="shared" si="74"/>
        <v>708.55848426223633</v>
      </c>
      <c r="EO100" s="59">
        <f ca="1">AVERAGE(OFFSET($EN$3,0,0,'Données projet'!$E$15+1,1))-AVERAGE(OFFSET($H$3,0,0,'Données projet'!$E$15+1,1))</f>
        <v>398.06270423055565</v>
      </c>
      <c r="EP100" s="59">
        <f t="shared" si="100"/>
        <v>239.15364562040614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24.10833990408981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24.10833990408981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66.611895121839069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-1.7053025658242404E-13</v>
      </c>
      <c r="FF100" s="17">
        <f>FE100*VLOOKUP('Données projet'!$B$16,Paramètres!$A$1:$I$89,3,0)*VLOOKUP('Données projet'!$B$16,Paramètres!$A$1:$I$89,5,0)</f>
        <v>-1.0197709343628959E-13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334.13861979962491</v>
      </c>
      <c r="FK100" s="59">
        <f t="shared" si="102"/>
        <v>416.48635183664305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72.301465285462371</v>
      </c>
      <c r="FR100" s="21">
        <f>EXP(-LN(2)/25)*FR99+(1-EXP(-LN(2)/25))/(LN(2)/25)*Calculateur!FM100*Calculateur!FO100*VLOOKUP('Données projet'!$B$16,Paramètres!$A$1:$I$89,3,0)*0.475*44/12</f>
        <v>14.182041492559234</v>
      </c>
      <c r="FS100" s="21">
        <f>EXP(-LN(2)/2)*FS99+(1-EXP(-LN(2)/2))/(LN(2)/2)*FM100*FP100*VLOOKUP('Données projet'!$B$16,Paramètres!$A$1:$I$89,3,0)*0.475*44/12</f>
        <v>2.724801912002534E-5</v>
      </c>
      <c r="FT100" s="22">
        <f t="shared" si="78"/>
        <v>86.483534026040729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66.611895121839069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7.5015384615384617</v>
      </c>
      <c r="FZ100" s="12">
        <f>IF('Données projet'!$A$244&gt;35,FZ99+FY100-GH99,IF(A100&lt;'Données projet'!$A$244,$FW$205^A100,IF(A100='Données projet'!$A$244,'Données projet'!$B$244,FZ99+FY100-GH99)))</f>
        <v>249.70307692307716</v>
      </c>
      <c r="GA100" s="17">
        <f>FZ100*VLOOKUP('Données projet'!$B$17,Paramètres!$A$1:$I$89,3,0)*VLOOKUP('Données projet'!$B$17,Paramètres!$A$1:$I$89,5,0)</f>
        <v>116.86104000000012</v>
      </c>
      <c r="GB100" s="13">
        <f t="shared" si="103"/>
        <v>30.941762857231797</v>
      </c>
      <c r="GC100" s="20">
        <f t="shared" si="79"/>
        <v>257.42321497634555</v>
      </c>
      <c r="GD100" s="59">
        <f t="shared" si="80"/>
        <v>538.33349708975538</v>
      </c>
      <c r="GE100" s="59">
        <f ca="1">AVERAGE(OFFSET($GD$3,0,0,'Données projet'!$E$17+1,1))-AVERAGE(OFFSET($H$3,0,0,'Données projet'!$E$17+1,1))</f>
        <v>317.79829681023142</v>
      </c>
      <c r="GF100" s="59">
        <f t="shared" si="104"/>
        <v>275.07716943523621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118.56482952631127</v>
      </c>
      <c r="GM100" s="21">
        <f>EXP(-LN(2)/25)*GM99+(1-EXP(-LN(2)/25))/(LN(2)/25)*Calculateur!GH100*Calculateur!GJ100*VLOOKUP('Données projet'!$B$17,Paramètres!$A$1:$I$89,3,0)*0.475*44/12</f>
        <v>32.736656693664806</v>
      </c>
      <c r="GN100" s="21">
        <f>EXP(-LN(2)/2)*GN99+(1-EXP(-LN(2)/2))/(LN(2)/2)*GH100*GK100*VLOOKUP('Données projet'!$B$17,Paramètres!$A$1:$I$89,3,0)*0.475*44/12</f>
        <v>8.3786569213139241</v>
      </c>
      <c r="GO100" s="21">
        <f t="shared" si="81"/>
        <v>159.68014314129002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66.611895121839069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>
        <f>GU100*VLOOKUP('Données projet'!$B$18,Paramètres!$A$1:$I$89,3,0)*VLOOKUP('Données projet'!$B$18,Paramètres!$A$1:$I$89,5,0)</f>
        <v>0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336.21787234885699</v>
      </c>
      <c r="HA100" s="59">
        <f t="shared" si="106"/>
        <v>315.36156736899113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123.30500452964415</v>
      </c>
      <c r="HH100" s="21">
        <f>EXP(-LN(2)/25)*HH99+(1-EXP(-LN(2)/25))/(LN(2)/25)*Calculateur!HC100*Calculateur!HE100*VLOOKUP('Données projet'!$B$18,Paramètres!$A$1:$I$89,3,0)*0.475*44/12</f>
        <v>26.21994826699574</v>
      </c>
      <c r="HI100" s="21">
        <f>EXP(-LN(2)/2)*HI99+(1-EXP(-LN(2)/2))/(LN(2)/2)*HC100*HF100*VLOOKUP('Données projet'!$B$18,Paramètres!$A$1:$I$89,3,0)*0.475*44/12</f>
        <v>3.4381997173717036E-3</v>
      </c>
      <c r="HJ100" s="22">
        <f t="shared" si="84"/>
        <v>149.52839099635727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3.7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13.566666666666668</v>
      </c>
      <c r="H101" s="67">
        <f t="shared" si="56"/>
        <v>202.4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66.670671166807423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311.07179487179536</v>
      </c>
      <c r="O101" s="13">
        <f>N101*VLOOKUP('Données projet'!$B$9,Paramètres!$A$1:$I$89,3,0)*VLOOKUP('Données projet'!$B$9,Paramètres!$A$1:$I$89,5,0)</f>
        <v>281.45776000000041</v>
      </c>
      <c r="P101" s="13">
        <f t="shared" si="87"/>
        <v>67.274982309129811</v>
      </c>
      <c r="Q101" s="20">
        <f t="shared" si="107"/>
        <v>607.37619285506855</v>
      </c>
      <c r="R101" s="59">
        <f t="shared" si="55"/>
        <v>888.50198713336249</v>
      </c>
      <c r="S101" s="59">
        <f ca="1">AVERAGE(OFFSET($R$3,0,0,'Données projet'!$E$9+1,1))-AVERAGE(OFFSET($H$3,0,0,'Données projet'!$E$9+1,1))</f>
        <v>411.64357329340851</v>
      </c>
      <c r="T101" s="59">
        <f t="shared" si="88"/>
        <v>294.07942258675632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35.3811501473362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35.3811501473362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66.670671166807423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7.1782051282051267</v>
      </c>
      <c r="AI101" s="13">
        <f>IF('Données projet'!$A$62&gt;35,AI100+AH101-AQ100,IF(A101&lt;'Données projet'!$A$62,$AF$205^A101,IF(A101='Données projet'!$A$62,'Données projet'!$B$62,AI100+AH101-AQ100)))</f>
        <v>311.07179487179536</v>
      </c>
      <c r="AJ101" s="13">
        <f>AI101*VLOOKUP('Données projet'!$B$10,Paramètres!$A$1:$I$89,3,0)*VLOOKUP('Données projet'!$B$10,Paramètres!$A$1:$I$89,5,0)</f>
        <v>315.42680000000053</v>
      </c>
      <c r="AK101" s="13">
        <f t="shared" si="89"/>
        <v>74.401014776148614</v>
      </c>
      <c r="AL101" s="20">
        <f t="shared" si="58"/>
        <v>678.95011073512637</v>
      </c>
      <c r="AM101" s="59">
        <f t="shared" si="59"/>
        <v>960.0759050134202</v>
      </c>
      <c r="AN101" s="59">
        <f ca="1">AVERAGE(OFFSET($AM$3,0,0,'Données projet'!$E$10+1,1))-AVERAGE(OFFSET($H$3,0,0,'Données projet'!$E$10+1,1))</f>
        <v>453.05577105995508</v>
      </c>
      <c r="AO101" s="59">
        <f t="shared" si="90"/>
        <v>322.6839824496758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39.651288958221627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39.651288958221627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66.670671166807423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4.6794871794871762</v>
      </c>
      <c r="BD101" s="12">
        <f>IF('Données projet'!$A$88&gt;35,BD100+BC101-BL100,IF(A101&lt;'Données projet'!$A$88,$BA$205^A101,IF(A101='Données projet'!$A$88,'Données projet'!$B$88,BD100+BC101-BL100)))</f>
        <v>166.00000000000011</v>
      </c>
      <c r="BE101" s="13">
        <f>BD101*VLOOKUP('Données projet'!$B$11,Paramètres!$A$1:$I$89,3,0)*VLOOKUP('Données projet'!$B$11,Paramètres!$A$1:$I$89,5,0)</f>
        <v>165.73440000000014</v>
      </c>
      <c r="BF101" s="13">
        <f t="shared" si="91"/>
        <v>42.133262740312816</v>
      </c>
      <c r="BG101" s="20">
        <f t="shared" si="61"/>
        <v>362.03617927271171</v>
      </c>
      <c r="BH101" s="59">
        <f t="shared" si="62"/>
        <v>643.16197355100553</v>
      </c>
      <c r="BI101" s="59">
        <f ca="1">AVERAGE(OFFSET($BH$3,0,0,'Données projet'!$E$11+1,1))-AVERAGE(OFFSET($H$3,0,0,'Données projet'!$E$11+1,1))</f>
        <v>411.38162678377478</v>
      </c>
      <c r="BJ101" s="59">
        <f t="shared" si="92"/>
        <v>177.89903563360403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66.670671166807423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</v>
      </c>
      <c r="BY101" s="12">
        <f>IF('Données projet'!$A$114&gt;35,BY100+BX101-CG100,IF(A101&lt;'Données projet'!$A$114,$BV$205^A101,IF(A101='Données projet'!$A$114,'Données projet'!$B$114,BY100+BX101-CG100)))</f>
        <v>217.00000000000009</v>
      </c>
      <c r="BZ101" s="13">
        <f>BY101*VLOOKUP('Données projet'!$B$12,Paramètres!$A$1:$I$89,3,0)*VLOOKUP('Données projet'!$B$12,Paramètres!$A$1:$I$89,5,0)</f>
        <v>226.80840000000012</v>
      </c>
      <c r="CA101" s="13">
        <f t="shared" si="93"/>
        <v>55.592022759242624</v>
      </c>
      <c r="CB101" s="20">
        <f t="shared" si="64"/>
        <v>491.84740297234777</v>
      </c>
      <c r="CC101" s="59">
        <f t="shared" si="65"/>
        <v>772.97319725064165</v>
      </c>
      <c r="CD101" s="59">
        <f ca="1">AVERAGE(OFFSET($CC$3,0,0,'Données projet'!$E$12+1,1))-AVERAGE(OFFSET($H$3,0,0,'Données projet'!$E$12+1,1))</f>
        <v>374.38550202939507</v>
      </c>
      <c r="CE101" s="59">
        <f t="shared" si="94"/>
        <v>324.37486924296718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15.747035090627261</v>
      </c>
      <c r="CL101" s="21">
        <f>EXP(-LN(2)/25)*CL100+(1-EXP(-LN(2)/25))/(LN(2)/25)*Calculateur!CG101*Calculateur!CI101*VLOOKUP('Données projet'!$B$12,Paramètres!$A$1:$I$89,3,0)*0.475*44/12</f>
        <v>15.387132553406481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31.134167644033742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66.670671166807423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5.2583333333333373</v>
      </c>
      <c r="CT101" s="12">
        <f>IF('Données projet'!$A$140&gt;35,CT100+CS101-DB100,IF(A101&lt;'Données projet'!$A$140,$CQ$205^A101,IF(A101='Données projet'!$A$140,'Données projet'!$B$140,CT100+CS101-DB100)))</f>
        <v>208.47756410256383</v>
      </c>
      <c r="CU101" s="17">
        <f>CT101*VLOOKUP('Données projet'!$B$13,Paramètres!$A$1:$I$89,3,0)*VLOOKUP('Données projet'!$B$13,Paramètres!$A$1:$I$89,5,0)</f>
        <v>198.38724999999977</v>
      </c>
      <c r="CV101" s="13">
        <f t="shared" si="95"/>
        <v>49.389567247841455</v>
      </c>
      <c r="CW101" s="20">
        <f t="shared" si="67"/>
        <v>431.54462337332347</v>
      </c>
      <c r="CX101" s="59">
        <f t="shared" si="68"/>
        <v>712.6704176516173</v>
      </c>
      <c r="CY101" s="59">
        <f ca="1">AVERAGE(OFFSET($CX$3,0,0,'Données projet'!$E$13+1,1))-AVERAGE(OFFSET($H$3,0,0,'Données projet'!$E$13+1,1))</f>
        <v>392.81074187112989</v>
      </c>
      <c r="CZ101" s="59">
        <f t="shared" si="96"/>
        <v>236.19146849073687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23.254370868638141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23.254370868638141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66.670671166807423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5.2583333333333373</v>
      </c>
      <c r="DO101" s="12">
        <f>IF('Données projet'!$A$166&gt;35,DO100+DN101-DW100,IF(A101&lt;'Données projet'!$A$166,$DL$205^A101,IF(A101='Données projet'!$A$166,'Données projet'!$B$166,DO100+DN101-DW100)))</f>
        <v>208.47756410256383</v>
      </c>
      <c r="DP101" s="17">
        <f>DO101*VLOOKUP('Données projet'!$B$14,Paramètres!$A$1:$I$89,3,0)*VLOOKUP('Données projet'!$B$14,Paramètres!$A$1:$I$89,5,0)</f>
        <v>224.40524999999971</v>
      </c>
      <c r="DQ101" s="13">
        <f t="shared" si="97"/>
        <v>55.071237457703909</v>
      </c>
      <c r="DR101" s="20">
        <f t="shared" si="70"/>
        <v>486.75488232216713</v>
      </c>
      <c r="DS101" s="59">
        <f t="shared" si="71"/>
        <v>767.88067660046102</v>
      </c>
      <c r="DT101" s="59">
        <f ca="1">AVERAGE(OFFSET($DS$3,0,0,'Données projet'!$E$14+1,1))-AVERAGE(OFFSET($H$3,0,0,'Données projet'!$E$14+1,1))</f>
        <v>434.77799524785502</v>
      </c>
      <c r="DU101" s="59">
        <f t="shared" si="98"/>
        <v>259.85949838170006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26.304124425180845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26.304124425180845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66.670671166807423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5.2583333333333373</v>
      </c>
      <c r="EJ101" s="12">
        <f>IF('Données projet'!$A$192&gt;35,EJ100+EI101-ER100,IF(A101&lt;'Données projet'!$A$192,$EG$205^A101,IF(A101='Données projet'!$A$192,'Données projet'!$B$192,EJ100+EI101-ER100)))</f>
        <v>208.47756410256383</v>
      </c>
      <c r="EK101" s="17">
        <f>EJ101*VLOOKUP('Données projet'!$B$15,Paramètres!$A$1:$I$89,3,0)*VLOOKUP('Données projet'!$B$15,Paramètres!$A$1:$I$89,5,0)</f>
        <v>201.63949999999974</v>
      </c>
      <c r="EL101" s="13">
        <f t="shared" si="99"/>
        <v>50.104308821691369</v>
      </c>
      <c r="EM101" s="20">
        <f t="shared" si="73"/>
        <v>438.45380036444539</v>
      </c>
      <c r="EN101" s="59">
        <f t="shared" si="74"/>
        <v>719.57959464273927</v>
      </c>
      <c r="EO101" s="59">
        <f ca="1">AVERAGE(OFFSET($EN$3,0,0,'Données projet'!$E$15+1,1))-AVERAGE(OFFSET($H$3,0,0,'Données projet'!$E$15+1,1))</f>
        <v>398.06270423055565</v>
      </c>
      <c r="EP101" s="59">
        <f t="shared" si="100"/>
        <v>239.15364562040614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23.635590063205989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23.635590063205989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66.670671166807423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-1.7053025658242404E-13</v>
      </c>
      <c r="FF101" s="17">
        <f>FE101*VLOOKUP('Données projet'!$B$16,Paramètres!$A$1:$I$89,3,0)*VLOOKUP('Données projet'!$B$16,Paramètres!$A$1:$I$89,5,0)</f>
        <v>-1.0197709343628959E-13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334.13861979962491</v>
      </c>
      <c r="FK101" s="59">
        <f t="shared" si="102"/>
        <v>416.48635183664305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70.88367765075381</v>
      </c>
      <c r="FR101" s="21">
        <f>EXP(-LN(2)/25)*FR100+(1-EXP(-LN(2)/25))/(LN(2)/25)*Calculateur!FM101*Calculateur!FO101*VLOOKUP('Données projet'!$B$16,Paramètres!$A$1:$I$89,3,0)*0.475*44/12</f>
        <v>13.794232822144053</v>
      </c>
      <c r="FS101" s="21">
        <f>EXP(-LN(2)/2)*FS100+(1-EXP(-LN(2)/2))/(LN(2)/2)*FM101*FP101*VLOOKUP('Données projet'!$B$16,Paramètres!$A$1:$I$89,3,0)*0.475*44/12</f>
        <v>1.9267259093670621E-5</v>
      </c>
      <c r="FT101" s="22">
        <f t="shared" si="78"/>
        <v>84.677929740156955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66.670671166807423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7.5015384615384617</v>
      </c>
      <c r="FZ101" s="12">
        <f>IF('Données projet'!$A$244&gt;35,FZ100+FY101-GH100,IF(A101&lt;'Données projet'!$A$244,$FW$205^A101,IF(A101='Données projet'!$A$244,'Données projet'!$B$244,FZ100+FY101-GH100)))</f>
        <v>257.20461538461564</v>
      </c>
      <c r="GA101" s="17">
        <f>FZ101*VLOOKUP('Données projet'!$B$17,Paramètres!$A$1:$I$89,3,0)*VLOOKUP('Données projet'!$B$17,Paramètres!$A$1:$I$89,5,0)</f>
        <v>120.37176000000012</v>
      </c>
      <c r="GB101" s="13">
        <f t="shared" si="103"/>
        <v>31.761690593555869</v>
      </c>
      <c r="GC101" s="20">
        <f t="shared" si="79"/>
        <v>264.96575978377672</v>
      </c>
      <c r="GD101" s="59">
        <f t="shared" si="80"/>
        <v>546.0915540620706</v>
      </c>
      <c r="GE101" s="59">
        <f ca="1">AVERAGE(OFFSET($GD$3,0,0,'Données projet'!$E$17+1,1))-AVERAGE(OFFSET($H$3,0,0,'Données projet'!$E$17+1,1))</f>
        <v>317.79829681023142</v>
      </c>
      <c r="GF101" s="59">
        <f t="shared" si="104"/>
        <v>275.07716943523621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116.23984553670557</v>
      </c>
      <c r="GM101" s="21">
        <f>EXP(-LN(2)/25)*GM100+(1-EXP(-LN(2)/25))/(LN(2)/25)*Calculateur!GH101*Calculateur!GJ101*VLOOKUP('Données projet'!$B$17,Paramètres!$A$1:$I$89,3,0)*0.475*44/12</f>
        <v>31.841471094830588</v>
      </c>
      <c r="GN101" s="21">
        <f>EXP(-LN(2)/2)*GN100+(1-EXP(-LN(2)/2))/(LN(2)/2)*GH101*GK101*VLOOKUP('Données projet'!$B$17,Paramètres!$A$1:$I$89,3,0)*0.475*44/12</f>
        <v>5.9246051262966777</v>
      </c>
      <c r="GO101" s="21">
        <f t="shared" si="81"/>
        <v>154.00592175783285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66.670671166807423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>
        <f>GU101*VLOOKUP('Données projet'!$B$18,Paramètres!$A$1:$I$89,3,0)*VLOOKUP('Données projet'!$B$18,Paramètres!$A$1:$I$89,5,0)</f>
        <v>0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336.21787234885699</v>
      </c>
      <c r="HA101" s="59">
        <f t="shared" si="106"/>
        <v>315.36156736899113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120.88706859944436</v>
      </c>
      <c r="HH101" s="21">
        <f>EXP(-LN(2)/25)*HH100+(1-EXP(-LN(2)/25))/(LN(2)/25)*Calculateur!HC101*Calculateur!HE101*VLOOKUP('Données projet'!$B$18,Paramètres!$A$1:$I$89,3,0)*0.475*44/12</f>
        <v>25.502962402787588</v>
      </c>
      <c r="HI101" s="21">
        <f>EXP(-LN(2)/2)*HI100+(1-EXP(-LN(2)/2))/(LN(2)/2)*HC101*HF101*VLOOKUP('Données projet'!$B$18,Paramètres!$A$1:$I$89,3,0)*0.475*44/12</f>
        <v>2.4311743352272027E-3</v>
      </c>
      <c r="HJ101" s="22">
        <f t="shared" si="84"/>
        <v>146.39246217656716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3.7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13.566666666666668</v>
      </c>
      <c r="H102" s="67">
        <f t="shared" si="56"/>
        <v>202.4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66.728427578799128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318.25000000000051</v>
      </c>
      <c r="O102" s="13">
        <f>N102*VLOOKUP('Données projet'!$B$9,Paramètres!$A$1:$I$89,3,0)*VLOOKUP('Données projet'!$B$9,Paramètres!$A$1:$I$89,5,0)</f>
        <v>287.95260000000047</v>
      </c>
      <c r="P102" s="13">
        <f t="shared" si="87"/>
        <v>68.6448727389173</v>
      </c>
      <c r="Q102" s="20">
        <f t="shared" si="107"/>
        <v>621.07393168694841</v>
      </c>
      <c r="R102" s="59">
        <f t="shared" si="55"/>
        <v>902.4114994758786</v>
      </c>
      <c r="S102" s="59">
        <f ca="1">AVERAGE(OFFSET($R$3,0,0,'Données projet'!$E$9+1,1))-AVERAGE(OFFSET($H$3,0,0,'Données projet'!$E$9+1,1))</f>
        <v>411.64357329340851</v>
      </c>
      <c r="T102" s="59">
        <f t="shared" si="88"/>
        <v>294.07942258675632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0.30099999999999999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49.144454416035025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49.144454416035025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66.728427578799128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318.25</v>
      </c>
      <c r="AG102" s="12">
        <f>VLOOKUP(A102,'Données projet'!$A$61:$I$81,9,0)</f>
        <v>7.1782051282051267</v>
      </c>
      <c r="AH102" s="12">
        <f t="array" ref="AH102">INDEX(AG:AG,MIN(IF(ISNUMBER(AG102:AG298),ROW(AG102:AG298),"")))</f>
        <v>7.1782051282051267</v>
      </c>
      <c r="AI102" s="13">
        <f>IF('Données projet'!$A$62&gt;35,AI101+AH102-AQ101,IF(A102&lt;'Données projet'!$A$62,$AF$205^A102,IF(A102='Données projet'!$A$62,'Données projet'!$B$62,AI101+AH102-AQ101)))</f>
        <v>318.25000000000051</v>
      </c>
      <c r="AJ102" s="13">
        <f>AI102*VLOOKUP('Données projet'!$B$10,Paramètres!$A$1:$I$89,3,0)*VLOOKUP('Données projet'!$B$10,Paramètres!$A$1:$I$89,5,0)</f>
        <v>322.70550000000054</v>
      </c>
      <c r="AK102" s="13">
        <f t="shared" si="89"/>
        <v>75.916009423638798</v>
      </c>
      <c r="AL102" s="20">
        <f t="shared" si="58"/>
        <v>694.26579557950515</v>
      </c>
      <c r="AM102" s="59">
        <f t="shared" si="59"/>
        <v>975.60336336843534</v>
      </c>
      <c r="AN102" s="59">
        <f ca="1">AVERAGE(OFFSET($AM$3,0,0,'Données projet'!$E$10+1,1))-AVERAGE(OFFSET($H$3,0,0,'Données projet'!$E$10+1,1))</f>
        <v>453.05577105995508</v>
      </c>
      <c r="AO102" s="59">
        <f t="shared" si="90"/>
        <v>322.6839824496758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48.019230769230766</v>
      </c>
      <c r="AR102" s="16">
        <f>IF(ISNA(VLOOKUP(A102,'Données projet'!$A$61:$I$81,5,0)),0%,VLOOKUP(A102,'Données projet'!$A$61:$I$81,5,0)*VLOOKUP('Données projet'!$B$10,Paramètres!$A$1:$I$89,7,0))</f>
        <v>0.30099999999999999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55.075681673142725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55.075681673142725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66.728427578799128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4.6794871794871762</v>
      </c>
      <c r="BD102" s="12">
        <f>IF('Données projet'!$A$88&gt;35,BD101+BC102-BL101,IF(A102&lt;'Données projet'!$A$88,$BA$205^A102,IF(A102='Données projet'!$A$88,'Données projet'!$B$88,BD101+BC102-BL101)))</f>
        <v>170.6794871794873</v>
      </c>
      <c r="BE102" s="13">
        <f>BD102*VLOOKUP('Données projet'!$B$11,Paramètres!$A$1:$I$89,3,0)*VLOOKUP('Données projet'!$B$11,Paramètres!$A$1:$I$89,5,0)</f>
        <v>170.40640000000013</v>
      </c>
      <c r="BF102" s="13">
        <f t="shared" si="91"/>
        <v>43.181031013577581</v>
      </c>
      <c r="BG102" s="20">
        <f t="shared" si="61"/>
        <v>371.99810901531447</v>
      </c>
      <c r="BH102" s="59">
        <f t="shared" si="62"/>
        <v>653.3356768042446</v>
      </c>
      <c r="BI102" s="59">
        <f ca="1">AVERAGE(OFFSET($BH$3,0,0,'Données projet'!$E$11+1,1))-AVERAGE(OFFSET($H$3,0,0,'Données projet'!$E$11+1,1))</f>
        <v>411.38162678377478</v>
      </c>
      <c r="BJ102" s="59">
        <f t="shared" si="92"/>
        <v>177.89903563360403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66.728427578799128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</v>
      </c>
      <c r="BY102" s="12">
        <f>IF('Données projet'!$A$114&gt;35,BY101+BX102-CG101,IF(A102&lt;'Données projet'!$A$114,$BV$205^A102,IF(A102='Données projet'!$A$114,'Données projet'!$B$114,BY101+BX102-CG101)))</f>
        <v>220.00000000000009</v>
      </c>
      <c r="BZ102" s="13">
        <f>BY102*VLOOKUP('Données projet'!$B$12,Paramètres!$A$1:$I$89,3,0)*VLOOKUP('Données projet'!$B$12,Paramètres!$A$1:$I$89,5,0)</f>
        <v>229.9440000000001</v>
      </c>
      <c r="CA102" s="13">
        <f t="shared" si="93"/>
        <v>56.270572850262418</v>
      </c>
      <c r="CB102" s="20">
        <f t="shared" si="64"/>
        <v>498.49038104754055</v>
      </c>
      <c r="CC102" s="59">
        <f t="shared" si="65"/>
        <v>779.82794883647068</v>
      </c>
      <c r="CD102" s="59">
        <f ca="1">AVERAGE(OFFSET($CC$3,0,0,'Données projet'!$E$12+1,1))-AVERAGE(OFFSET($H$3,0,0,'Données projet'!$E$12+1,1))</f>
        <v>374.38550202939507</v>
      </c>
      <c r="CE102" s="59">
        <f t="shared" si="94"/>
        <v>324.37486924296718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15.438245337243076</v>
      </c>
      <c r="CL102" s="21">
        <f>EXP(-LN(2)/25)*CL101+(1-EXP(-LN(2)/25))/(LN(2)/25)*Calculateur!CG102*Calculateur!CI102*VLOOKUP('Données projet'!$B$12,Paramètres!$A$1:$I$89,3,0)*0.475*44/12</f>
        <v>14.966370604559447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30.404615941802525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66.728427578799128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5.2583333333333373</v>
      </c>
      <c r="CT102" s="12">
        <f>IF('Données projet'!$A$140&gt;35,CT101+CS102-DB101,IF(A102&lt;'Données projet'!$A$140,$CQ$205^A102,IF(A102='Données projet'!$A$140,'Données projet'!$B$140,CT101+CS102-DB101)))</f>
        <v>213.73589743589716</v>
      </c>
      <c r="CU102" s="17">
        <f>CT102*VLOOKUP('Données projet'!$B$13,Paramètres!$A$1:$I$89,3,0)*VLOOKUP('Données projet'!$B$13,Paramètres!$A$1:$I$89,5,0)</f>
        <v>203.39107999999976</v>
      </c>
      <c r="CV102" s="13">
        <f t="shared" si="95"/>
        <v>50.48869364813406</v>
      </c>
      <c r="CW102" s="20">
        <f t="shared" si="67"/>
        <v>442.17393910383311</v>
      </c>
      <c r="CX102" s="59">
        <f t="shared" si="68"/>
        <v>723.51150689276324</v>
      </c>
      <c r="CY102" s="59">
        <f ca="1">AVERAGE(OFFSET($CX$3,0,0,'Données projet'!$E$13+1,1))-AVERAGE(OFFSET($H$3,0,0,'Données projet'!$E$13+1,1))</f>
        <v>392.81074187112989</v>
      </c>
      <c r="CZ102" s="59">
        <f t="shared" si="96"/>
        <v>236.19146849073687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22.798366839669846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22.798366839669846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66.728427578799128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5.2583333333333373</v>
      </c>
      <c r="DO102" s="12">
        <f>IF('Données projet'!$A$166&gt;35,DO101+DN102-DW101,IF(A102&lt;'Données projet'!$A$166,$DL$205^A102,IF(A102='Données projet'!$A$166,'Données projet'!$B$166,DO101+DN102-DW101)))</f>
        <v>213.73589743589716</v>
      </c>
      <c r="DP102" s="17">
        <f>DO102*VLOOKUP('Données projet'!$B$14,Paramètres!$A$1:$I$89,3,0)*VLOOKUP('Données projet'!$B$14,Paramètres!$A$1:$I$89,5,0)</f>
        <v>230.0653199999997</v>
      </c>
      <c r="DQ102" s="13">
        <f t="shared" si="97"/>
        <v>56.296805008899462</v>
      </c>
      <c r="DR102" s="20">
        <f t="shared" si="70"/>
        <v>498.74736772383267</v>
      </c>
      <c r="DS102" s="59">
        <f t="shared" si="71"/>
        <v>780.08493551276274</v>
      </c>
      <c r="DT102" s="59">
        <f ca="1">AVERAGE(OFFSET($DS$3,0,0,'Données projet'!$E$14+1,1))-AVERAGE(OFFSET($H$3,0,0,'Données projet'!$E$14+1,1))</f>
        <v>434.77799524785502</v>
      </c>
      <c r="DU102" s="59">
        <f t="shared" si="98"/>
        <v>259.85949838170006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25.788316589134741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25.788316589134741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66.728427578799128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5.2583333333333373</v>
      </c>
      <c r="EJ102" s="12">
        <f>IF('Données projet'!$A$192&gt;35,EJ101+EI102-ER101,IF(A102&lt;'Données projet'!$A$192,$EG$205^A102,IF(A102='Données projet'!$A$192,'Données projet'!$B$192,EJ101+EI102-ER101)))</f>
        <v>213.73589743589716</v>
      </c>
      <c r="EK102" s="17">
        <f>EJ102*VLOOKUP('Données projet'!$B$15,Paramètres!$A$1:$I$89,3,0)*VLOOKUP('Données projet'!$B$15,Paramètres!$A$1:$I$89,5,0)</f>
        <v>206.72535999999974</v>
      </c>
      <c r="EL102" s="13">
        <f t="shared" si="99"/>
        <v>51.219341239731868</v>
      </c>
      <c r="EM102" s="20">
        <f t="shared" si="73"/>
        <v>449.25368799253255</v>
      </c>
      <c r="EN102" s="59">
        <f t="shared" si="74"/>
        <v>730.59125578146268</v>
      </c>
      <c r="EO102" s="59">
        <f ca="1">AVERAGE(OFFSET($EN$3,0,0,'Données projet'!$E$15+1,1))-AVERAGE(OFFSET($H$3,0,0,'Données projet'!$E$15+1,1))</f>
        <v>398.06270423055565</v>
      </c>
      <c r="EP102" s="59">
        <f t="shared" si="100"/>
        <v>239.15364562040614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23.172110558352969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23.172110558352969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66.728427578799128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-1.7053025658242404E-13</v>
      </c>
      <c r="FF102" s="17">
        <f>FE102*VLOOKUP('Données projet'!$B$16,Paramètres!$A$1:$I$89,3,0)*VLOOKUP('Données projet'!$B$16,Paramètres!$A$1:$I$89,5,0)</f>
        <v>-1.0197709343628959E-13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334.13861979962491</v>
      </c>
      <c r="FK102" s="59">
        <f t="shared" si="102"/>
        <v>416.48635183664305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69.493691966796817</v>
      </c>
      <c r="FR102" s="21">
        <f>EXP(-LN(2)/25)*FR101+(1-EXP(-LN(2)/25))/(LN(2)/25)*Calculateur!FM102*Calculateur!FO102*VLOOKUP('Données projet'!$B$16,Paramètres!$A$1:$I$89,3,0)*0.475*44/12</f>
        <v>13.417028800215347</v>
      </c>
      <c r="FS102" s="21">
        <f>EXP(-LN(2)/2)*FS101+(1-EXP(-LN(2)/2))/(LN(2)/2)*FM102*FP102*VLOOKUP('Données projet'!$B$16,Paramètres!$A$1:$I$89,3,0)*0.475*44/12</f>
        <v>1.362400956001267E-5</v>
      </c>
      <c r="FT102" s="22">
        <f t="shared" si="78"/>
        <v>82.91073439102172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66.728427578799128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7.5015384615384617</v>
      </c>
      <c r="FZ102" s="12">
        <f>IF('Données projet'!$A$244&gt;35,FZ101+FY102-GH101,IF(A102&lt;'Données projet'!$A$244,$FW$205^A102,IF(A102='Données projet'!$A$244,'Données projet'!$B$244,FZ101+FY102-GH101)))</f>
        <v>264.70615384615411</v>
      </c>
      <c r="GA102" s="17">
        <f>FZ102*VLOOKUP('Données projet'!$B$17,Paramètres!$A$1:$I$89,3,0)*VLOOKUP('Données projet'!$B$17,Paramètres!$A$1:$I$89,5,0)</f>
        <v>123.88248000000011</v>
      </c>
      <c r="GB102" s="13">
        <f t="shared" si="103"/>
        <v>32.578839075986679</v>
      </c>
      <c r="GC102" s="20">
        <f t="shared" si="79"/>
        <v>272.50346405734365</v>
      </c>
      <c r="GD102" s="59">
        <f t="shared" si="80"/>
        <v>553.84103184627384</v>
      </c>
      <c r="GE102" s="59">
        <f ca="1">AVERAGE(OFFSET($GD$3,0,0,'Données projet'!$E$17+1,1))-AVERAGE(OFFSET($H$3,0,0,'Données projet'!$E$17+1,1))</f>
        <v>317.79829681023142</v>
      </c>
      <c r="GF102" s="59">
        <f t="shared" si="104"/>
        <v>275.07716943523621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113.96045306503584</v>
      </c>
      <c r="GM102" s="21">
        <f>EXP(-LN(2)/25)*GM101+(1-EXP(-LN(2)/25))/(LN(2)/25)*Calculateur!GH102*Calculateur!GJ102*VLOOKUP('Données projet'!$B$17,Paramètres!$A$1:$I$89,3,0)*0.475*44/12</f>
        <v>30.970764393272255</v>
      </c>
      <c r="GN102" s="21">
        <f>EXP(-LN(2)/2)*GN101+(1-EXP(-LN(2)/2))/(LN(2)/2)*GH102*GK102*VLOOKUP('Données projet'!$B$17,Paramètres!$A$1:$I$89,3,0)*0.475*44/12</f>
        <v>4.189328460656963</v>
      </c>
      <c r="GO102" s="21">
        <f t="shared" si="81"/>
        <v>149.12054591896504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66.728427578799128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>
        <f>GU102*VLOOKUP('Données projet'!$B$18,Paramètres!$A$1:$I$89,3,0)*VLOOKUP('Données projet'!$B$18,Paramètres!$A$1:$I$89,5,0)</f>
        <v>0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336.21787234885699</v>
      </c>
      <c r="HA102" s="59">
        <f t="shared" si="106"/>
        <v>315.36156736899113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118.51654691804049</v>
      </c>
      <c r="HH102" s="21">
        <f>EXP(-LN(2)/25)*HH101+(1-EXP(-LN(2)/25))/(LN(2)/25)*Calculateur!HC102*Calculateur!HE102*VLOOKUP('Données projet'!$B$18,Paramètres!$A$1:$I$89,3,0)*0.475*44/12</f>
        <v>24.805582554740855</v>
      </c>
      <c r="HI102" s="21">
        <f>EXP(-LN(2)/2)*HI101+(1-EXP(-LN(2)/2))/(LN(2)/2)*HC102*HF102*VLOOKUP('Données projet'!$B$18,Paramètres!$A$1:$I$89,3,0)*0.475*44/12</f>
        <v>1.7190998586858518E-3</v>
      </c>
      <c r="HJ102" s="22">
        <f t="shared" si="84"/>
        <v>143.32384857264003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3.7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13.566666666666668</v>
      </c>
      <c r="H103" s="67">
        <f t="shared" si="56"/>
        <v>202.4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66.785182046166753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277.22435897435946</v>
      </c>
      <c r="O103" s="13">
        <f>N103*VLOOKUP('Données projet'!$B$9,Paramètres!$A$1:$I$89,3,0)*VLOOKUP('Données projet'!$B$9,Paramètres!$A$1:$I$89,5,0)</f>
        <v>250.83260000000041</v>
      </c>
      <c r="P103" s="13">
        <f t="shared" si="87"/>
        <v>60.764195096344402</v>
      </c>
      <c r="Q103" s="20">
        <f t="shared" si="107"/>
        <v>542.69775145946721</v>
      </c>
      <c r="R103" s="59">
        <f t="shared" si="55"/>
        <v>824.24341896207864</v>
      </c>
      <c r="S103" s="59">
        <f ca="1">AVERAGE(OFFSET($R$3,0,0,'Données projet'!$E$9+1,1))-AVERAGE(OFFSET($H$3,0,0,'Données projet'!$E$9+1,1))</f>
        <v>411.64357329340851</v>
      </c>
      <c r="T103" s="59">
        <f t="shared" si="88"/>
        <v>294.07942258675632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48.180761640093969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48.180761640093969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66.785182046166753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6.9935897435897401</v>
      </c>
      <c r="AI103" s="13">
        <f>IF('Données projet'!$A$62&gt;35,AI102+AH103-AQ102,IF(A103&lt;'Données projet'!$A$62,$AF$205^A103,IF(A103='Données projet'!$A$62,'Données projet'!$B$62,AI102+AH103-AQ102)))</f>
        <v>277.22435897435946</v>
      </c>
      <c r="AJ103" s="13">
        <f>AI103*VLOOKUP('Données projet'!$B$10,Paramètres!$A$1:$I$89,3,0)*VLOOKUP('Données projet'!$B$10,Paramètres!$A$1:$I$89,5,0)</f>
        <v>281.10550000000052</v>
      </c>
      <c r="AK103" s="13">
        <f t="shared" si="89"/>
        <v>67.200579205657675</v>
      </c>
      <c r="AL103" s="20">
        <f t="shared" si="58"/>
        <v>606.63308794985471</v>
      </c>
      <c r="AM103" s="59">
        <f t="shared" si="59"/>
        <v>888.17875545246613</v>
      </c>
      <c r="AN103" s="59">
        <f ca="1">AVERAGE(OFFSET($AM$3,0,0,'Données projet'!$E$10+1,1))-AVERAGE(OFFSET($H$3,0,0,'Données projet'!$E$10+1,1))</f>
        <v>453.05577105995508</v>
      </c>
      <c r="AO103" s="59">
        <f t="shared" si="90"/>
        <v>322.6839824496758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53.995681148381202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53.995681148381202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66.785182046166753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4.6794871794871762</v>
      </c>
      <c r="BD103" s="12">
        <f>IF('Données projet'!$A$88&gt;35,BD102+BC103-BL102,IF(A103&lt;'Données projet'!$A$88,$BA$205^A103,IF(A103='Données projet'!$A$88,'Données projet'!$B$88,BD102+BC103-BL102)))</f>
        <v>175.35897435897448</v>
      </c>
      <c r="BE103" s="13">
        <f>BD103*VLOOKUP('Données projet'!$B$11,Paramètres!$A$1:$I$89,3,0)*VLOOKUP('Données projet'!$B$11,Paramètres!$A$1:$I$89,5,0)</f>
        <v>175.07840000000013</v>
      </c>
      <c r="BF103" s="13">
        <f t="shared" si="91"/>
        <v>44.225460414207284</v>
      </c>
      <c r="BG103" s="20">
        <f t="shared" si="61"/>
        <v>381.95422355474449</v>
      </c>
      <c r="BH103" s="59">
        <f t="shared" si="62"/>
        <v>663.49989105735585</v>
      </c>
      <c r="BI103" s="59">
        <f ca="1">AVERAGE(OFFSET($BH$3,0,0,'Données projet'!$E$11+1,1))-AVERAGE(OFFSET($H$3,0,0,'Données projet'!$E$11+1,1))</f>
        <v>411.38162678377478</v>
      </c>
      <c r="BJ103" s="59">
        <f t="shared" si="92"/>
        <v>177.89903563360403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66.785182046166753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223</v>
      </c>
      <c r="BW103" s="12">
        <f>VLOOKUP(A103,'Données projet'!$A$113:$I$133,9,0)</f>
        <v>3</v>
      </c>
      <c r="BX103" s="12">
        <f t="array" ref="BX103">INDEX(BW:BW,MIN(IF(ISNUMBER(BW103:BW299),ROW(BW103:BW299),"")))</f>
        <v>3</v>
      </c>
      <c r="BY103" s="12">
        <f>IF('Données projet'!$A$114&gt;35,BY102+BX103-CG102,IF(A103&lt;'Données projet'!$A$114,$BV$205^A103,IF(A103='Données projet'!$A$114,'Données projet'!$B$114,BY102+BX103-CG102)))</f>
        <v>223.00000000000009</v>
      </c>
      <c r="BZ103" s="13">
        <f>BY103*VLOOKUP('Données projet'!$B$12,Paramètres!$A$1:$I$89,3,0)*VLOOKUP('Données projet'!$B$12,Paramètres!$A$1:$I$89,5,0)</f>
        <v>233.07960000000008</v>
      </c>
      <c r="CA103" s="13">
        <f t="shared" si="93"/>
        <v>56.948046716289092</v>
      </c>
      <c r="CB103" s="20">
        <f t="shared" si="64"/>
        <v>505.13148469753696</v>
      </c>
      <c r="CC103" s="59">
        <f t="shared" si="65"/>
        <v>786.67715220014838</v>
      </c>
      <c r="CD103" s="59">
        <f ca="1">AVERAGE(OFFSET($CC$3,0,0,'Données projet'!$E$12+1,1))-AVERAGE(OFFSET($H$3,0,0,'Données projet'!$E$12+1,1))</f>
        <v>374.38550202939507</v>
      </c>
      <c r="CE103" s="59">
        <f t="shared" si="94"/>
        <v>324.37486924296718</v>
      </c>
      <c r="CF103" s="15">
        <f>IF(ISNA(VLOOKUP(A103,'Données projet'!$A$113:$I$133,3,0)),0,VLOOKUP(A103,'Données projet'!$A$113:$I$133,3,0))</f>
        <v>17</v>
      </c>
      <c r="CG103" s="15" t="str">
        <f>IF(ISNA(VLOOKUP(A103,'Données projet'!$A$113:$I$133,4,0)),0,VLOOKUP(A103,'Données projet'!$A$113:$I$133,4,0))</f>
        <v>11</v>
      </c>
      <c r="CH103" s="16">
        <f>IF(ISNA(VLOOKUP(A103,'Données projet'!$A$113:$I$133,5,0)),0%,VLOOKUP(A103,'Données projet'!$A$113:$I$133,5,0)*VLOOKUP('Données projet'!$B$12,Paramètres!$A$1:$I$89,7,0))</f>
        <v>0.215</v>
      </c>
      <c r="CI103" s="16">
        <f>IF(ISNA(VLOOKUP(A103,'Données projet'!$A$113:$I$133,6,0)),0%,VLOOKUP(A103,'Données projet'!$A$113:$I$133,6,0)*VLOOKUP('Données projet'!$B$12,Paramètres!$A$1:$I$89,7,0))</f>
        <v>0.17200000000000001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17.868120782806344</v>
      </c>
      <c r="CL103" s="21">
        <f>EXP(-LN(2)/25)*CL102+(1-EXP(-LN(2)/25))/(LN(2)/25)*Calculateur!CG103*Calculateur!CI103*VLOOKUP('Données projet'!$B$12,Paramètres!$A$1:$I$89,3,0)*0.475*44/12</f>
        <v>16.734594968027395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34.602715750833738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66.785182046166753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5.2583333333333373</v>
      </c>
      <c r="CT103" s="12">
        <f>IF('Données projet'!$A$140&gt;35,CT102+CS103-DB102,IF(A103&lt;'Données projet'!$A$140,$CQ$205^A103,IF(A103='Données projet'!$A$140,'Données projet'!$B$140,CT102+CS103-DB102)))</f>
        <v>218.99423076923048</v>
      </c>
      <c r="CU103" s="17">
        <f>CT103*VLOOKUP('Données projet'!$B$13,Paramètres!$A$1:$I$89,3,0)*VLOOKUP('Données projet'!$B$13,Paramètres!$A$1:$I$89,5,0)</f>
        <v>208.39490999999975</v>
      </c>
      <c r="CV103" s="13">
        <f t="shared" si="95"/>
        <v>51.58467667573327</v>
      </c>
      <c r="CW103" s="20">
        <f t="shared" si="67"/>
        <v>452.79778012690167</v>
      </c>
      <c r="CX103" s="59">
        <f t="shared" si="68"/>
        <v>734.34344762951309</v>
      </c>
      <c r="CY103" s="59">
        <f ca="1">AVERAGE(OFFSET($CX$3,0,0,'Données projet'!$E$13+1,1))-AVERAGE(OFFSET($H$3,0,0,'Données projet'!$E$13+1,1))</f>
        <v>392.81074187112989</v>
      </c>
      <c r="CZ103" s="59">
        <f t="shared" si="96"/>
        <v>236.19146849073687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22.351304771574625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22.351304771574625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66.785182046166753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5.2583333333333373</v>
      </c>
      <c r="DO103" s="12">
        <f>IF('Données projet'!$A$166&gt;35,DO102+DN103-DW102,IF(A103&lt;'Données projet'!$A$166,$DL$205^A103,IF(A103='Données projet'!$A$166,'Données projet'!$B$166,DO102+DN103-DW102)))</f>
        <v>218.99423076923048</v>
      </c>
      <c r="DP103" s="17">
        <f>DO103*VLOOKUP('Données projet'!$B$14,Paramètres!$A$1:$I$89,3,0)*VLOOKUP('Données projet'!$B$14,Paramètres!$A$1:$I$89,5,0)</f>
        <v>235.72538999999969</v>
      </c>
      <c r="DQ103" s="13">
        <f t="shared" si="97"/>
        <v>57.51886758052828</v>
      </c>
      <c r="DR103" s="20">
        <f t="shared" si="70"/>
        <v>510.73374861941949</v>
      </c>
      <c r="DS103" s="59">
        <f t="shared" si="71"/>
        <v>792.27941612203085</v>
      </c>
      <c r="DT103" s="59">
        <f ca="1">AVERAGE(OFFSET($DS$3,0,0,'Données projet'!$E$14+1,1))-AVERAGE(OFFSET($H$3,0,0,'Données projet'!$E$14+1,1))</f>
        <v>434.77799524785502</v>
      </c>
      <c r="DU103" s="59">
        <f t="shared" si="98"/>
        <v>259.85949838170006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25.282623430141786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25.282623430141786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66.785182046166753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5.2583333333333373</v>
      </c>
      <c r="EJ103" s="12">
        <f>IF('Données projet'!$A$192&gt;35,EJ102+EI103-ER102,IF(A103&lt;'Données projet'!$A$192,$EG$205^A103,IF(A103='Données projet'!$A$192,'Données projet'!$B$192,EJ102+EI103-ER102)))</f>
        <v>218.99423076923048</v>
      </c>
      <c r="EK103" s="17">
        <f>EJ103*VLOOKUP('Données projet'!$B$15,Paramètres!$A$1:$I$89,3,0)*VLOOKUP('Données projet'!$B$15,Paramètres!$A$1:$I$89,5,0)</f>
        <v>211.81121999999974</v>
      </c>
      <c r="EL103" s="13">
        <f t="shared" si="99"/>
        <v>52.331184795732305</v>
      </c>
      <c r="EM103" s="20">
        <f t="shared" si="73"/>
        <v>460.04802168589998</v>
      </c>
      <c r="EN103" s="59">
        <f t="shared" si="74"/>
        <v>741.59368918851146</v>
      </c>
      <c r="EO103" s="59">
        <f ca="1">AVERAGE(OFFSET($EN$3,0,0,'Données projet'!$E$15+1,1))-AVERAGE(OFFSET($H$3,0,0,'Données projet'!$E$15+1,1))</f>
        <v>398.06270423055565</v>
      </c>
      <c r="EP103" s="59">
        <f t="shared" si="100"/>
        <v>239.15364562040614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22.717719603895532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22.717719603895532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66.785182046166753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-1.7053025658242404E-13</v>
      </c>
      <c r="FF103" s="17">
        <f>FE103*VLOOKUP('Données projet'!$B$16,Paramètres!$A$1:$I$89,3,0)*VLOOKUP('Données projet'!$B$16,Paramètres!$A$1:$I$89,5,0)</f>
        <v>-1.0197709343628959E-13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334.13861979962491</v>
      </c>
      <c r="FK103" s="59">
        <f t="shared" si="102"/>
        <v>416.48635183664305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68.130963054294668</v>
      </c>
      <c r="FR103" s="21">
        <f>EXP(-LN(2)/25)*FR102+(1-EXP(-LN(2)/25))/(LN(2)/25)*Calculateur!FM103*Calculateur!FO103*VLOOKUP('Données projet'!$B$16,Paramètres!$A$1:$I$89,3,0)*0.475*44/12</f>
        <v>13.050139442102578</v>
      </c>
      <c r="FS103" s="21">
        <f>EXP(-LN(2)/2)*FS102+(1-EXP(-LN(2)/2))/(LN(2)/2)*FM103*FP103*VLOOKUP('Données projet'!$B$16,Paramètres!$A$1:$I$89,3,0)*0.475*44/12</f>
        <v>9.6336295468353106E-6</v>
      </c>
      <c r="FT103" s="22">
        <f t="shared" si="78"/>
        <v>81.18111213002679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66.785182046166753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7.5015384615384617</v>
      </c>
      <c r="FZ103" s="12">
        <f>IF('Données projet'!$A$244&gt;35,FZ102+FY103-GH102,IF(A103&lt;'Données projet'!$A$244,$FW$205^A103,IF(A103='Données projet'!$A$244,'Données projet'!$B$244,FZ102+FY103-GH102)))</f>
        <v>272.20769230769258</v>
      </c>
      <c r="GA103" s="17">
        <f>FZ103*VLOOKUP('Données projet'!$B$17,Paramètres!$A$1:$I$89,3,0)*VLOOKUP('Données projet'!$B$17,Paramètres!$A$1:$I$89,5,0)</f>
        <v>127.39320000000012</v>
      </c>
      <c r="GB103" s="13">
        <f t="shared" si="103"/>
        <v>33.393296112922592</v>
      </c>
      <c r="GC103" s="20">
        <f t="shared" si="79"/>
        <v>280.03648073000704</v>
      </c>
      <c r="GD103" s="59">
        <f t="shared" si="80"/>
        <v>561.58214823261847</v>
      </c>
      <c r="GE103" s="59">
        <f ca="1">AVERAGE(OFFSET($GD$3,0,0,'Données projet'!$E$17+1,1))-AVERAGE(OFFSET($H$3,0,0,'Données projet'!$E$17+1,1))</f>
        <v>317.79829681023142</v>
      </c>
      <c r="GF103" s="59">
        <f t="shared" si="104"/>
        <v>275.07716943523621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111.7257580894434</v>
      </c>
      <c r="GM103" s="21">
        <f>EXP(-LN(2)/25)*GM102+(1-EXP(-LN(2)/25))/(LN(2)/25)*Calculateur!GH103*Calculateur!GJ103*VLOOKUP('Données projet'!$B$17,Paramètres!$A$1:$I$89,3,0)*0.475*44/12</f>
        <v>30.12386721225651</v>
      </c>
      <c r="GN103" s="21">
        <f>EXP(-LN(2)/2)*GN102+(1-EXP(-LN(2)/2))/(LN(2)/2)*GH103*GK103*VLOOKUP('Données projet'!$B$17,Paramètres!$A$1:$I$89,3,0)*0.475*44/12</f>
        <v>2.9623025631483393</v>
      </c>
      <c r="GO103" s="21">
        <f t="shared" si="81"/>
        <v>144.81192786484826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66.785182046166753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>
        <f>GU103*VLOOKUP('Données projet'!$B$18,Paramètres!$A$1:$I$89,3,0)*VLOOKUP('Données projet'!$B$18,Paramètres!$A$1:$I$89,5,0)</f>
        <v>0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336.21787234885699</v>
      </c>
      <c r="HA103" s="59">
        <f t="shared" si="106"/>
        <v>315.36156736899113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116.19250972093349</v>
      </c>
      <c r="HH103" s="21">
        <f>EXP(-LN(2)/25)*HH102+(1-EXP(-LN(2)/25))/(LN(2)/25)*Calculateur!HC103*Calculateur!HE103*VLOOKUP('Données projet'!$B$18,Paramètres!$A$1:$I$89,3,0)*0.475*44/12</f>
        <v>24.127272595312576</v>
      </c>
      <c r="HI103" s="21">
        <f>EXP(-LN(2)/2)*HI102+(1-EXP(-LN(2)/2))/(LN(2)/2)*HC103*HF103*VLOOKUP('Données projet'!$B$18,Paramètres!$A$1:$I$89,3,0)*0.475*44/12</f>
        <v>1.2155871676136013E-3</v>
      </c>
      <c r="HJ103" s="22">
        <f t="shared" si="84"/>
        <v>140.32099790341368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3.7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13.566666666666668</v>
      </c>
      <c r="H104" s="67">
        <f t="shared" si="56"/>
        <v>202.4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66.840951950409561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284.21794871794918</v>
      </c>
      <c r="O104" s="13">
        <f>N104*VLOOKUP('Données projet'!$B$9,Paramètres!$A$1:$I$89,3,0)*VLOOKUP('Données projet'!$B$9,Paramètres!$A$1:$I$89,5,0)</f>
        <v>257.16040000000038</v>
      </c>
      <c r="P104" s="13">
        <f t="shared" si="87"/>
        <v>62.116703672873726</v>
      </c>
      <c r="Q104" s="20">
        <f t="shared" si="107"/>
        <v>556.07428889692233</v>
      </c>
      <c r="R104" s="59">
        <f t="shared" si="55"/>
        <v>837.82444604842408</v>
      </c>
      <c r="S104" s="59">
        <f ca="1">AVERAGE(OFFSET($R$3,0,0,'Données projet'!$E$9+1,1))-AVERAGE(OFFSET($H$3,0,0,'Données projet'!$E$9+1,1))</f>
        <v>411.64357329340851</v>
      </c>
      <c r="T104" s="59">
        <f t="shared" si="88"/>
        <v>294.07942258675632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47.235966291694567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47.235966291694567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66.840951950409561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6.9935897435897401</v>
      </c>
      <c r="AI104" s="13">
        <f>IF('Données projet'!$A$62&gt;35,AI103+AH104-AQ103,IF(A104&lt;'Données projet'!$A$62,$AF$205^A104,IF(A104='Données projet'!$A$62,'Données projet'!$B$62,AI103+AH104-AQ103)))</f>
        <v>284.21794871794918</v>
      </c>
      <c r="AJ104" s="13">
        <f>AI104*VLOOKUP('Données projet'!$B$10,Paramètres!$A$1:$I$89,3,0)*VLOOKUP('Données projet'!$B$10,Paramètres!$A$1:$I$89,5,0)</f>
        <v>288.19700000000051</v>
      </c>
      <c r="AK104" s="13">
        <f t="shared" si="89"/>
        <v>68.696350845178046</v>
      </c>
      <c r="AL104" s="20">
        <f t="shared" si="58"/>
        <v>621.5892527220193</v>
      </c>
      <c r="AM104" s="59">
        <f t="shared" si="59"/>
        <v>903.33940987352094</v>
      </c>
      <c r="AN104" s="59">
        <f ca="1">AVERAGE(OFFSET($AM$3,0,0,'Données projet'!$E$10+1,1))-AVERAGE(OFFSET($H$3,0,0,'Données projet'!$E$10+1,1))</f>
        <v>453.05577105995508</v>
      </c>
      <c r="AO104" s="59">
        <f t="shared" si="90"/>
        <v>322.6839824496758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52.936858775174976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52.936858775174976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66.840951950409561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4.6794871794871762</v>
      </c>
      <c r="BD104" s="12">
        <f>IF('Données projet'!$A$88&gt;35,BD103+BC104-BL103,IF(A104&lt;'Données projet'!$A$88,$BA$205^A104,IF(A104='Données projet'!$A$88,'Données projet'!$B$88,BD103+BC104-BL103)))</f>
        <v>180.03846153846166</v>
      </c>
      <c r="BE104" s="13">
        <f>BD104*VLOOKUP('Données projet'!$B$11,Paramètres!$A$1:$I$89,3,0)*VLOOKUP('Données projet'!$B$11,Paramètres!$A$1:$I$89,5,0)</f>
        <v>179.75040000000013</v>
      </c>
      <c r="BF104" s="13">
        <f t="shared" si="91"/>
        <v>45.266650281250655</v>
      </c>
      <c r="BG104" s="20">
        <f t="shared" si="61"/>
        <v>391.90469590651173</v>
      </c>
      <c r="BH104" s="59">
        <f t="shared" si="62"/>
        <v>673.65485305801349</v>
      </c>
      <c r="BI104" s="59">
        <f ca="1">AVERAGE(OFFSET($BH$3,0,0,'Données projet'!$E$11+1,1))-AVERAGE(OFFSET($H$3,0,0,'Données projet'!$E$11+1,1))</f>
        <v>411.38162678377478</v>
      </c>
      <c r="BJ104" s="59">
        <f t="shared" si="92"/>
        <v>177.89903563360403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66.840951950409561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212.00000000000009</v>
      </c>
      <c r="BZ104" s="13">
        <f>BY104*VLOOKUP('Données projet'!$B$12,Paramètres!$A$1:$I$89,3,0)*VLOOKUP('Données projet'!$B$12,Paramètres!$A$1:$I$89,5,0)</f>
        <v>221.58240000000012</v>
      </c>
      <c r="CA104" s="13">
        <f t="shared" si="93"/>
        <v>54.458668952651578</v>
      </c>
      <c r="CB104" s="20">
        <f t="shared" si="64"/>
        <v>480.77152842586838</v>
      </c>
      <c r="CC104" s="59">
        <f t="shared" si="65"/>
        <v>762.52168557737014</v>
      </c>
      <c r="CD104" s="59">
        <f ca="1">AVERAGE(OFFSET($CC$3,0,0,'Données projet'!$E$12+1,1))-AVERAGE(OFFSET($H$3,0,0,'Données projet'!$E$12+1,1))</f>
        <v>374.38550202939507</v>
      </c>
      <c r="CE104" s="59">
        <f t="shared" si="94"/>
        <v>324.37486924296718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17.517737832733054</v>
      </c>
      <c r="CL104" s="21">
        <f>EXP(-LN(2)/25)*CL103+(1-EXP(-LN(2)/25))/(LN(2)/25)*Calculateur!CG104*Calculateur!CI104*VLOOKUP('Données projet'!$B$12,Paramètres!$A$1:$I$89,3,0)*0.475*44/12</f>
        <v>16.276986588592585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33.79472442132564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66.840951950409561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5.2583333333333373</v>
      </c>
      <c r="CT104" s="12">
        <f>IF('Données projet'!$A$140&gt;35,CT103+CS104-DB103,IF(A104&lt;'Données projet'!$A$140,$CQ$205^A104,IF(A104='Données projet'!$A$140,'Données projet'!$B$140,CT103+CS104-DB103)))</f>
        <v>224.25256410256381</v>
      </c>
      <c r="CU104" s="17">
        <f>CT104*VLOOKUP('Données projet'!$B$13,Paramètres!$A$1:$I$89,3,0)*VLOOKUP('Données projet'!$B$13,Paramètres!$A$1:$I$89,5,0)</f>
        <v>213.39873999999969</v>
      </c>
      <c r="CV104" s="13">
        <f t="shared" si="95"/>
        <v>52.677600491228638</v>
      </c>
      <c r="CW104" s="20">
        <f t="shared" si="67"/>
        <v>463.41629302222265</v>
      </c>
      <c r="CX104" s="59">
        <f t="shared" si="68"/>
        <v>745.16645017372434</v>
      </c>
      <c r="CY104" s="59">
        <f ca="1">AVERAGE(OFFSET($CX$3,0,0,'Données projet'!$E$13+1,1))-AVERAGE(OFFSET($H$3,0,0,'Données projet'!$E$13+1,1))</f>
        <v>392.81074187112989</v>
      </c>
      <c r="CZ104" s="59">
        <f t="shared" si="96"/>
        <v>236.19146849073687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21.913009317953815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21.913009317953815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66.840951950409561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5.2583333333333373</v>
      </c>
      <c r="DO104" s="12">
        <f>IF('Données projet'!$A$166&gt;35,DO103+DN104-DW103,IF(A104&lt;'Données projet'!$A$166,$DL$205^A104,IF(A104='Données projet'!$A$166,'Données projet'!$B$166,DO103+DN104-DW103)))</f>
        <v>224.25256410256381</v>
      </c>
      <c r="DP104" s="17">
        <f>DO104*VLOOKUP('Données projet'!$B$14,Paramètres!$A$1:$I$89,3,0)*VLOOKUP('Données projet'!$B$14,Paramètres!$A$1:$I$89,5,0)</f>
        <v>241.38545999999968</v>
      </c>
      <c r="DQ104" s="13">
        <f t="shared" si="97"/>
        <v>58.737519014834092</v>
      </c>
      <c r="DR104" s="20">
        <f t="shared" si="70"/>
        <v>522.71418845083542</v>
      </c>
      <c r="DS104" s="59">
        <f t="shared" si="71"/>
        <v>804.46434560233706</v>
      </c>
      <c r="DT104" s="59">
        <f ca="1">AVERAGE(OFFSET($DS$3,0,0,'Données projet'!$E$14+1,1))-AVERAGE(OFFSET($H$3,0,0,'Données projet'!$E$14+1,1))</f>
        <v>434.77799524785502</v>
      </c>
      <c r="DU104" s="59">
        <f t="shared" si="98"/>
        <v>259.85949838170006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24.786846605554313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24.786846605554313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66.840951950409561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5.2583333333333373</v>
      </c>
      <c r="EJ104" s="12">
        <f>IF('Données projet'!$A$192&gt;35,EJ103+EI104-ER103,IF(A104&lt;'Données projet'!$A$192,$EG$205^A104,IF(A104='Données projet'!$A$192,'Données projet'!$B$192,EJ103+EI104-ER103)))</f>
        <v>224.25256410256381</v>
      </c>
      <c r="EK104" s="17">
        <f>EJ104*VLOOKUP('Données projet'!$B$15,Paramètres!$A$1:$I$89,3,0)*VLOOKUP('Données projet'!$B$15,Paramètres!$A$1:$I$89,5,0)</f>
        <v>216.89707999999973</v>
      </c>
      <c r="EL104" s="13">
        <f t="shared" si="99"/>
        <v>53.439924868212991</v>
      </c>
      <c r="EM104" s="20">
        <f t="shared" si="73"/>
        <v>470.83695014547044</v>
      </c>
      <c r="EN104" s="59">
        <f t="shared" si="74"/>
        <v>752.58710729697214</v>
      </c>
      <c r="EO104" s="59">
        <f ca="1">AVERAGE(OFFSET($EN$3,0,0,'Données projet'!$E$15+1,1))-AVERAGE(OFFSET($H$3,0,0,'Données projet'!$E$15+1,1))</f>
        <v>398.06270423055565</v>
      </c>
      <c r="EP104" s="59">
        <f t="shared" si="100"/>
        <v>239.15364562040614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22.272238978903889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22.272238978903889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66.840951950409561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-1.7053025658242404E-13</v>
      </c>
      <c r="FF104" s="17">
        <f>FE104*VLOOKUP('Données projet'!$B$16,Paramètres!$A$1:$I$89,3,0)*VLOOKUP('Données projet'!$B$16,Paramètres!$A$1:$I$89,5,0)</f>
        <v>-1.0197709343628959E-13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334.13861979962491</v>
      </c>
      <c r="FK104" s="59">
        <f t="shared" si="102"/>
        <v>416.48635183664305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66.794956424584115</v>
      </c>
      <c r="FR104" s="21">
        <f>EXP(-LN(2)/25)*FR103+(1-EXP(-LN(2)/25))/(LN(2)/25)*Calculateur!FM104*Calculateur!FO104*VLOOKUP('Données projet'!$B$16,Paramètres!$A$1:$I$89,3,0)*0.475*44/12</f>
        <v>12.693282692781276</v>
      </c>
      <c r="FS104" s="21">
        <f>EXP(-LN(2)/2)*FS103+(1-EXP(-LN(2)/2))/(LN(2)/2)*FM104*FP104*VLOOKUP('Données projet'!$B$16,Paramètres!$A$1:$I$89,3,0)*0.475*44/12</f>
        <v>6.8120047800063351E-6</v>
      </c>
      <c r="FT104" s="22">
        <f t="shared" si="78"/>
        <v>79.48824592937018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66.840951950409561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7.5015384615384617</v>
      </c>
      <c r="FZ104" s="12">
        <f>IF('Données projet'!$A$244&gt;35,FZ103+FY104-GH103,IF(A104&lt;'Données projet'!$A$244,$FW$205^A104,IF(A104='Données projet'!$A$244,'Données projet'!$B$244,FZ103+FY104-GH103)))</f>
        <v>279.70923076923106</v>
      </c>
      <c r="GA104" s="17">
        <f>FZ104*VLOOKUP('Données projet'!$B$17,Paramètres!$A$1:$I$89,3,0)*VLOOKUP('Données projet'!$B$17,Paramètres!$A$1:$I$89,5,0)</f>
        <v>130.90392000000014</v>
      </c>
      <c r="GB104" s="13">
        <f t="shared" si="103"/>
        <v>34.205144397668505</v>
      </c>
      <c r="GC104" s="20">
        <f t="shared" si="79"/>
        <v>287.56495382593954</v>
      </c>
      <c r="GD104" s="59">
        <f t="shared" si="80"/>
        <v>569.31511097744124</v>
      </c>
      <c r="GE104" s="59">
        <f ca="1">AVERAGE(OFFSET($GD$3,0,0,'Données projet'!$E$17+1,1))-AVERAGE(OFFSET($H$3,0,0,'Données projet'!$E$17+1,1))</f>
        <v>317.79829681023142</v>
      </c>
      <c r="GF104" s="59">
        <f t="shared" si="104"/>
        <v>275.07716943523621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109.534884119293</v>
      </c>
      <c r="GM104" s="21">
        <f>EXP(-LN(2)/25)*GM103+(1-EXP(-LN(2)/25))/(LN(2)/25)*Calculateur!GH104*Calculateur!GJ104*VLOOKUP('Données projet'!$B$17,Paramètres!$A$1:$I$89,3,0)*0.475*44/12</f>
        <v>29.300128479192029</v>
      </c>
      <c r="GN104" s="21">
        <f>EXP(-LN(2)/2)*GN103+(1-EXP(-LN(2)/2))/(LN(2)/2)*GH104*GK104*VLOOKUP('Données projet'!$B$17,Paramètres!$A$1:$I$89,3,0)*0.475*44/12</f>
        <v>2.0946642303284819</v>
      </c>
      <c r="GO104" s="21">
        <f t="shared" si="81"/>
        <v>140.92967682881351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66.840951950409561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>
        <f>GU104*VLOOKUP('Données projet'!$B$18,Paramètres!$A$1:$I$89,3,0)*VLOOKUP('Données projet'!$B$18,Paramètres!$A$1:$I$89,5,0)</f>
        <v>0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336.21787234885699</v>
      </c>
      <c r="HA104" s="59">
        <f t="shared" si="106"/>
        <v>315.36156736899113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113.91404547573903</v>
      </c>
      <c r="HH104" s="21">
        <f>EXP(-LN(2)/25)*HH103+(1-EXP(-LN(2)/25))/(LN(2)/25)*Calculateur!HC104*Calculateur!HE104*VLOOKUP('Données projet'!$B$18,Paramètres!$A$1:$I$89,3,0)*0.475*44/12</f>
        <v>23.46751105739563</v>
      </c>
      <c r="HI104" s="21">
        <f>EXP(-LN(2)/2)*HI103+(1-EXP(-LN(2)/2))/(LN(2)/2)*HC104*HF104*VLOOKUP('Données projet'!$B$18,Paramètres!$A$1:$I$89,3,0)*0.475*44/12</f>
        <v>8.5954992934292589E-4</v>
      </c>
      <c r="HJ104" s="22">
        <f t="shared" si="84"/>
        <v>137.38241608306402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3.7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13.566666666666668</v>
      </c>
      <c r="H105" s="67">
        <f t="shared" si="56"/>
        <v>202.4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66.895754371496565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291.21153846153891</v>
      </c>
      <c r="O105" s="13">
        <f>N105*VLOOKUP('Données projet'!$B$9,Paramètres!$A$1:$I$89,3,0)*VLOOKUP('Données projet'!$B$9,Paramètres!$A$1:$I$89,5,0)</f>
        <v>263.4882000000004</v>
      </c>
      <c r="P105" s="13">
        <f t="shared" si="87"/>
        <v>63.465343539396919</v>
      </c>
      <c r="Q105" s="20">
        <f t="shared" si="107"/>
        <v>569.44408833111697</v>
      </c>
      <c r="R105" s="59">
        <f t="shared" si="55"/>
        <v>851.39518769327105</v>
      </c>
      <c r="S105" s="59">
        <f ca="1">AVERAGE(OFFSET($R$3,0,0,'Données projet'!$E$9+1,1))-AVERAGE(OFFSET($H$3,0,0,'Données projet'!$E$9+1,1))</f>
        <v>411.64357329340851</v>
      </c>
      <c r="T105" s="59">
        <f t="shared" si="88"/>
        <v>294.07942258675632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46.309697803809016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46.309697803809016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66.895754371496565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6.9935897435897401</v>
      </c>
      <c r="AI105" s="13">
        <f>IF('Données projet'!$A$62&gt;35,AI104+AH105-AQ104,IF(A105&lt;'Données projet'!$A$62,$AF$205^A105,IF(A105='Données projet'!$A$62,'Données projet'!$B$62,AI104+AH105-AQ104)))</f>
        <v>291.21153846153891</v>
      </c>
      <c r="AJ105" s="13">
        <f>AI105*VLOOKUP('Données projet'!$B$10,Paramètres!$A$1:$I$89,3,0)*VLOOKUP('Données projet'!$B$10,Paramètres!$A$1:$I$89,5,0)</f>
        <v>295.28850000000051</v>
      </c>
      <c r="AK105" s="13">
        <f t="shared" si="89"/>
        <v>70.187843985612119</v>
      </c>
      <c r="AL105" s="20">
        <f t="shared" si="58"/>
        <v>636.53796577494199</v>
      </c>
      <c r="AM105" s="59">
        <f t="shared" si="59"/>
        <v>918.48906513709608</v>
      </c>
      <c r="AN105" s="59">
        <f ca="1">AVERAGE(OFFSET($AM$3,0,0,'Données projet'!$E$10+1,1))-AVERAGE(OFFSET($H$3,0,0,'Données projet'!$E$10+1,1))</f>
        <v>453.05577105995508</v>
      </c>
      <c r="AO105" s="59">
        <f t="shared" si="90"/>
        <v>322.6839824496758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51.89879926288944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51.89879926288944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66.895754371496565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4.6794871794871762</v>
      </c>
      <c r="BD105" s="12">
        <f>IF('Données projet'!$A$88&gt;35,BD104+BC105-BL104,IF(A105&lt;'Données projet'!$A$88,$BA$205^A105,IF(A105='Données projet'!$A$88,'Données projet'!$B$88,BD104+BC105-BL104)))</f>
        <v>184.71794871794884</v>
      </c>
      <c r="BE105" s="13">
        <f>BD105*VLOOKUP('Données projet'!$B$11,Paramètres!$A$1:$I$89,3,0)*VLOOKUP('Données projet'!$B$11,Paramètres!$A$1:$I$89,5,0)</f>
        <v>184.42240000000012</v>
      </c>
      <c r="BF105" s="13">
        <f t="shared" si="91"/>
        <v>46.304694495656072</v>
      </c>
      <c r="BG105" s="20">
        <f t="shared" si="61"/>
        <v>401.84968957993448</v>
      </c>
      <c r="BH105" s="59">
        <f t="shared" si="62"/>
        <v>683.8007889420885</v>
      </c>
      <c r="BI105" s="59">
        <f ca="1">AVERAGE(OFFSET($BH$3,0,0,'Données projet'!$E$11+1,1))-AVERAGE(OFFSET($H$3,0,0,'Données projet'!$E$11+1,1))</f>
        <v>411.38162678377478</v>
      </c>
      <c r="BJ105" s="59">
        <f t="shared" si="92"/>
        <v>177.89903563360403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66.895754371496565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212.00000000000009</v>
      </c>
      <c r="BZ105" s="13">
        <f>BY105*VLOOKUP('Données projet'!$B$12,Paramètres!$A$1:$I$89,3,0)*VLOOKUP('Données projet'!$B$12,Paramètres!$A$1:$I$89,5,0)</f>
        <v>221.58240000000012</v>
      </c>
      <c r="CA105" s="13">
        <f t="shared" si="93"/>
        <v>54.458668952651578</v>
      </c>
      <c r="CB105" s="20">
        <f t="shared" si="64"/>
        <v>480.77152842586838</v>
      </c>
      <c r="CC105" s="59">
        <f t="shared" si="65"/>
        <v>762.72262778802246</v>
      </c>
      <c r="CD105" s="59">
        <f ca="1">AVERAGE(OFFSET($CC$3,0,0,'Données projet'!$E$12+1,1))-AVERAGE(OFFSET($H$3,0,0,'Données projet'!$E$12+1,1))</f>
        <v>374.38550202939507</v>
      </c>
      <c r="CE105" s="59">
        <f t="shared" si="94"/>
        <v>324.37486924296718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17.174225678598205</v>
      </c>
      <c r="CL105" s="21">
        <f>EXP(-LN(2)/25)*CL104+(1-EXP(-LN(2)/25))/(LN(2)/25)*Calculateur!CG105*Calculateur!CI105*VLOOKUP('Données projet'!$B$12,Paramètres!$A$1:$I$89,3,0)*0.475*44/12</f>
        <v>15.831891534357998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33.006117212956205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66.895754371496565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5.2583333333333373</v>
      </c>
      <c r="CT105" s="12">
        <f>IF('Données projet'!$A$140&gt;35,CT104+CS105-DB104,IF(A105&lt;'Données projet'!$A$140,$CQ$205^A105,IF(A105='Données projet'!$A$140,'Données projet'!$B$140,CT104+CS105-DB104)))</f>
        <v>229.51089743589714</v>
      </c>
      <c r="CU105" s="17">
        <f>CT105*VLOOKUP('Données projet'!$B$13,Paramètres!$A$1:$I$89,3,0)*VLOOKUP('Données projet'!$B$13,Paramètres!$A$1:$I$89,5,0)</f>
        <v>218.40256999999971</v>
      </c>
      <c r="CV105" s="13">
        <f t="shared" si="95"/>
        <v>53.767545083207914</v>
      </c>
      <c r="CW105" s="20">
        <f t="shared" si="67"/>
        <v>474.02961710325332</v>
      </c>
      <c r="CX105" s="59">
        <f t="shared" si="68"/>
        <v>755.98071646540734</v>
      </c>
      <c r="CY105" s="59">
        <f ca="1">AVERAGE(OFFSET($CX$3,0,0,'Données projet'!$E$13+1,1))-AVERAGE(OFFSET($H$3,0,0,'Données projet'!$E$13+1,1))</f>
        <v>392.81074187112989</v>
      </c>
      <c r="CZ105" s="59">
        <f t="shared" si="96"/>
        <v>236.19146849073687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21.483308570844681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21.483308570844681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66.895754371496565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5.2583333333333373</v>
      </c>
      <c r="DO105" s="12">
        <f>IF('Données projet'!$A$166&gt;35,DO104+DN105-DW104,IF(A105&lt;'Données projet'!$A$166,$DL$205^A105,IF(A105='Données projet'!$A$166,'Données projet'!$B$166,DO104+DN105-DW104)))</f>
        <v>229.51089743589714</v>
      </c>
      <c r="DP105" s="17">
        <f>DO105*VLOOKUP('Données projet'!$B$14,Paramètres!$A$1:$I$89,3,0)*VLOOKUP('Données projet'!$B$14,Paramètres!$A$1:$I$89,5,0)</f>
        <v>247.04552999999967</v>
      </c>
      <c r="DQ105" s="13">
        <f t="shared" si="97"/>
        <v>59.952848502120737</v>
      </c>
      <c r="DR105" s="20">
        <f t="shared" si="70"/>
        <v>534.68884255785974</v>
      </c>
      <c r="DS105" s="59">
        <f t="shared" si="71"/>
        <v>816.63994192001383</v>
      </c>
      <c r="DT105" s="59">
        <f ca="1">AVERAGE(OFFSET($DS$3,0,0,'Données projet'!$E$14+1,1))-AVERAGE(OFFSET($H$3,0,0,'Données projet'!$E$14+1,1))</f>
        <v>434.77799524785502</v>
      </c>
      <c r="DU105" s="59">
        <f t="shared" si="98"/>
        <v>259.85949838170006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24.300791662102995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24.300791662102995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66.895754371496565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5.2583333333333373</v>
      </c>
      <c r="EJ105" s="12">
        <f>IF('Données projet'!$A$192&gt;35,EJ104+EI105-ER104,IF(A105&lt;'Données projet'!$A$192,$EG$205^A105,IF(A105='Données projet'!$A$192,'Données projet'!$B$192,EJ104+EI105-ER104)))</f>
        <v>229.51089743589714</v>
      </c>
      <c r="EK105" s="17">
        <f>EJ105*VLOOKUP('Données projet'!$B$15,Paramètres!$A$1:$I$89,3,0)*VLOOKUP('Données projet'!$B$15,Paramètres!$A$1:$I$89,5,0)</f>
        <v>221.9829399999997</v>
      </c>
      <c r="EL105" s="13">
        <f t="shared" si="99"/>
        <v>54.545642603317233</v>
      </c>
      <c r="EM105" s="20">
        <f t="shared" si="73"/>
        <v>481.62061470077691</v>
      </c>
      <c r="EN105" s="59">
        <f t="shared" si="74"/>
        <v>763.57171406293105</v>
      </c>
      <c r="EO105" s="59">
        <f ca="1">AVERAGE(OFFSET($EN$3,0,0,'Données projet'!$E$15+1,1))-AVERAGE(OFFSET($H$3,0,0,'Données projet'!$E$15+1,1))</f>
        <v>398.06270423055565</v>
      </c>
      <c r="EP105" s="59">
        <f t="shared" si="100"/>
        <v>239.15364562040614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21.83549395725198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21.83549395725198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66.895754371496565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-1.7053025658242404E-13</v>
      </c>
      <c r="FF105" s="17">
        <f>FE105*VLOOKUP('Données projet'!$B$16,Paramètres!$A$1:$I$89,3,0)*VLOOKUP('Données projet'!$B$16,Paramètres!$A$1:$I$89,5,0)</f>
        <v>-1.0197709343628959E-13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334.13861979962491</v>
      </c>
      <c r="FK105" s="59">
        <f t="shared" si="102"/>
        <v>416.48635183664305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65.485148069998615</v>
      </c>
      <c r="FR105" s="21">
        <f>EXP(-LN(2)/25)*FR104+(1-EXP(-LN(2)/25))/(LN(2)/25)*Calculateur!FM105*Calculateur!FO105*VLOOKUP('Données projet'!$B$16,Paramètres!$A$1:$I$89,3,0)*0.475*44/12</f>
        <v>12.346184210036446</v>
      </c>
      <c r="FS105" s="21">
        <f>EXP(-LN(2)/2)*FS104+(1-EXP(-LN(2)/2))/(LN(2)/2)*FM105*FP105*VLOOKUP('Données projet'!$B$16,Paramètres!$A$1:$I$89,3,0)*0.475*44/12</f>
        <v>4.8168147734176553E-6</v>
      </c>
      <c r="FT105" s="22">
        <f t="shared" si="78"/>
        <v>77.831337096849836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66.895754371496565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7.5015384615384617</v>
      </c>
      <c r="FZ105" s="12">
        <f>IF('Données projet'!$A$244&gt;35,FZ104+FY105-GH104,IF(A105&lt;'Données projet'!$A$244,$FW$205^A105,IF(A105='Données projet'!$A$244,'Données projet'!$B$244,FZ104+FY105-GH104)))</f>
        <v>287.21076923076953</v>
      </c>
      <c r="GA105" s="17">
        <f>FZ105*VLOOKUP('Données projet'!$B$17,Paramètres!$A$1:$I$89,3,0)*VLOOKUP('Données projet'!$B$17,Paramètres!$A$1:$I$89,5,0)</f>
        <v>134.41464000000013</v>
      </c>
      <c r="GB105" s="13">
        <f t="shared" si="103"/>
        <v>35.014461935490388</v>
      </c>
      <c r="GC105" s="20">
        <f t="shared" si="79"/>
        <v>295.08901920431265</v>
      </c>
      <c r="GD105" s="59">
        <f t="shared" si="80"/>
        <v>577.04011856646673</v>
      </c>
      <c r="GE105" s="59">
        <f ca="1">AVERAGE(OFFSET($GD$3,0,0,'Données projet'!$E$17+1,1))-AVERAGE(OFFSET($H$3,0,0,'Données projet'!$E$17+1,1))</f>
        <v>317.79829681023142</v>
      </c>
      <c r="GF105" s="59">
        <f t="shared" si="104"/>
        <v>275.07716943523621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107.38697185139607</v>
      </c>
      <c r="GM105" s="21">
        <f>EXP(-LN(2)/25)*GM104+(1-EXP(-LN(2)/25))/(LN(2)/25)*Calculateur!GH105*Calculateur!GJ105*VLOOKUP('Données projet'!$B$17,Paramètres!$A$1:$I$89,3,0)*0.475*44/12</f>
        <v>28.498914925101733</v>
      </c>
      <c r="GN105" s="21">
        <f>EXP(-LN(2)/2)*GN104+(1-EXP(-LN(2)/2))/(LN(2)/2)*GH105*GK105*VLOOKUP('Données projet'!$B$17,Paramètres!$A$1:$I$89,3,0)*0.475*44/12</f>
        <v>1.4811512815741699</v>
      </c>
      <c r="GO105" s="21">
        <f t="shared" si="81"/>
        <v>137.36703805807198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66.895754371496565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>
        <f>GU105*VLOOKUP('Données projet'!$B$18,Paramètres!$A$1:$I$89,3,0)*VLOOKUP('Données projet'!$B$18,Paramètres!$A$1:$I$89,5,0)</f>
        <v>0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336.21787234885699</v>
      </c>
      <c r="HA105" s="59">
        <f t="shared" si="106"/>
        <v>315.36156736899113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111.68026052466688</v>
      </c>
      <c r="HH105" s="21">
        <f>EXP(-LN(2)/25)*HH104+(1-EXP(-LN(2)/25))/(LN(2)/25)*Calculateur!HC105*Calculateur!HE105*VLOOKUP('Données projet'!$B$18,Paramètres!$A$1:$I$89,3,0)*0.475*44/12</f>
        <v>22.825790733428374</v>
      </c>
      <c r="HI105" s="21">
        <f>EXP(-LN(2)/2)*HI104+(1-EXP(-LN(2)/2))/(LN(2)/2)*HC105*HF105*VLOOKUP('Données projet'!$B$18,Paramètres!$A$1:$I$89,3,0)*0.475*44/12</f>
        <v>6.0779358380680067E-4</v>
      </c>
      <c r="HJ105" s="22">
        <f t="shared" si="84"/>
        <v>134.50665905167907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3.7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13.566666666666668</v>
      </c>
      <c r="H106" s="67">
        <f t="shared" si="56"/>
        <v>202.4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66.949606093097557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298.20512820512863</v>
      </c>
      <c r="O106" s="13">
        <f>N106*VLOOKUP('Données projet'!$B$9,Paramètres!$A$1:$I$89,3,0)*VLOOKUP('Données projet'!$B$9,Paramètres!$A$1:$I$89,5,0)</f>
        <v>269.81600000000037</v>
      </c>
      <c r="P106" s="13">
        <f t="shared" si="87"/>
        <v>64.810218294809729</v>
      </c>
      <c r="Q106" s="20">
        <f t="shared" si="107"/>
        <v>582.80733019679417</v>
      </c>
      <c r="R106" s="59">
        <f t="shared" si="55"/>
        <v>864.95588587148518</v>
      </c>
      <c r="S106" s="59">
        <f ca="1">AVERAGE(OFFSET($R$3,0,0,'Données projet'!$E$9+1,1))-AVERAGE(OFFSET($H$3,0,0,'Données projet'!$E$9+1,1))</f>
        <v>411.64357329340851</v>
      </c>
      <c r="T106" s="59">
        <f t="shared" si="88"/>
        <v>294.07942258675632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45.401592876002908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45.401592876002908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66.949606093097557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6.9935897435897401</v>
      </c>
      <c r="AI106" s="13">
        <f>IF('Données projet'!$A$62&gt;35,AI105+AH106-AQ105,IF(A106&lt;'Données projet'!$A$62,$AF$205^A106,IF(A106='Données projet'!$A$62,'Données projet'!$B$62,AI105+AH106-AQ105)))</f>
        <v>298.20512820512863</v>
      </c>
      <c r="AJ106" s="13">
        <f>AI106*VLOOKUP('Données projet'!$B$10,Paramètres!$A$1:$I$89,3,0)*VLOOKUP('Données projet'!$B$10,Paramètres!$A$1:$I$89,5,0)</f>
        <v>302.38000000000045</v>
      </c>
      <c r="AK106" s="13">
        <f t="shared" si="89"/>
        <v>71.67517319946117</v>
      </c>
      <c r="AL106" s="20">
        <f t="shared" si="58"/>
        <v>651.47942665572896</v>
      </c>
      <c r="AM106" s="59">
        <f t="shared" si="59"/>
        <v>933.62798233042008</v>
      </c>
      <c r="AN106" s="59">
        <f ca="1">AVERAGE(OFFSET($AM$3,0,0,'Données projet'!$E$10+1,1))-AVERAGE(OFFSET($H$3,0,0,'Données projet'!$E$10+1,1))</f>
        <v>453.05577105995508</v>
      </c>
      <c r="AO106" s="59">
        <f t="shared" si="90"/>
        <v>322.6839824496758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50.881095464486044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50.881095464486044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66.949606093097557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4.6794871794871762</v>
      </c>
      <c r="BD106" s="12">
        <f>IF('Données projet'!$A$88&gt;35,BD105+BC106-BL105,IF(A106&lt;'Données projet'!$A$88,$BA$205^A106,IF(A106='Données projet'!$A$88,'Données projet'!$B$88,BD105+BC106-BL105)))</f>
        <v>189.39743589743603</v>
      </c>
      <c r="BE106" s="13">
        <f>BD106*VLOOKUP('Données projet'!$B$11,Paramètres!$A$1:$I$89,3,0)*VLOOKUP('Données projet'!$B$11,Paramètres!$A$1:$I$89,5,0)</f>
        <v>189.09440000000015</v>
      </c>
      <c r="BF106" s="13">
        <f t="shared" si="91"/>
        <v>47.339681910730015</v>
      </c>
      <c r="BG106" s="20">
        <f t="shared" si="61"/>
        <v>411.78935932785498</v>
      </c>
      <c r="BH106" s="59">
        <f t="shared" si="62"/>
        <v>693.93791500254611</v>
      </c>
      <c r="BI106" s="59">
        <f ca="1">AVERAGE(OFFSET($BH$3,0,0,'Données projet'!$E$11+1,1))-AVERAGE(OFFSET($H$3,0,0,'Données projet'!$E$11+1,1))</f>
        <v>411.38162678377478</v>
      </c>
      <c r="BJ106" s="59">
        <f t="shared" si="92"/>
        <v>177.89903563360403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66.949606093097557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212.00000000000009</v>
      </c>
      <c r="BZ106" s="13">
        <f>BY106*VLOOKUP('Données projet'!$B$12,Paramètres!$A$1:$I$89,3,0)*VLOOKUP('Données projet'!$B$12,Paramètres!$A$1:$I$89,5,0)</f>
        <v>221.58240000000012</v>
      </c>
      <c r="CA106" s="13">
        <f t="shared" si="93"/>
        <v>54.458668952651578</v>
      </c>
      <c r="CB106" s="20">
        <f t="shared" si="64"/>
        <v>480.77152842586838</v>
      </c>
      <c r="CC106" s="59">
        <f t="shared" si="65"/>
        <v>762.92008410055951</v>
      </c>
      <c r="CD106" s="59">
        <f ca="1">AVERAGE(OFFSET($CC$3,0,0,'Données projet'!$E$12+1,1))-AVERAGE(OFFSET($H$3,0,0,'Données projet'!$E$12+1,1))</f>
        <v>374.38550202939507</v>
      </c>
      <c r="CE106" s="59">
        <f t="shared" si="94"/>
        <v>324.37486924296718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16.837449588284215</v>
      </c>
      <c r="CL106" s="21">
        <f>EXP(-LN(2)/25)*CL105+(1-EXP(-LN(2)/25))/(LN(2)/25)*Calculateur!CG106*Calculateur!CI106*VLOOKUP('Données projet'!$B$12,Paramètres!$A$1:$I$89,3,0)*0.475*44/12</f>
        <v>15.398967627787988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32.236417216072205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66.949606093097557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234.76923076923077</v>
      </c>
      <c r="CR106" s="12">
        <f>VLOOKUP(A106,'Données projet'!$A$139:$I$159,9,0)</f>
        <v>5.2583333333333373</v>
      </c>
      <c r="CS106" s="12">
        <f t="array" ref="CS106">INDEX(CR:CR,MIN(IF(ISNUMBER(CR106:CR302),ROW(CR106:CR302),"")))</f>
        <v>5.2583333333333373</v>
      </c>
      <c r="CT106" s="12">
        <f>IF('Données projet'!$A$140&gt;35,CT105+CS106-DB105,IF(A106&lt;'Données projet'!$A$140,$CQ$205^A106,IF(A106='Données projet'!$A$140,'Données projet'!$B$140,CT105+CS106-DB105)))</f>
        <v>234.76923076923046</v>
      </c>
      <c r="CU106" s="17">
        <f>CT106*VLOOKUP('Données projet'!$B$13,Paramètres!$A$1:$I$89,3,0)*VLOOKUP('Données projet'!$B$13,Paramètres!$A$1:$I$89,5,0)</f>
        <v>223.40639999999971</v>
      </c>
      <c r="CV106" s="13">
        <f t="shared" si="95"/>
        <v>54.854586565845779</v>
      </c>
      <c r="CW106" s="20">
        <f t="shared" si="67"/>
        <v>484.63788493551419</v>
      </c>
      <c r="CX106" s="59">
        <f t="shared" si="68"/>
        <v>766.78644061020532</v>
      </c>
      <c r="CY106" s="59">
        <f ca="1">AVERAGE(OFFSET($CX$3,0,0,'Données projet'!$E$13+1,1))-AVERAGE(OFFSET($H$3,0,0,'Données projet'!$E$13+1,1))</f>
        <v>392.81074187112989</v>
      </c>
      <c r="CZ106" s="59">
        <f t="shared" si="96"/>
        <v>236.19146849073687</v>
      </c>
      <c r="DA106" s="15">
        <f>IF(ISNA(VLOOKUP(A106,'Données projet'!$A$139:$I$159,3,0)),0,VLOOKUP(A106,'Données projet'!$A$139:$I$159,3,0))</f>
        <v>8</v>
      </c>
      <c r="DB106" s="15">
        <f>IF(ISNA(VLOOKUP(A106,'Données projet'!$A$139:$I$159,4,0)),0,VLOOKUP(A106,'Données projet'!$A$139:$I$159,4,0))</f>
        <v>39.512820512820511</v>
      </c>
      <c r="DC106" s="16">
        <f>IF(ISNA(VLOOKUP(A106,'Données projet'!$A$139:$I$159,5,0)),0%,VLOOKUP(A106,'Données projet'!$A$139:$I$159,5,0)*VLOOKUP('Données projet'!$B$13,Paramètres!$A$1:$I$89,7,0))</f>
        <v>0.30099999999999999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33.573438659330591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33.573438659330591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66.949606093097557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234.76923076923077</v>
      </c>
      <c r="DM106" s="12">
        <f>VLOOKUP(A106,'Données projet'!$A$165:$I$185,9,0)</f>
        <v>5.2583333333333373</v>
      </c>
      <c r="DN106" s="12">
        <f t="array" ref="DN106">INDEX(DM:DM,MIN(IF(ISNUMBER(DM106:DM302),ROW(DM106:DM302),"")))</f>
        <v>5.2583333333333373</v>
      </c>
      <c r="DO106" s="12">
        <f>IF('Données projet'!$A$166&gt;35,DO105+DN106-DW105,IF(A106&lt;'Données projet'!$A$166,$DL$205^A106,IF(A106='Données projet'!$A$166,'Données projet'!$B$166,DO105+DN106-DW105)))</f>
        <v>234.76923076923046</v>
      </c>
      <c r="DP106" s="17">
        <f>DO106*VLOOKUP('Données projet'!$B$14,Paramètres!$A$1:$I$89,3,0)*VLOOKUP('Données projet'!$B$14,Paramètres!$A$1:$I$89,5,0)</f>
        <v>252.70559999999969</v>
      </c>
      <c r="DQ106" s="13">
        <f t="shared" si="97"/>
        <v>61.164940912574906</v>
      </c>
      <c r="DR106" s="20">
        <f t="shared" si="70"/>
        <v>546.65785875606741</v>
      </c>
      <c r="DS106" s="59">
        <f t="shared" si="71"/>
        <v>828.80641443075842</v>
      </c>
      <c r="DT106" s="59">
        <f ca="1">AVERAGE(OFFSET($DS$3,0,0,'Données projet'!$E$14+1,1))-AVERAGE(OFFSET($H$3,0,0,'Données projet'!$E$14+1,1))</f>
        <v>434.77799524785502</v>
      </c>
      <c r="DU106" s="59">
        <f t="shared" si="98"/>
        <v>259.85949838170006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39.512820512820511</v>
      </c>
      <c r="DX106" s="16">
        <f>IF(ISNA(VLOOKUP(A106,'Données projet'!$A$165:$I$185,5,0)),0%,VLOOKUP(A106,'Données projet'!$A$165:$I$185,5,0)*VLOOKUP('Données projet'!$B$14,Paramètres!$A$1:$I$89,7,0))</f>
        <v>0.30099999999999999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37.976512581865748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37.976512581865748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66.949606093097557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>
        <f>VLOOKUP(A106,'Données projet'!$A$191:$I$211,2,0)</f>
        <v>234.76923076923077</v>
      </c>
      <c r="EH106" s="12">
        <f>VLOOKUP(A106,'Données projet'!$A$191:$I$211,9,0)</f>
        <v>5.2583333333333373</v>
      </c>
      <c r="EI106" s="12">
        <f t="array" ref="EI106">INDEX(EH:EH,MIN(IF(ISNUMBER(EH106:EH302),ROW(EH106:EH302),"")))</f>
        <v>5.2583333333333373</v>
      </c>
      <c r="EJ106" s="12">
        <f>IF('Données projet'!$A$192&gt;35,EJ105+EI106-ER105,IF(A106&lt;'Données projet'!$A$192,$EG$205^A106,IF(A106='Données projet'!$A$192,'Données projet'!$B$192,EJ105+EI106-ER105)))</f>
        <v>234.76923076923046</v>
      </c>
      <c r="EK106" s="17">
        <f>EJ106*VLOOKUP('Données projet'!$B$15,Paramètres!$A$1:$I$89,3,0)*VLOOKUP('Données projet'!$B$15,Paramètres!$A$1:$I$89,5,0)</f>
        <v>227.0687999999997</v>
      </c>
      <c r="EL106" s="13">
        <f t="shared" si="99"/>
        <v>55.648415216706702</v>
      </c>
      <c r="EM106" s="20">
        <f t="shared" si="73"/>
        <v>492.39914983576364</v>
      </c>
      <c r="EN106" s="59">
        <f t="shared" si="74"/>
        <v>774.54770551045476</v>
      </c>
      <c r="EO106" s="59">
        <f ca="1">AVERAGE(OFFSET($EN$3,0,0,'Données projet'!$E$15+1,1))-AVERAGE(OFFSET($H$3,0,0,'Données projet'!$E$15+1,1))</f>
        <v>398.06270423055565</v>
      </c>
      <c r="EP106" s="59">
        <f t="shared" si="100"/>
        <v>239.15364562040614</v>
      </c>
      <c r="EQ106" s="15">
        <f>IF(ISNA(VLOOKUP(A106,'Données projet'!$A$191:$I$211,3,0)),0,VLOOKUP(A106,'Données projet'!$A$191:$I$211,3,0))</f>
        <v>8</v>
      </c>
      <c r="ER106" s="15">
        <f>IF(ISNA(VLOOKUP(A106,'Données projet'!$A$191:$I$211,4,0)),0,VLOOKUP(A106,'Données projet'!$A$191:$I$211,4,0))</f>
        <v>39.512820512820511</v>
      </c>
      <c r="ES106" s="16">
        <f>IF(ISNA(VLOOKUP(A106,'Données projet'!$A$191:$I$211,5,0)),0%,VLOOKUP(A106,'Données projet'!$A$191:$I$211,5,0)*VLOOKUP('Données projet'!$B$15,Paramètres!$A$1:$I$89,7,0))</f>
        <v>0.30099999999999999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34.123822899647493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34.123822899647493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66.949606093097557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-1.7053025658242404E-13</v>
      </c>
      <c r="FF106" s="17">
        <f>FE106*VLOOKUP('Données projet'!$B$16,Paramètres!$A$1:$I$89,3,0)*VLOOKUP('Données projet'!$B$16,Paramètres!$A$1:$I$89,5,0)</f>
        <v>-1.0197709343628959E-13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334.13861979962491</v>
      </c>
      <c r="FK106" s="59">
        <f t="shared" si="102"/>
        <v>416.48635183664305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64.201024258342315</v>
      </c>
      <c r="FR106" s="21">
        <f>EXP(-LN(2)/25)*FR105+(1-EXP(-LN(2)/25))/(LN(2)/25)*Calculateur!FM106*Calculateur!FO106*VLOOKUP('Données projet'!$B$16,Paramètres!$A$1:$I$89,3,0)*0.475*44/12</f>
        <v>12.00857715355539</v>
      </c>
      <c r="FS106" s="21">
        <f>EXP(-LN(2)/2)*FS105+(1-EXP(-LN(2)/2))/(LN(2)/2)*FM106*FP106*VLOOKUP('Données projet'!$B$16,Paramètres!$A$1:$I$89,3,0)*0.475*44/12</f>
        <v>3.4060023900031676E-6</v>
      </c>
      <c r="FT106" s="22">
        <f t="shared" si="78"/>
        <v>76.2096048179001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66.949606093097557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7.5015384615384617</v>
      </c>
      <c r="FZ106" s="12">
        <f>IF('Données projet'!$A$244&gt;35,FZ105+FY106-GH105,IF(A106&lt;'Données projet'!$A$244,$FW$205^A106,IF(A106='Données projet'!$A$244,'Données projet'!$B$244,FZ105+FY106-GH105)))</f>
        <v>294.712307692308</v>
      </c>
      <c r="GA106" s="17">
        <f>FZ106*VLOOKUP('Données projet'!$B$17,Paramètres!$A$1:$I$89,3,0)*VLOOKUP('Données projet'!$B$17,Paramètres!$A$1:$I$89,5,0)</f>
        <v>137.92536000000015</v>
      </c>
      <c r="GB106" s="13">
        <f t="shared" si="103"/>
        <v>35.82132242479814</v>
      </c>
      <c r="GC106" s="20">
        <f t="shared" si="79"/>
        <v>302.6088052231903</v>
      </c>
      <c r="GD106" s="59">
        <f t="shared" si="80"/>
        <v>584.75736089788143</v>
      </c>
      <c r="GE106" s="59">
        <f ca="1">AVERAGE(OFFSET($GD$3,0,0,'Données projet'!$E$17+1,1))-AVERAGE(OFFSET($H$3,0,0,'Données projet'!$E$17+1,1))</f>
        <v>317.79829681023142</v>
      </c>
      <c r="GF106" s="59">
        <f t="shared" si="104"/>
        <v>275.07716943523621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105.28117883297547</v>
      </c>
      <c r="GM106" s="21">
        <f>EXP(-LN(2)/25)*GM105+(1-EXP(-LN(2)/25))/(LN(2)/25)*Calculateur!GH106*Calculateur!GJ106*VLOOKUP('Données projet'!$B$17,Paramètres!$A$1:$I$89,3,0)*0.475*44/12</f>
        <v>27.719610597782026</v>
      </c>
      <c r="GN106" s="21">
        <f>EXP(-LN(2)/2)*GN105+(1-EXP(-LN(2)/2))/(LN(2)/2)*GH106*GK106*VLOOKUP('Données projet'!$B$17,Paramètres!$A$1:$I$89,3,0)*0.475*44/12</f>
        <v>1.047332115164241</v>
      </c>
      <c r="GO106" s="21">
        <f t="shared" si="81"/>
        <v>134.04812154592173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66.949606093097557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>
        <f>GU106*VLOOKUP('Données projet'!$B$18,Paramètres!$A$1:$I$89,3,0)*VLOOKUP('Données projet'!$B$18,Paramètres!$A$1:$I$89,5,0)</f>
        <v>0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336.21787234885699</v>
      </c>
      <c r="HA106" s="59">
        <f t="shared" si="106"/>
        <v>315.36156736899113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109.49027873401096</v>
      </c>
      <c r="HH106" s="21">
        <f>EXP(-LN(2)/25)*HH105+(1-EXP(-LN(2)/25))/(LN(2)/25)*Calculateur!HC106*Calculateur!HE106*VLOOKUP('Données projet'!$B$18,Paramètres!$A$1:$I$89,3,0)*0.475*44/12</f>
        <v>22.201618285466608</v>
      </c>
      <c r="HI106" s="21">
        <f>EXP(-LN(2)/2)*HI105+(1-EXP(-LN(2)/2))/(LN(2)/2)*HC106*HF106*VLOOKUP('Données projet'!$B$18,Paramètres!$A$1:$I$89,3,0)*0.475*44/12</f>
        <v>4.2977496467146295E-4</v>
      </c>
      <c r="HJ106" s="22">
        <f t="shared" si="84"/>
        <v>131.69232679444221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3.7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13.566666666666668</v>
      </c>
      <c r="H107" s="67">
        <f t="shared" si="56"/>
        <v>202.4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67.002523607723205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305.19871794871835</v>
      </c>
      <c r="O107" s="13">
        <f>N107*VLOOKUP('Données projet'!$B$9,Paramètres!$A$1:$I$89,3,0)*VLOOKUP('Données projet'!$B$9,Paramètres!$A$1:$I$89,5,0)</f>
        <v>276.14380000000034</v>
      </c>
      <c r="P107" s="13">
        <f t="shared" si="87"/>
        <v>66.151426401533939</v>
      </c>
      <c r="Q107" s="20">
        <f t="shared" si="107"/>
        <v>596.16418598267205</v>
      </c>
      <c r="R107" s="59">
        <f t="shared" si="55"/>
        <v>878.50677254432389</v>
      </c>
      <c r="S107" s="59">
        <f ca="1">AVERAGE(OFFSET($R$3,0,0,'Données projet'!$E$9+1,1))-AVERAGE(OFFSET($H$3,0,0,'Données projet'!$E$9+1,1))</f>
        <v>411.64357329340851</v>
      </c>
      <c r="T107" s="59">
        <f t="shared" si="88"/>
        <v>294.07942258675632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44.511295331941767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44.511295331941767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67.002523607723205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6.9935897435897401</v>
      </c>
      <c r="AI107" s="13">
        <f>IF('Données projet'!$A$62&gt;35,AI106+AH107-AQ106,IF(A107&lt;'Données projet'!$A$62,$AF$205^A107,IF(A107='Données projet'!$A$62,'Données projet'!$B$62,AI106+AH107-AQ106)))</f>
        <v>305.19871794871835</v>
      </c>
      <c r="AJ107" s="13">
        <f>AI107*VLOOKUP('Données projet'!$B$10,Paramètres!$A$1:$I$89,3,0)*VLOOKUP('Données projet'!$B$10,Paramètres!$A$1:$I$89,5,0)</f>
        <v>309.47150000000045</v>
      </c>
      <c r="AK107" s="13">
        <f t="shared" si="89"/>
        <v>73.15844737867603</v>
      </c>
      <c r="AL107" s="20">
        <f t="shared" si="58"/>
        <v>666.41382501786154</v>
      </c>
      <c r="AM107" s="59">
        <f t="shared" si="59"/>
        <v>948.75641157951327</v>
      </c>
      <c r="AN107" s="59">
        <f ca="1">AVERAGE(OFFSET($AM$3,0,0,'Données projet'!$E$10+1,1))-AVERAGE(OFFSET($H$3,0,0,'Données projet'!$E$10+1,1))</f>
        <v>453.05577105995508</v>
      </c>
      <c r="AO107" s="59">
        <f t="shared" si="90"/>
        <v>322.6839824496758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49.883348216831315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49.883348216831315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67.002523607723205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194.07692307692307</v>
      </c>
      <c r="BB107" s="12">
        <f>VLOOKUP(A107,'Données projet'!$A$87:$I$107,9,0)</f>
        <v>4.6794871794871762</v>
      </c>
      <c r="BC107" s="12">
        <f t="array" ref="BC107">INDEX(BB:BB,MIN(IF(ISNUMBER(BB107:BB303),ROW(BB107:BB303),"")))</f>
        <v>4.6794871794871762</v>
      </c>
      <c r="BD107" s="12">
        <f>IF('Données projet'!$A$88&gt;35,BD106+BC107-BL106,IF(A107&lt;'Données projet'!$A$88,$BA$205^A107,IF(A107='Données projet'!$A$88,'Données projet'!$B$88,BD106+BC107-BL106)))</f>
        <v>194.07692307692321</v>
      </c>
      <c r="BE107" s="13">
        <f>BD107*VLOOKUP('Données projet'!$B$11,Paramètres!$A$1:$I$89,3,0)*VLOOKUP('Données projet'!$B$11,Paramètres!$A$1:$I$89,5,0)</f>
        <v>193.76640000000015</v>
      </c>
      <c r="BF107" s="13">
        <f t="shared" si="91"/>
        <v>48.371696738856237</v>
      </c>
      <c r="BG107" s="20">
        <f t="shared" si="61"/>
        <v>421.72385182017484</v>
      </c>
      <c r="BH107" s="59">
        <f t="shared" si="62"/>
        <v>704.06643838182663</v>
      </c>
      <c r="BI107" s="59">
        <f ca="1">AVERAGE(OFFSET($BH$3,0,0,'Données projet'!$E$11+1,1))-AVERAGE(OFFSET($H$3,0,0,'Données projet'!$E$11+1,1))</f>
        <v>411.38162678377478</v>
      </c>
      <c r="BJ107" s="59">
        <f t="shared" si="92"/>
        <v>177.89903563360403</v>
      </c>
      <c r="BK107" s="15">
        <f>IF(ISNA(VLOOKUP(A107,'Données projet'!$A$87:$I$107,3,0)),0,VLOOKUP(A107,'Données projet'!$A$87:$I$107,3,0))</f>
        <v>6</v>
      </c>
      <c r="BL107" s="15">
        <f>IF(ISNA(VLOOKUP(A107,'Données projet'!$A$87:$I$107,4,0)),0,VLOOKUP(A107,'Données projet'!$A$87:$I$107,4,0))</f>
        <v>28.275641025641026</v>
      </c>
      <c r="BM107" s="16">
        <f>IF(ISNA(VLOOKUP(A107,'Données projet'!$A$87:$I$107,5,0)),0%,VLOOKUP(A107,'Données projet'!$A$87:$I$107,5,0)*VLOOKUP('Données projet'!$B$11,Paramètres!$A$1:$I$89,7,0))</f>
        <v>0.30099999999999999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9.3935691717124641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9.3935691717124641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67.002523607723205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212.00000000000009</v>
      </c>
      <c r="BZ107" s="13">
        <f>BY107*VLOOKUP('Données projet'!$B$12,Paramètres!$A$1:$I$89,3,0)*VLOOKUP('Données projet'!$B$12,Paramètres!$A$1:$I$89,5,0)</f>
        <v>221.58240000000012</v>
      </c>
      <c r="CA107" s="13">
        <f t="shared" si="93"/>
        <v>54.458668952651578</v>
      </c>
      <c r="CB107" s="20">
        <f t="shared" si="64"/>
        <v>480.77152842586838</v>
      </c>
      <c r="CC107" s="59">
        <f t="shared" si="65"/>
        <v>763.11411498752022</v>
      </c>
      <c r="CD107" s="59">
        <f ca="1">AVERAGE(OFFSET($CC$3,0,0,'Données projet'!$E$12+1,1))-AVERAGE(OFFSET($H$3,0,0,'Données projet'!$E$12+1,1))</f>
        <v>374.38550202939507</v>
      </c>
      <c r="CE107" s="59">
        <f t="shared" si="94"/>
        <v>324.37486924296718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16.507277471688148</v>
      </c>
      <c r="CL107" s="21">
        <f>EXP(-LN(2)/25)*CL106+(1-EXP(-LN(2)/25))/(LN(2)/25)*Calculateur!CG107*Calculateur!CI107*VLOOKUP('Données projet'!$B$12,Paramètres!$A$1:$I$89,3,0)*0.475*44/12</f>
        <v>14.977882048209612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31.48515951989776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67.002523607723205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5.0961538461538449</v>
      </c>
      <c r="CT107" s="12">
        <f>IF('Données projet'!$A$140&gt;35,CT106+CS107-DB106,IF(A107&lt;'Données projet'!$A$140,$CQ$205^A107,IF(A107='Données projet'!$A$140,'Données projet'!$B$140,CT106+CS107-DB106)))</f>
        <v>200.3525641025638</v>
      </c>
      <c r="CU107" s="17">
        <f>CT107*VLOOKUP('Données projet'!$B$13,Paramètres!$A$1:$I$89,3,0)*VLOOKUP('Données projet'!$B$13,Paramètres!$A$1:$I$89,5,0)</f>
        <v>190.65549999999971</v>
      </c>
      <c r="CV107" s="13">
        <f t="shared" si="95"/>
        <v>47.684845532752689</v>
      </c>
      <c r="CW107" s="20">
        <f t="shared" si="67"/>
        <v>415.10943513621038</v>
      </c>
      <c r="CX107" s="59">
        <f t="shared" si="68"/>
        <v>697.45202169786216</v>
      </c>
      <c r="CY107" s="59">
        <f ca="1">AVERAGE(OFFSET($CX$3,0,0,'Données projet'!$E$13+1,1))-AVERAGE(OFFSET($H$3,0,0,'Données projet'!$E$13+1,1))</f>
        <v>392.81074187112989</v>
      </c>
      <c r="CZ107" s="59">
        <f t="shared" si="96"/>
        <v>236.19146849073687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32.915084004996686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32.915084004996686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67.002523607723205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5.0961538461538449</v>
      </c>
      <c r="DO107" s="12">
        <f>IF('Données projet'!$A$166&gt;35,DO106+DN107-DW106,IF(A107&lt;'Données projet'!$A$166,$DL$205^A107,IF(A107='Données projet'!$A$166,'Données projet'!$B$166,DO106+DN107-DW106)))</f>
        <v>200.3525641025638</v>
      </c>
      <c r="DP107" s="17">
        <f>DO107*VLOOKUP('Données projet'!$B$14,Paramètres!$A$1:$I$89,3,0)*VLOOKUP('Données projet'!$B$14,Paramètres!$A$1:$I$89,5,0)</f>
        <v>215.65949999999967</v>
      </c>
      <c r="DQ107" s="13">
        <f t="shared" si="97"/>
        <v>53.17040820160107</v>
      </c>
      <c r="DR107" s="20">
        <f t="shared" si="70"/>
        <v>468.21209011778797</v>
      </c>
      <c r="DS107" s="59">
        <f t="shared" si="71"/>
        <v>750.55467667943981</v>
      </c>
      <c r="DT107" s="59">
        <f ca="1">AVERAGE(OFFSET($DS$3,0,0,'Données projet'!$E$14+1,1))-AVERAGE(OFFSET($H$3,0,0,'Données projet'!$E$14+1,1))</f>
        <v>434.77799524785502</v>
      </c>
      <c r="DU107" s="59">
        <f t="shared" si="98"/>
        <v>259.85949838170006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37.23181633352084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37.23181633352084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67.002523607723205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5.0961538461538449</v>
      </c>
      <c r="EJ107" s="12">
        <f>IF('Données projet'!$A$192&gt;35,EJ106+EI107-ER106,IF(A107&lt;'Données projet'!$A$192,$EG$205^A107,IF(A107='Données projet'!$A$192,'Données projet'!$B$192,EJ106+EI107-ER106)))</f>
        <v>200.3525641025638</v>
      </c>
      <c r="EK107" s="17">
        <f>EJ107*VLOOKUP('Données projet'!$B$15,Paramètres!$A$1:$I$89,3,0)*VLOOKUP('Données projet'!$B$15,Paramètres!$A$1:$I$89,5,0)</f>
        <v>193.78099999999972</v>
      </c>
      <c r="EL107" s="13">
        <f t="shared" si="99"/>
        <v>48.374917210721456</v>
      </c>
      <c r="EM107" s="20">
        <f t="shared" si="73"/>
        <v>421.75488914200605</v>
      </c>
      <c r="EN107" s="59">
        <f t="shared" si="74"/>
        <v>704.09747570365789</v>
      </c>
      <c r="EO107" s="59">
        <f ca="1">AVERAGE(OFFSET($EN$3,0,0,'Données projet'!$E$15+1,1))-AVERAGE(OFFSET($H$3,0,0,'Données projet'!$E$15+1,1))</f>
        <v>398.06270423055565</v>
      </c>
      <c r="EP107" s="59">
        <f t="shared" si="100"/>
        <v>239.15364562040614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33.454675546062212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33.454675546062212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67.002523607723205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-1.7053025658242404E-13</v>
      </c>
      <c r="FF107" s="17">
        <f>FE107*VLOOKUP('Données projet'!$B$16,Paramètres!$A$1:$I$89,3,0)*VLOOKUP('Données projet'!$B$16,Paramètres!$A$1:$I$89,5,0)</f>
        <v>-1.0197709343628959E-13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334.13861979962491</v>
      </c>
      <c r="FK107" s="59">
        <f t="shared" si="102"/>
        <v>416.48635183664305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62.942081331394412</v>
      </c>
      <c r="FR107" s="21">
        <f>EXP(-LN(2)/25)*FR106+(1-EXP(-LN(2)/25))/(LN(2)/25)*Calculateur!FM107*Calculateur!FO107*VLOOKUP('Données projet'!$B$16,Paramètres!$A$1:$I$89,3,0)*0.475*44/12</f>
        <v>11.680201979787791</v>
      </c>
      <c r="FS107" s="21">
        <f>EXP(-LN(2)/2)*FS106+(1-EXP(-LN(2)/2))/(LN(2)/2)*FM107*FP107*VLOOKUP('Données projet'!$B$16,Paramètres!$A$1:$I$89,3,0)*0.475*44/12</f>
        <v>2.4084073867088277E-6</v>
      </c>
      <c r="FT107" s="22">
        <f t="shared" si="78"/>
        <v>74.622285719589584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67.002523607723205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7.5015384615384617</v>
      </c>
      <c r="FZ107" s="12">
        <f>IF('Données projet'!$A$244&gt;35,FZ106+FY107-GH106,IF(A107&lt;'Données projet'!$A$244,$FW$205^A107,IF(A107='Données projet'!$A$244,'Données projet'!$B$244,FZ106+FY107-GH106)))</f>
        <v>302.21384615384648</v>
      </c>
      <c r="GA107" s="17">
        <f>FZ107*VLOOKUP('Données projet'!$B$17,Paramètres!$A$1:$I$89,3,0)*VLOOKUP('Données projet'!$B$17,Paramètres!$A$1:$I$89,5,0)</f>
        <v>141.43608000000015</v>
      </c>
      <c r="GB107" s="13">
        <f t="shared" si="103"/>
        <v>36.625795598426585</v>
      </c>
      <c r="GC107" s="20">
        <f t="shared" si="79"/>
        <v>310.12443333392656</v>
      </c>
      <c r="GD107" s="59">
        <f t="shared" si="80"/>
        <v>592.46701989557835</v>
      </c>
      <c r="GE107" s="59">
        <f ca="1">AVERAGE(OFFSET($GD$3,0,0,'Données projet'!$E$17+1,1))-AVERAGE(OFFSET($H$3,0,0,'Données projet'!$E$17+1,1))</f>
        <v>317.79829681023142</v>
      </c>
      <c r="GF107" s="59">
        <f t="shared" si="104"/>
        <v>275.07716943523621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103.21667913123919</v>
      </c>
      <c r="GM107" s="21">
        <f>EXP(-LN(2)/25)*GM106+(1-EXP(-LN(2)/25))/(LN(2)/25)*Calculateur!GH107*Calculateur!GJ107*VLOOKUP('Données projet'!$B$17,Paramètres!$A$1:$I$89,3,0)*0.475*44/12</f>
        <v>26.96161638827471</v>
      </c>
      <c r="GN107" s="21">
        <f>EXP(-LN(2)/2)*GN106+(1-EXP(-LN(2)/2))/(LN(2)/2)*GH107*GK107*VLOOKUP('Données projet'!$B$17,Paramètres!$A$1:$I$89,3,0)*0.475*44/12</f>
        <v>0.74057564078708493</v>
      </c>
      <c r="GO107" s="21">
        <f t="shared" si="81"/>
        <v>130.91887116030099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67.002523607723205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>
        <f>GU107*VLOOKUP('Données projet'!$B$18,Paramètres!$A$1:$I$89,3,0)*VLOOKUP('Données projet'!$B$18,Paramètres!$A$1:$I$89,5,0)</f>
        <v>0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336.21787234885699</v>
      </c>
      <c r="HA107" s="59">
        <f t="shared" si="106"/>
        <v>315.36156736899113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107.34324115051281</v>
      </c>
      <c r="HH107" s="21">
        <f>EXP(-LN(2)/25)*HH106+(1-EXP(-LN(2)/25))/(LN(2)/25)*Calculateur!HC107*Calculateur!HE107*VLOOKUP('Données projet'!$B$18,Paramètres!$A$1:$I$89,3,0)*0.475*44/12</f>
        <v>21.594513865918159</v>
      </c>
      <c r="HI107" s="21">
        <f>EXP(-LN(2)/2)*HI106+(1-EXP(-LN(2)/2))/(LN(2)/2)*HC107*HF107*VLOOKUP('Données projet'!$B$18,Paramètres!$A$1:$I$89,3,0)*0.475*44/12</f>
        <v>3.0389679190340034E-4</v>
      </c>
      <c r="HJ107" s="22">
        <f t="shared" si="84"/>
        <v>128.93805891322287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3.7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13.566666666666668</v>
      </c>
      <c r="H108" s="67">
        <f t="shared" si="56"/>
        <v>202.4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67.054523121775929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312.19230769230808</v>
      </c>
      <c r="O108" s="13">
        <f>N108*VLOOKUP('Données projet'!$B$9,Paramètres!$A$1:$I$89,3,0)*VLOOKUP('Données projet'!$B$9,Paramètres!$A$1:$I$89,5,0)</f>
        <v>282.47160000000031</v>
      </c>
      <c r="P108" s="13">
        <f t="shared" si="87"/>
        <v>67.489061551962138</v>
      </c>
      <c r="Q108" s="20">
        <f t="shared" si="107"/>
        <v>609.51481886966792</v>
      </c>
      <c r="R108" s="59">
        <f t="shared" si="55"/>
        <v>892.04807031617975</v>
      </c>
      <c r="S108" s="59">
        <f ca="1">AVERAGE(OFFSET($R$3,0,0,'Données projet'!$E$9+1,1))-AVERAGE(OFFSET($H$3,0,0,'Données projet'!$E$9+1,1))</f>
        <v>411.64357329340851</v>
      </c>
      <c r="T108" s="59">
        <f t="shared" si="88"/>
        <v>294.07942258675632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43.638455979691777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43.638455979691777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67.054523121775929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6.9935897435897401</v>
      </c>
      <c r="AI108" s="13">
        <f>IF('Données projet'!$A$62&gt;35,AI107+AH108-AQ107,IF(A108&lt;'Données projet'!$A$62,$AF$205^A108,IF(A108='Données projet'!$A$62,'Données projet'!$B$62,AI107+AH108-AQ107)))</f>
        <v>312.19230769230808</v>
      </c>
      <c r="AJ108" s="13">
        <f>AI108*VLOOKUP('Données projet'!$B$10,Paramètres!$A$1:$I$89,3,0)*VLOOKUP('Données projet'!$B$10,Paramètres!$A$1:$I$89,5,0)</f>
        <v>316.56300000000044</v>
      </c>
      <c r="AK108" s="13">
        <f t="shared" si="89"/>
        <v>74.637770139918928</v>
      </c>
      <c r="AL108" s="20">
        <f t="shared" si="58"/>
        <v>681.34134132702627</v>
      </c>
      <c r="AM108" s="59">
        <f t="shared" si="59"/>
        <v>963.8745927735381</v>
      </c>
      <c r="AN108" s="59">
        <f ca="1">AVERAGE(OFFSET($AM$3,0,0,'Données projet'!$E$10+1,1))-AVERAGE(OFFSET($H$3,0,0,'Données projet'!$E$10+1,1))</f>
        <v>453.05577105995508</v>
      </c>
      <c r="AO108" s="59">
        <f t="shared" si="90"/>
        <v>322.6839824496758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48.905166184137364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48.905166184137364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67.054523121775929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4.7307692307692299</v>
      </c>
      <c r="BD108" s="12">
        <f>IF('Données projet'!$A$88&gt;35,BD107+BC108-BL107,IF(A108&lt;'Données projet'!$A$88,$BA$205^A108,IF(A108='Données projet'!$A$88,'Données projet'!$B$88,BD107+BC108-BL107)))</f>
        <v>170.53205128205141</v>
      </c>
      <c r="BE108" s="13">
        <f>BD108*VLOOKUP('Données projet'!$B$11,Paramètres!$A$1:$I$89,3,0)*VLOOKUP('Données projet'!$B$11,Paramètres!$A$1:$I$89,5,0)</f>
        <v>170.25920000000013</v>
      </c>
      <c r="BF108" s="13">
        <f t="shared" si="91"/>
        <v>43.148070614349649</v>
      </c>
      <c r="BG108" s="20">
        <f t="shared" si="61"/>
        <v>371.68432965332585</v>
      </c>
      <c r="BH108" s="59">
        <f t="shared" si="62"/>
        <v>654.21758109983762</v>
      </c>
      <c r="BI108" s="59">
        <f ca="1">AVERAGE(OFFSET($BH$3,0,0,'Données projet'!$E$11+1,1))-AVERAGE(OFFSET($H$3,0,0,'Données projet'!$E$11+1,1))</f>
        <v>411.38162678377478</v>
      </c>
      <c r="BJ108" s="59">
        <f t="shared" si="92"/>
        <v>177.89903563360403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9.2093670097666358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9.2093670097666358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67.054523121775929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212.00000000000009</v>
      </c>
      <c r="BZ108" s="13">
        <f>BY108*VLOOKUP('Données projet'!$B$12,Paramètres!$A$1:$I$89,3,0)*VLOOKUP('Données projet'!$B$12,Paramètres!$A$1:$I$89,5,0)</f>
        <v>221.58240000000012</v>
      </c>
      <c r="CA108" s="13">
        <f t="shared" si="93"/>
        <v>54.458668952651578</v>
      </c>
      <c r="CB108" s="20">
        <f t="shared" si="64"/>
        <v>480.77152842586838</v>
      </c>
      <c r="CC108" s="59">
        <f t="shared" si="65"/>
        <v>763.3047798723801</v>
      </c>
      <c r="CD108" s="59">
        <f ca="1">AVERAGE(OFFSET($CC$3,0,0,'Données projet'!$E$12+1,1))-AVERAGE(OFFSET($H$3,0,0,'Données projet'!$E$12+1,1))</f>
        <v>374.38550202939507</v>
      </c>
      <c r="CE108" s="59">
        <f t="shared" si="94"/>
        <v>324.37486924296718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16.183579828913427</v>
      </c>
      <c r="CL108" s="21">
        <f>EXP(-LN(2)/25)*CL107+(1-EXP(-LN(2)/25))/(LN(2)/25)*Calculateur!CG108*Calculateur!CI108*VLOOKUP('Données projet'!$B$12,Paramètres!$A$1:$I$89,3,0)*0.475*44/12</f>
        <v>14.568311075948735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30.751890904862162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67.054523121775929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5.0961538461538449</v>
      </c>
      <c r="CT108" s="12">
        <f>IF('Données projet'!$A$140&gt;35,CT107+CS108-DB107,IF(A108&lt;'Données projet'!$A$140,$CQ$205^A108,IF(A108='Données projet'!$A$140,'Données projet'!$B$140,CT107+CS108-DB107)))</f>
        <v>205.44871794871764</v>
      </c>
      <c r="CU108" s="17">
        <f>CT108*VLOOKUP('Données projet'!$B$13,Paramètres!$A$1:$I$89,3,0)*VLOOKUP('Données projet'!$B$13,Paramètres!$A$1:$I$89,5,0)</f>
        <v>195.50499999999971</v>
      </c>
      <c r="CV108" s="13">
        <f t="shared" si="95"/>
        <v>48.754999666014264</v>
      </c>
      <c r="CW108" s="20">
        <f t="shared" si="67"/>
        <v>425.41949941830768</v>
      </c>
      <c r="CX108" s="59">
        <f t="shared" si="68"/>
        <v>707.95275086481945</v>
      </c>
      <c r="CY108" s="59">
        <f ca="1">AVERAGE(OFFSET($CX$3,0,0,'Données projet'!$E$13+1,1))-AVERAGE(OFFSET($H$3,0,0,'Données projet'!$E$13+1,1))</f>
        <v>392.81074187112989</v>
      </c>
      <c r="CZ108" s="59">
        <f t="shared" si="96"/>
        <v>236.19146849073687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32.269639283877581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32.269639283877581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67.054523121775929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5.0961538461538449</v>
      </c>
      <c r="DO108" s="12">
        <f>IF('Données projet'!$A$166&gt;35,DO107+DN108-DW107,IF(A108&lt;'Données projet'!$A$166,$DL$205^A108,IF(A108='Données projet'!$A$166,'Données projet'!$B$166,DO107+DN108-DW107)))</f>
        <v>205.44871794871764</v>
      </c>
      <c r="DP108" s="17">
        <f>DO108*VLOOKUP('Données projet'!$B$14,Paramètres!$A$1:$I$89,3,0)*VLOOKUP('Données projet'!$B$14,Paramètres!$A$1:$I$89,5,0)</f>
        <v>221.14499999999967</v>
      </c>
      <c r="DQ108" s="13">
        <f t="shared" si="97"/>
        <v>54.363670578115759</v>
      </c>
      <c r="DR108" s="20">
        <f t="shared" si="70"/>
        <v>479.84426792355094</v>
      </c>
      <c r="DS108" s="59">
        <f t="shared" si="71"/>
        <v>762.37751937006271</v>
      </c>
      <c r="DT108" s="59">
        <f ca="1">AVERAGE(OFFSET($DS$3,0,0,'Données projet'!$E$14+1,1))-AVERAGE(OFFSET($H$3,0,0,'Données projet'!$E$14+1,1))</f>
        <v>434.77799524785502</v>
      </c>
      <c r="DU108" s="59">
        <f t="shared" si="98"/>
        <v>259.85949838170006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36.501723124386118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36.501723124386118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67.054523121775929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5.0961538461538449</v>
      </c>
      <c r="EJ108" s="12">
        <f>IF('Données projet'!$A$192&gt;35,EJ107+EI108-ER107,IF(A108&lt;'Données projet'!$A$192,$EG$205^A108,IF(A108='Données projet'!$A$192,'Données projet'!$B$192,EJ107+EI108-ER107)))</f>
        <v>205.44871794871764</v>
      </c>
      <c r="EK108" s="17">
        <f>EJ108*VLOOKUP('Données projet'!$B$15,Paramètres!$A$1:$I$89,3,0)*VLOOKUP('Données projet'!$B$15,Paramètres!$A$1:$I$89,5,0)</f>
        <v>198.70999999999972</v>
      </c>
      <c r="EL108" s="13">
        <f t="shared" si="99"/>
        <v>49.460558089303781</v>
      </c>
      <c r="EM108" s="20">
        <f t="shared" si="73"/>
        <v>432.23038867220362</v>
      </c>
      <c r="EN108" s="59">
        <f t="shared" si="74"/>
        <v>714.76364011871533</v>
      </c>
      <c r="EO108" s="59">
        <f ca="1">AVERAGE(OFFSET($EN$3,0,0,'Données projet'!$E$15+1,1))-AVERAGE(OFFSET($H$3,0,0,'Données projet'!$E$15+1,1))</f>
        <v>398.06270423055565</v>
      </c>
      <c r="EP108" s="59">
        <f t="shared" si="100"/>
        <v>239.15364562040614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32.798649763941157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32.798649763941157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67.054523121775929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-1.7053025658242404E-13</v>
      </c>
      <c r="FF108" s="17">
        <f>FE108*VLOOKUP('Données projet'!$B$16,Paramètres!$A$1:$I$89,3,0)*VLOOKUP('Données projet'!$B$16,Paramètres!$A$1:$I$89,5,0)</f>
        <v>-1.0197709343628959E-13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334.13861979962491</v>
      </c>
      <c r="FK108" s="59">
        <f t="shared" si="102"/>
        <v>416.48635183664305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61.707825507364596</v>
      </c>
      <c r="FR108" s="21">
        <f>EXP(-LN(2)/25)*FR107+(1-EXP(-LN(2)/25))/(LN(2)/25)*Calculateur!FM108*Calculateur!FO108*VLOOKUP('Données projet'!$B$16,Paramètres!$A$1:$I$89,3,0)*0.475*44/12</f>
        <v>11.360806242415366</v>
      </c>
      <c r="FS108" s="21">
        <f>EXP(-LN(2)/2)*FS107+(1-EXP(-LN(2)/2))/(LN(2)/2)*FM108*FP108*VLOOKUP('Données projet'!$B$16,Paramètres!$A$1:$I$89,3,0)*0.475*44/12</f>
        <v>1.7030011950015838E-6</v>
      </c>
      <c r="FT108" s="22">
        <f t="shared" si="78"/>
        <v>73.068633452781157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67.054523121775929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>
        <f>VLOOKUP(A108,'Données projet'!$A$243:$I$263,2,0)</f>
        <v>309.71538461538461</v>
      </c>
      <c r="FX108" s="12">
        <f>VLOOKUP(A108,'Données projet'!$A$243:$I$263,9,0)</f>
        <v>7.5015384615384617</v>
      </c>
      <c r="FY108" s="12">
        <f t="array" ref="FY108">INDEX(FX:FX,MIN(IF(ISNUMBER(FX108:FX304),ROW(FX108:FX304),"")))</f>
        <v>7.5015384615384617</v>
      </c>
      <c r="FZ108" s="12">
        <f>IF('Données projet'!$A$244&gt;35,FZ107+FY108-GH107,IF(A108&lt;'Données projet'!$A$244,$FW$205^A108,IF(A108='Données projet'!$A$244,'Données projet'!$B$244,FZ107+FY108-GH107)))</f>
        <v>309.71538461538495</v>
      </c>
      <c r="GA108" s="17">
        <f>FZ108*VLOOKUP('Données projet'!$B$17,Paramètres!$A$1:$I$89,3,0)*VLOOKUP('Données projet'!$B$17,Paramètres!$A$1:$I$89,5,0)</f>
        <v>144.94680000000017</v>
      </c>
      <c r="GB108" s="13">
        <f t="shared" si="103"/>
        <v>37.427947530076956</v>
      </c>
      <c r="GC108" s="20">
        <f t="shared" si="79"/>
        <v>317.63601861488428</v>
      </c>
      <c r="GD108" s="59">
        <f t="shared" si="80"/>
        <v>600.16927006139599</v>
      </c>
      <c r="GE108" s="59">
        <f ca="1">AVERAGE(OFFSET($GD$3,0,0,'Données projet'!$E$17+1,1))-AVERAGE(OFFSET($H$3,0,0,'Données projet'!$E$17+1,1))</f>
        <v>317.79829681023142</v>
      </c>
      <c r="GF108" s="59">
        <f t="shared" si="104"/>
        <v>275.07716943523621</v>
      </c>
      <c r="GG108" s="15">
        <f>IF(ISNA(VLOOKUP(A108,'Données projet'!$A$243:$I$263,3,0)),0,VLOOKUP(A108,'Données projet'!$A$243:$I$263,3,0))</f>
        <v>9</v>
      </c>
      <c r="GH108" s="15">
        <f>IF(ISNA(VLOOKUP(A108,'Données projet'!$A$243:$I$263,4,0)),0,VLOOKUP(A108,'Données projet'!$A$243:$I$263,4,0))</f>
        <v>309.71538461538461</v>
      </c>
      <c r="GI108" s="16">
        <f>IF(ISNA(VLOOKUP(A108,'Données projet'!$A$243:$I$263,5,0)),0%,VLOOKUP(A108,'Données projet'!$A$243:$I$263,5,0)*VLOOKUP('Données projet'!$B$17,Paramètres!$A$1:$I$89,7,0))</f>
        <v>0.38500000000000001</v>
      </c>
      <c r="GJ108" s="16">
        <f>IF(ISNA(VLOOKUP(A108,'Données projet'!$A$243:$I$263,6,0)),0%,VLOOKUP(A108,'Données projet'!$A$243:$I$263,6,0)*VLOOKUP('Données projet'!$B$17,Paramètres!$A$1:$I$89,7,0))</f>
        <v>9.240000000000001E-2</v>
      </c>
      <c r="GK108" s="16">
        <f>IF(ISNA(VLOOKUP(A108,'Données projet'!$A$243:$I$263,7,0)),0%,VLOOKUP(A108,'Données projet'!$A$243:$I$263,7,0))</f>
        <v>0.13200000000000001</v>
      </c>
      <c r="GL108" s="21">
        <f>EXP(-LN(2)/35)*GL107+(1-EXP(-LN(2)/35))/(LN(2)/35)*GH108*GI108*VLOOKUP('Données projet'!$B$17,Paramètres!$A$1:$I$89,3,0)*0.475*44/12</f>
        <v>175.22095304116948</v>
      </c>
      <c r="GM108" s="21">
        <f>EXP(-LN(2)/25)*GM107+(1-EXP(-LN(2)/25))/(LN(2)/25)*Calculateur!GH108*Calculateur!GJ108*VLOOKUP('Données projet'!$B$17,Paramètres!$A$1:$I$89,3,0)*0.475*44/12</f>
        <v>43.921184557541437</v>
      </c>
      <c r="GN108" s="21">
        <f>EXP(-LN(2)/2)*GN107+(1-EXP(-LN(2)/2))/(LN(2)/2)*GH108*GK108*VLOOKUP('Données projet'!$B$17,Paramètres!$A$1:$I$89,3,0)*0.475*44/12</f>
        <v>22.186641244152522</v>
      </c>
      <c r="GO108" s="21">
        <f t="shared" si="81"/>
        <v>241.32877884286344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67.054523121775929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>
        <f>GU108*VLOOKUP('Données projet'!$B$18,Paramètres!$A$1:$I$89,3,0)*VLOOKUP('Données projet'!$B$18,Paramètres!$A$1:$I$89,5,0)</f>
        <v>0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336.21787234885699</v>
      </c>
      <c r="HA108" s="59">
        <f t="shared" si="106"/>
        <v>315.36156736899113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105.23830566446344</v>
      </c>
      <c r="HH108" s="21">
        <f>EXP(-LN(2)/25)*HH107+(1-EXP(-LN(2)/25))/(LN(2)/25)*Calculateur!HC108*Calculateur!HE108*VLOOKUP('Données projet'!$B$18,Paramètres!$A$1:$I$89,3,0)*0.475*44/12</f>
        <v>21.004010748648497</v>
      </c>
      <c r="HI108" s="21">
        <f>EXP(-LN(2)/2)*HI107+(1-EXP(-LN(2)/2))/(LN(2)/2)*HC108*HF108*VLOOKUP('Données projet'!$B$18,Paramètres!$A$1:$I$89,3,0)*0.475*44/12</f>
        <v>2.1488748233573147E-4</v>
      </c>
      <c r="HJ108" s="22">
        <f t="shared" si="84"/>
        <v>126.24253130059427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3.7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13.566666666666668</v>
      </c>
      <c r="H109" s="67">
        <f t="shared" si="56"/>
        <v>202.4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67.10562056051333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319.1858974358978</v>
      </c>
      <c r="O109" s="13">
        <f>N109*VLOOKUP('Données projet'!$B$9,Paramètres!$A$1:$I$89,3,0)*VLOOKUP('Données projet'!$B$9,Paramètres!$A$1:$I$89,5,0)</f>
        <v>288.79940000000033</v>
      </c>
      <c r="P109" s="13">
        <f t="shared" si="87"/>
        <v>68.82321300114252</v>
      </c>
      <c r="Q109" s="20">
        <f t="shared" si="107"/>
        <v>622.85938431032366</v>
      </c>
      <c r="R109" s="59">
        <f t="shared" si="55"/>
        <v>905.57999303220595</v>
      </c>
      <c r="S109" s="59">
        <f ca="1">AVERAGE(OFFSET($R$3,0,0,'Données projet'!$E$9+1,1))-AVERAGE(OFFSET($H$3,0,0,'Données projet'!$E$9+1,1))</f>
        <v>411.64357329340851</v>
      </c>
      <c r="T109" s="59">
        <f t="shared" si="88"/>
        <v>294.07942258675632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42.782732474759975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42.782732474759975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67.10562056051333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6.9935897435897401</v>
      </c>
      <c r="AI109" s="13">
        <f>IF('Données projet'!$A$62&gt;35,AI108+AH109-AQ108,IF(A109&lt;'Données projet'!$A$62,$AF$205^A109,IF(A109='Données projet'!$A$62,'Données projet'!$B$62,AI108+AH109-AQ108)))</f>
        <v>319.1858974358978</v>
      </c>
      <c r="AJ109" s="13">
        <f>AI109*VLOOKUP('Données projet'!$B$10,Paramètres!$A$1:$I$89,3,0)*VLOOKUP('Données projet'!$B$10,Paramètres!$A$1:$I$89,5,0)</f>
        <v>323.65450000000038</v>
      </c>
      <c r="AK109" s="13">
        <f t="shared" si="89"/>
        <v>76.113240192485776</v>
      </c>
      <c r="AL109" s="20">
        <f t="shared" si="58"/>
        <v>696.26214750191332</v>
      </c>
      <c r="AM109" s="59">
        <f t="shared" si="59"/>
        <v>978.9827562237956</v>
      </c>
      <c r="AN109" s="59">
        <f ca="1">AVERAGE(OFFSET($AM$3,0,0,'Données projet'!$E$10+1,1))-AVERAGE(OFFSET($H$3,0,0,'Données projet'!$E$10+1,1))</f>
        <v>453.05577105995508</v>
      </c>
      <c r="AO109" s="59">
        <f t="shared" si="90"/>
        <v>322.6839824496758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47.946165704472413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47.946165704472413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67.10562056051333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4.7307692307692299</v>
      </c>
      <c r="BD109" s="12">
        <f>IF('Données projet'!$A$88&gt;35,BD108+BC109-BL108,IF(A109&lt;'Données projet'!$A$88,$BA$205^A109,IF(A109='Données projet'!$A$88,'Données projet'!$B$88,BD108+BC109-BL108)))</f>
        <v>175.26282051282064</v>
      </c>
      <c r="BE109" s="13">
        <f>BD109*VLOOKUP('Données projet'!$B$11,Paramètres!$A$1:$I$89,3,0)*VLOOKUP('Données projet'!$B$11,Paramètres!$A$1:$I$89,5,0)</f>
        <v>174.98240000000015</v>
      </c>
      <c r="BF109" s="13">
        <f t="shared" si="91"/>
        <v>44.204032465598246</v>
      </c>
      <c r="BG109" s="20">
        <f t="shared" si="61"/>
        <v>381.74970321091718</v>
      </c>
      <c r="BH109" s="59">
        <f t="shared" si="62"/>
        <v>664.4703119327994</v>
      </c>
      <c r="BI109" s="59">
        <f ca="1">AVERAGE(OFFSET($BH$3,0,0,'Données projet'!$E$11+1,1))-AVERAGE(OFFSET($H$3,0,0,'Données projet'!$E$11+1,1))</f>
        <v>411.38162678377478</v>
      </c>
      <c r="BJ109" s="59">
        <f t="shared" si="92"/>
        <v>177.89903563360403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9.0287769398643398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9.0287769398643398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67.10562056051333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212.00000000000009</v>
      </c>
      <c r="BZ109" s="13">
        <f>BY109*VLOOKUP('Données projet'!$B$12,Paramètres!$A$1:$I$89,3,0)*VLOOKUP('Données projet'!$B$12,Paramètres!$A$1:$I$89,5,0)</f>
        <v>221.58240000000012</v>
      </c>
      <c r="CA109" s="13">
        <f t="shared" si="93"/>
        <v>54.458668952651578</v>
      </c>
      <c r="CB109" s="20">
        <f t="shared" si="64"/>
        <v>480.77152842586838</v>
      </c>
      <c r="CC109" s="59">
        <f t="shared" si="65"/>
        <v>763.49213714775055</v>
      </c>
      <c r="CD109" s="59">
        <f ca="1">AVERAGE(OFFSET($CC$3,0,0,'Données projet'!$E$12+1,1))-AVERAGE(OFFSET($H$3,0,0,'Données projet'!$E$12+1,1))</f>
        <v>374.38550202939507</v>
      </c>
      <c r="CE109" s="59">
        <f t="shared" si="94"/>
        <v>324.37486924296718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15.866229699477449</v>
      </c>
      <c r="CL109" s="21">
        <f>EXP(-LN(2)/25)*CL108+(1-EXP(-LN(2)/25))/(LN(2)/25)*Calculateur!CG109*Calculateur!CI109*VLOOKUP('Données projet'!$B$12,Paramètres!$A$1:$I$89,3,0)*0.475*44/12</f>
        <v>14.169939843462734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30.036169542940183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67.10562056051333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5.0961538461538449</v>
      </c>
      <c r="CT109" s="12">
        <f>IF('Données projet'!$A$140&gt;35,CT108+CS109-DB108,IF(A109&lt;'Données projet'!$A$140,$CQ$205^A109,IF(A109='Données projet'!$A$140,'Données projet'!$B$140,CT108+CS109-DB108)))</f>
        <v>210.54487179487148</v>
      </c>
      <c r="CU109" s="17">
        <f>CT109*VLOOKUP('Données projet'!$B$13,Paramètres!$A$1:$I$89,3,0)*VLOOKUP('Données projet'!$B$13,Paramètres!$A$1:$I$89,5,0)</f>
        <v>200.35449999999972</v>
      </c>
      <c r="CV109" s="13">
        <f t="shared" si="95"/>
        <v>49.822068064043179</v>
      </c>
      <c r="CW109" s="20">
        <f t="shared" si="67"/>
        <v>435.724189378208</v>
      </c>
      <c r="CX109" s="59">
        <f t="shared" si="68"/>
        <v>718.44479810009022</v>
      </c>
      <c r="CY109" s="59">
        <f ca="1">AVERAGE(OFFSET($CX$3,0,0,'Données projet'!$E$13+1,1))-AVERAGE(OFFSET($H$3,0,0,'Données projet'!$E$13+1,1))</f>
        <v>392.81074187112989</v>
      </c>
      <c r="CZ109" s="59">
        <f t="shared" si="96"/>
        <v>236.19146849073687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31.636851340057216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31.636851340057216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67.10562056051333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5.0961538461538449</v>
      </c>
      <c r="DO109" s="12">
        <f>IF('Données projet'!$A$166&gt;35,DO108+DN109-DW108,IF(A109&lt;'Données projet'!$A$166,$DL$205^A109,IF(A109='Données projet'!$A$166,'Données projet'!$B$166,DO108+DN109-DW108)))</f>
        <v>210.54487179487148</v>
      </c>
      <c r="DP109" s="17">
        <f>DO109*VLOOKUP('Données projet'!$B$14,Paramètres!$A$1:$I$89,3,0)*VLOOKUP('Données projet'!$B$14,Paramètres!$A$1:$I$89,5,0)</f>
        <v>226.63049999999964</v>
      </c>
      <c r="DQ109" s="13">
        <f t="shared" si="97"/>
        <v>55.553492243014645</v>
      </c>
      <c r="DR109" s="20">
        <f t="shared" si="70"/>
        <v>491.47045315658323</v>
      </c>
      <c r="DS109" s="59">
        <f t="shared" si="71"/>
        <v>774.19106187846546</v>
      </c>
      <c r="DT109" s="59">
        <f ca="1">AVERAGE(OFFSET($DS$3,0,0,'Données projet'!$E$14+1,1))-AVERAGE(OFFSET($H$3,0,0,'Données projet'!$E$14+1,1))</f>
        <v>434.77799524785502</v>
      </c>
      <c r="DU109" s="59">
        <f t="shared" si="98"/>
        <v>259.85949838170006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35.785946597769637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35.785946597769637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67.10562056051333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5.0961538461538449</v>
      </c>
      <c r="EJ109" s="12">
        <f>IF('Données projet'!$A$192&gt;35,EJ108+EI109-ER108,IF(A109&lt;'Données projet'!$A$192,$EG$205^A109,IF(A109='Données projet'!$A$192,'Données projet'!$B$192,EJ108+EI109-ER108)))</f>
        <v>210.54487179487148</v>
      </c>
      <c r="EK109" s="17">
        <f>EJ109*VLOOKUP('Données projet'!$B$15,Paramètres!$A$1:$I$89,3,0)*VLOOKUP('Données projet'!$B$15,Paramètres!$A$1:$I$89,5,0)</f>
        <v>203.63899999999973</v>
      </c>
      <c r="EL109" s="13">
        <f t="shared" si="99"/>
        <v>50.543068577407823</v>
      </c>
      <c r="EM109" s="20">
        <f t="shared" si="73"/>
        <v>442.70043610565153</v>
      </c>
      <c r="EN109" s="59">
        <f t="shared" si="74"/>
        <v>725.42104482753371</v>
      </c>
      <c r="EO109" s="59">
        <f ca="1">AVERAGE(OFFSET($EN$3,0,0,'Données projet'!$E$15+1,1))-AVERAGE(OFFSET($H$3,0,0,'Données projet'!$E$15+1,1))</f>
        <v>398.06270423055565</v>
      </c>
      <c r="EP109" s="59">
        <f t="shared" si="100"/>
        <v>239.15364562040614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32.155488247271279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32.155488247271279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67.10562056051333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-1.7053025658242404E-13</v>
      </c>
      <c r="FF109" s="17">
        <f>FE109*VLOOKUP('Données projet'!$B$16,Paramètres!$A$1:$I$89,3,0)*VLOOKUP('Données projet'!$B$16,Paramètres!$A$1:$I$89,5,0)</f>
        <v>-1.0197709343628959E-13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334.13861979962491</v>
      </c>
      <c r="FK109" s="59">
        <f t="shared" si="102"/>
        <v>416.48635183664305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60.497772687222287</v>
      </c>
      <c r="FR109" s="21">
        <f>EXP(-LN(2)/25)*FR108+(1-EXP(-LN(2)/25))/(LN(2)/25)*Calculateur!FM109*Calculateur!FO109*VLOOKUP('Données projet'!$B$16,Paramètres!$A$1:$I$89,3,0)*0.475*44/12</f>
        <v>11.050144398277682</v>
      </c>
      <c r="FS109" s="21">
        <f>EXP(-LN(2)/2)*FS108+(1-EXP(-LN(2)/2))/(LN(2)/2)*FM109*FP109*VLOOKUP('Données projet'!$B$16,Paramètres!$A$1:$I$89,3,0)*0.475*44/12</f>
        <v>1.2042036933544138E-6</v>
      </c>
      <c r="FT109" s="22">
        <f t="shared" si="78"/>
        <v>71.547918289703674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67.10562056051333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3.4106051316484809E-13</v>
      </c>
      <c r="GA109" s="17">
        <f>FZ109*VLOOKUP('Données projet'!$B$17,Paramètres!$A$1:$I$89,3,0)*VLOOKUP('Données projet'!$B$17,Paramètres!$A$1:$I$89,5,0)</f>
        <v>1.5961632016114892E-13</v>
      </c>
      <c r="GB109" s="13">
        <f t="shared" si="103"/>
        <v>2.2708641912150958E-12</v>
      </c>
      <c r="GC109" s="20">
        <f t="shared" si="79"/>
        <v>4.2330868906469593E-12</v>
      </c>
      <c r="GD109" s="59">
        <f t="shared" si="80"/>
        <v>282.72060872188644</v>
      </c>
      <c r="GE109" s="59">
        <f ca="1">AVERAGE(OFFSET($GD$3,0,0,'Données projet'!$E$17+1,1))-AVERAGE(OFFSET($H$3,0,0,'Données projet'!$E$17+1,1))</f>
        <v>317.79829681023142</v>
      </c>
      <c r="GF109" s="59">
        <f t="shared" si="104"/>
        <v>275.07716943523621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171.78497702626055</v>
      </c>
      <c r="GM109" s="21">
        <f>EXP(-LN(2)/25)*GM108+(1-EXP(-LN(2)/25))/(LN(2)/25)*Calculateur!GH109*Calculateur!GJ109*VLOOKUP('Données projet'!$B$17,Paramètres!$A$1:$I$89,3,0)*0.475*44/12</f>
        <v>42.72015745610075</v>
      </c>
      <c r="GN109" s="21">
        <f>EXP(-LN(2)/2)*GN108+(1-EXP(-LN(2)/2))/(LN(2)/2)*GH109*GK109*VLOOKUP('Données projet'!$B$17,Paramètres!$A$1:$I$89,3,0)*0.475*44/12</f>
        <v>15.688324475493388</v>
      </c>
      <c r="GO109" s="21">
        <f t="shared" si="81"/>
        <v>230.19345895785472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67.10562056051333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>
        <f>GU109*VLOOKUP('Données projet'!$B$18,Paramètres!$A$1:$I$89,3,0)*VLOOKUP('Données projet'!$B$18,Paramètres!$A$1:$I$89,5,0)</f>
        <v>0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336.21787234885699</v>
      </c>
      <c r="HA109" s="59">
        <f t="shared" si="106"/>
        <v>315.36156736899113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103.17464667941162</v>
      </c>
      <c r="HH109" s="21">
        <f>EXP(-LN(2)/25)*HH108+(1-EXP(-LN(2)/25))/(LN(2)/25)*Calculateur!HC109*Calculateur!HE109*VLOOKUP('Données projet'!$B$18,Paramètres!$A$1:$I$89,3,0)*0.475*44/12</f>
        <v>20.429654970173782</v>
      </c>
      <c r="HI109" s="21">
        <f>EXP(-LN(2)/2)*HI108+(1-EXP(-LN(2)/2))/(LN(2)/2)*HC109*HF109*VLOOKUP('Données projet'!$B$18,Paramètres!$A$1:$I$89,3,0)*0.475*44/12</f>
        <v>1.5194839595170017E-4</v>
      </c>
      <c r="HJ109" s="22">
        <f t="shared" si="84"/>
        <v>123.60445359798136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3.7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13.566666666666668</v>
      </c>
      <c r="H110" s="67">
        <f t="shared" si="56"/>
        <v>202.4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67.155831572925408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326.17948717948752</v>
      </c>
      <c r="O110" s="13">
        <f>N110*VLOOKUP('Données projet'!$B$9,Paramètres!$A$1:$I$89,3,0)*VLOOKUP('Données projet'!$B$9,Paramètres!$A$1:$I$89,5,0)</f>
        <v>295.1272000000003</v>
      </c>
      <c r="P110" s="13">
        <f t="shared" si="87"/>
        <v>70.153965869482519</v>
      </c>
      <c r="Q110" s="20">
        <f t="shared" si="107"/>
        <v>636.19803055601596</v>
      </c>
      <c r="R110" s="59">
        <f t="shared" si="55"/>
        <v>919.10274632340906</v>
      </c>
      <c r="S110" s="59">
        <f ca="1">AVERAGE(OFFSET($R$3,0,0,'Données projet'!$E$9+1,1))-AVERAGE(OFFSET($H$3,0,0,'Données projet'!$E$9+1,1))</f>
        <v>411.64357329340851</v>
      </c>
      <c r="T110" s="59">
        <f t="shared" si="88"/>
        <v>294.07942258675632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41.943789185820087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41.943789185820087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67.155831572925408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6.9935897435897401</v>
      </c>
      <c r="AI110" s="13">
        <f>IF('Données projet'!$A$62&gt;35,AI109+AH110-AQ109,IF(A110&lt;'Données projet'!$A$62,$AF$205^A110,IF(A110='Données projet'!$A$62,'Données projet'!$B$62,AI109+AH110-AQ109)))</f>
        <v>326.17948717948752</v>
      </c>
      <c r="AJ110" s="13">
        <f>AI110*VLOOKUP('Données projet'!$B$10,Paramètres!$A$1:$I$89,3,0)*VLOOKUP('Données projet'!$B$10,Paramètres!$A$1:$I$89,5,0)</f>
        <v>330.74600000000038</v>
      </c>
      <c r="AK110" s="13">
        <f t="shared" si="89"/>
        <v>77.584951673074755</v>
      </c>
      <c r="AL110" s="20">
        <f t="shared" si="58"/>
        <v>711.17640749727252</v>
      </c>
      <c r="AM110" s="59">
        <f t="shared" si="59"/>
        <v>994.08112326466562</v>
      </c>
      <c r="AN110" s="59">
        <f ca="1">AVERAGE(OFFSET($AM$3,0,0,'Données projet'!$E$10+1,1))-AVERAGE(OFFSET($H$3,0,0,'Données projet'!$E$10+1,1))</f>
        <v>453.05577105995508</v>
      </c>
      <c r="AO110" s="59">
        <f t="shared" si="90"/>
        <v>322.6839824496758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47.005970639281159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47.005970639281159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67.155831572925408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4.7307692307692299</v>
      </c>
      <c r="BD110" s="12">
        <f>IF('Données projet'!$A$88&gt;35,BD109+BC110-BL109,IF(A110&lt;'Données projet'!$A$88,$BA$205^A110,IF(A110='Données projet'!$A$88,'Données projet'!$B$88,BD109+BC110-BL109)))</f>
        <v>179.99358974358987</v>
      </c>
      <c r="BE110" s="13">
        <f>BD110*VLOOKUP('Données projet'!$B$11,Paramètres!$A$1:$I$89,3,0)*VLOOKUP('Données projet'!$B$11,Paramètres!$A$1:$I$89,5,0)</f>
        <v>179.70560000000015</v>
      </c>
      <c r="BF110" s="13">
        <f t="shared" si="91"/>
        <v>45.256681351998374</v>
      </c>
      <c r="BG110" s="20">
        <f t="shared" si="61"/>
        <v>391.80930668806405</v>
      </c>
      <c r="BH110" s="59">
        <f t="shared" si="62"/>
        <v>674.71402245545721</v>
      </c>
      <c r="BI110" s="59">
        <f ca="1">AVERAGE(OFFSET($BH$3,0,0,'Données projet'!$E$11+1,1))-AVERAGE(OFFSET($H$3,0,0,'Données projet'!$E$11+1,1))</f>
        <v>411.38162678377478</v>
      </c>
      <c r="BJ110" s="59">
        <f t="shared" si="92"/>
        <v>177.89903563360403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8.8517281310837621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8.8517281310837621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67.155831572925408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212.00000000000009</v>
      </c>
      <c r="BZ110" s="13">
        <f>BY110*VLOOKUP('Données projet'!$B$12,Paramètres!$A$1:$I$89,3,0)*VLOOKUP('Données projet'!$B$12,Paramètres!$A$1:$I$89,5,0)</f>
        <v>221.58240000000012</v>
      </c>
      <c r="CA110" s="13">
        <f t="shared" si="93"/>
        <v>54.458668952651578</v>
      </c>
      <c r="CB110" s="20">
        <f t="shared" si="64"/>
        <v>480.77152842586838</v>
      </c>
      <c r="CC110" s="59">
        <f t="shared" si="65"/>
        <v>763.67624419326148</v>
      </c>
      <c r="CD110" s="59">
        <f ca="1">AVERAGE(OFFSET($CC$3,0,0,'Données projet'!$E$12+1,1))-AVERAGE(OFFSET($H$3,0,0,'Données projet'!$E$12+1,1))</f>
        <v>374.38550202939507</v>
      </c>
      <c r="CE110" s="59">
        <f t="shared" si="94"/>
        <v>324.37486924296718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15.555102612515245</v>
      </c>
      <c r="CL110" s="21">
        <f>EXP(-LN(2)/25)*CL109+(1-EXP(-LN(2)/25))/(LN(2)/25)*Calculateur!CG110*Calculateur!CI110*VLOOKUP('Données projet'!$B$12,Paramètres!$A$1:$I$89,3,0)*0.475*44/12</f>
        <v>13.782462093278495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29.337564705793739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67.155831572925408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5.0961538461538449</v>
      </c>
      <c r="CT110" s="12">
        <f>IF('Données projet'!$A$140&gt;35,CT109+CS110-DB109,IF(A110&lt;'Données projet'!$A$140,$CQ$205^A110,IF(A110='Données projet'!$A$140,'Données projet'!$B$140,CT109+CS110-DB109)))</f>
        <v>215.64102564102532</v>
      </c>
      <c r="CU110" s="17">
        <f>CT110*VLOOKUP('Données projet'!$B$13,Paramètres!$A$1:$I$89,3,0)*VLOOKUP('Données projet'!$B$13,Paramètres!$A$1:$I$89,5,0)</f>
        <v>205.2039999999997</v>
      </c>
      <c r="CV110" s="13">
        <f t="shared" si="95"/>
        <v>50.886134008708559</v>
      </c>
      <c r="CW110" s="20">
        <f t="shared" si="67"/>
        <v>446.02365006516692</v>
      </c>
      <c r="CX110" s="59">
        <f t="shared" si="68"/>
        <v>728.92836583256008</v>
      </c>
      <c r="CY110" s="59">
        <f ca="1">AVERAGE(OFFSET($CX$3,0,0,'Données projet'!$E$13+1,1))-AVERAGE(OFFSET($H$3,0,0,'Données projet'!$E$13+1,1))</f>
        <v>392.81074187112989</v>
      </c>
      <c r="CZ110" s="59">
        <f t="shared" si="96"/>
        <v>236.19146849073687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31.016471981852632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31.016471981852632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67.155831572925408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5.0961538461538449</v>
      </c>
      <c r="DO110" s="12">
        <f>IF('Données projet'!$A$166&gt;35,DO109+DN110-DW109,IF(A110&lt;'Données projet'!$A$166,$DL$205^A110,IF(A110='Données projet'!$A$166,'Données projet'!$B$166,DO109+DN110-DW109)))</f>
        <v>215.64102564102532</v>
      </c>
      <c r="DP110" s="17">
        <f>DO110*VLOOKUP('Données projet'!$B$14,Paramètres!$A$1:$I$89,3,0)*VLOOKUP('Données projet'!$B$14,Paramètres!$A$1:$I$89,5,0)</f>
        <v>232.11599999999967</v>
      </c>
      <c r="DQ110" s="13">
        <f t="shared" si="97"/>
        <v>56.739966058734943</v>
      </c>
      <c r="DR110" s="20">
        <f t="shared" si="70"/>
        <v>503.0908075522961</v>
      </c>
      <c r="DS110" s="59">
        <f t="shared" si="71"/>
        <v>785.99552331968926</v>
      </c>
      <c r="DT110" s="59">
        <f ca="1">AVERAGE(OFFSET($DS$3,0,0,'Données projet'!$E$14+1,1))-AVERAGE(OFFSET($H$3,0,0,'Données projet'!$E$14+1,1))</f>
        <v>434.77799524785502</v>
      </c>
      <c r="DU110" s="59">
        <f t="shared" si="98"/>
        <v>259.85949838170006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35.084206012259536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35.084206012259536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67.155831572925408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5.0961538461538449</v>
      </c>
      <c r="EJ110" s="12">
        <f>IF('Données projet'!$A$192&gt;35,EJ109+EI110-ER109,IF(A110&lt;'Données projet'!$A$192,$EG$205^A110,IF(A110='Données projet'!$A$192,'Données projet'!$B$192,EJ109+EI110-ER109)))</f>
        <v>215.64102564102532</v>
      </c>
      <c r="EK110" s="17">
        <f>EJ110*VLOOKUP('Données projet'!$B$15,Paramètres!$A$1:$I$89,3,0)*VLOOKUP('Données projet'!$B$15,Paramètres!$A$1:$I$89,5,0)</f>
        <v>208.5679999999997</v>
      </c>
      <c r="EL110" s="13">
        <f t="shared" si="99"/>
        <v>51.622533162117087</v>
      </c>
      <c r="EM110" s="20">
        <f t="shared" si="73"/>
        <v>453.16517859068671</v>
      </c>
      <c r="EN110" s="59">
        <f t="shared" si="74"/>
        <v>736.06989435807986</v>
      </c>
      <c r="EO110" s="59">
        <f ca="1">AVERAGE(OFFSET($EN$3,0,0,'Données projet'!$E$15+1,1))-AVERAGE(OFFSET($H$3,0,0,'Données projet'!$E$15+1,1))</f>
        <v>398.06270423055565</v>
      </c>
      <c r="EP110" s="59">
        <f t="shared" si="100"/>
        <v>239.15364562040614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31.524938735653507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31.524938735653507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67.155831572925408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-1.7053025658242404E-13</v>
      </c>
      <c r="FF110" s="17">
        <f>FE110*VLOOKUP('Données projet'!$B$16,Paramètres!$A$1:$I$89,3,0)*VLOOKUP('Données projet'!$B$16,Paramètres!$A$1:$I$89,5,0)</f>
        <v>-1.0197709343628959E-13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334.13861979962491</v>
      </c>
      <c r="FK110" s="59">
        <f t="shared" si="102"/>
        <v>416.48635183664305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59.311448264823625</v>
      </c>
      <c r="FR110" s="21">
        <f>EXP(-LN(2)/25)*FR109+(1-EXP(-LN(2)/25))/(LN(2)/25)*Calculateur!FM110*Calculateur!FO110*VLOOKUP('Données projet'!$B$16,Paramètres!$A$1:$I$89,3,0)*0.475*44/12</f>
        <v>10.74797761860494</v>
      </c>
      <c r="FS110" s="21">
        <f>EXP(-LN(2)/2)*FS109+(1-EXP(-LN(2)/2))/(LN(2)/2)*FM110*FP110*VLOOKUP('Données projet'!$B$16,Paramètres!$A$1:$I$89,3,0)*0.475*44/12</f>
        <v>8.5150059750079189E-7</v>
      </c>
      <c r="FT110" s="22">
        <f t="shared" si="78"/>
        <v>70.059426734929161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67.155831572925408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3.4106051316484809E-13</v>
      </c>
      <c r="GA110" s="17">
        <f>FZ110*VLOOKUP('Données projet'!$B$17,Paramètres!$A$1:$I$89,3,0)*VLOOKUP('Données projet'!$B$17,Paramètres!$A$1:$I$89,5,0)</f>
        <v>1.5961632016114892E-13</v>
      </c>
      <c r="GB110" s="13">
        <f t="shared" si="103"/>
        <v>2.2708641912150958E-12</v>
      </c>
      <c r="GC110" s="20">
        <f t="shared" si="79"/>
        <v>4.2330868906469593E-12</v>
      </c>
      <c r="GD110" s="59">
        <f t="shared" si="80"/>
        <v>282.90471576739736</v>
      </c>
      <c r="GE110" s="59">
        <f ca="1">AVERAGE(OFFSET($GD$3,0,0,'Données projet'!$E$17+1,1))-AVERAGE(OFFSET($H$3,0,0,'Données projet'!$E$17+1,1))</f>
        <v>317.79829681023142</v>
      </c>
      <c r="GF110" s="59">
        <f t="shared" si="104"/>
        <v>275.07716943523621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168.41637840526556</v>
      </c>
      <c r="GM110" s="21">
        <f>EXP(-LN(2)/25)*GM109+(1-EXP(-LN(2)/25))/(LN(2)/25)*Calculateur!GH110*Calculateur!GJ110*VLOOKUP('Données projet'!$B$17,Paramètres!$A$1:$I$89,3,0)*0.475*44/12</f>
        <v>41.551972503908232</v>
      </c>
      <c r="GN110" s="21">
        <f>EXP(-LN(2)/2)*GN109+(1-EXP(-LN(2)/2))/(LN(2)/2)*GH110*GK110*VLOOKUP('Données projet'!$B$17,Paramètres!$A$1:$I$89,3,0)*0.475*44/12</f>
        <v>11.093320622076263</v>
      </c>
      <c r="GO110" s="21">
        <f t="shared" si="81"/>
        <v>221.06167153125006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67.155831572925408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>
        <f>GU110*VLOOKUP('Données projet'!$B$18,Paramètres!$A$1:$I$89,3,0)*VLOOKUP('Données projet'!$B$18,Paramètres!$A$1:$I$89,5,0)</f>
        <v>0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336.21787234885699</v>
      </c>
      <c r="HA110" s="59">
        <f t="shared" si="106"/>
        <v>315.36156736899113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101.15145478834899</v>
      </c>
      <c r="HH110" s="21">
        <f>EXP(-LN(2)/25)*HH109+(1-EXP(-LN(2)/25))/(LN(2)/25)*Calculateur!HC110*Calculateur!HE110*VLOOKUP('Données projet'!$B$18,Paramètres!$A$1:$I$89,3,0)*0.475*44/12</f>
        <v>19.871004980665518</v>
      </c>
      <c r="HI110" s="21">
        <f>EXP(-LN(2)/2)*HI109+(1-EXP(-LN(2)/2))/(LN(2)/2)*HC110*HF110*VLOOKUP('Données projet'!$B$18,Paramètres!$A$1:$I$89,3,0)*0.475*44/12</f>
        <v>1.0744374116786574E-4</v>
      </c>
      <c r="HJ110" s="22">
        <f t="shared" si="84"/>
        <v>121.02256721275567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3.7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13.566666666666668</v>
      </c>
      <c r="H111" s="67">
        <f t="shared" si="56"/>
        <v>202.4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67.205171536527146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333.17307692307725</v>
      </c>
      <c r="O111" s="13">
        <f>N111*VLOOKUP('Données projet'!$B$9,Paramètres!$A$1:$I$89,3,0)*VLOOKUP('Données projet'!$B$9,Paramètres!$A$1:$I$89,5,0)</f>
        <v>301.45500000000027</v>
      </c>
      <c r="P111" s="13">
        <f t="shared" si="87"/>
        <v>71.481401418760342</v>
      </c>
      <c r="Q111" s="20">
        <f t="shared" si="107"/>
        <v>649.53089913767474</v>
      </c>
      <c r="R111" s="59">
        <f t="shared" si="55"/>
        <v>932.61652810494093</v>
      </c>
      <c r="S111" s="59">
        <f ca="1">AVERAGE(OFFSET($R$3,0,0,'Données projet'!$E$9+1,1))-AVERAGE(OFFSET($H$3,0,0,'Données projet'!$E$9+1,1))</f>
        <v>411.64357329340851</v>
      </c>
      <c r="T111" s="59">
        <f t="shared" si="88"/>
        <v>294.07942258675632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41.121297063071431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41.121297063071431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67.205171536527146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6.9935897435897401</v>
      </c>
      <c r="AI111" s="13">
        <f>IF('Données projet'!$A$62&gt;35,AI110+AH111-AQ110,IF(A111&lt;'Données projet'!$A$62,$AF$205^A111,IF(A111='Données projet'!$A$62,'Données projet'!$B$62,AI110+AH111-AQ110)))</f>
        <v>333.17307692307725</v>
      </c>
      <c r="AJ111" s="13">
        <f>AI111*VLOOKUP('Données projet'!$B$10,Paramètres!$A$1:$I$89,3,0)*VLOOKUP('Données projet'!$B$10,Paramètres!$A$1:$I$89,5,0)</f>
        <v>337.83750000000038</v>
      </c>
      <c r="AK111" s="13">
        <f t="shared" si="89"/>
        <v>79.052994451033314</v>
      </c>
      <c r="AL111" s="20">
        <f t="shared" si="58"/>
        <v>726.08427783555044</v>
      </c>
      <c r="AM111" s="59">
        <f t="shared" si="59"/>
        <v>1009.1699068028166</v>
      </c>
      <c r="AN111" s="59">
        <f ca="1">AVERAGE(OFFSET($AM$3,0,0,'Données projet'!$E$10+1,1))-AVERAGE(OFFSET($H$3,0,0,'Données projet'!$E$10+1,1))</f>
        <v>453.05577105995508</v>
      </c>
      <c r="AO111" s="59">
        <f t="shared" si="90"/>
        <v>322.6839824496758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46.084212225855936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46.084212225855936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67.205171536527146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4.7307692307692299</v>
      </c>
      <c r="BD111" s="12">
        <f>IF('Données projet'!$A$88&gt;35,BD110+BC111-BL110,IF(A111&lt;'Données projet'!$A$88,$BA$205^A111,IF(A111='Données projet'!$A$88,'Données projet'!$B$88,BD110+BC111-BL110)))</f>
        <v>184.72435897435909</v>
      </c>
      <c r="BE111" s="13">
        <f>BD111*VLOOKUP('Données projet'!$B$11,Paramètres!$A$1:$I$89,3,0)*VLOOKUP('Données projet'!$B$11,Paramètres!$A$1:$I$89,5,0)</f>
        <v>184.42880000000014</v>
      </c>
      <c r="BF111" s="13">
        <f t="shared" si="91"/>
        <v>46.306114357726486</v>
      </c>
      <c r="BG111" s="20">
        <f t="shared" si="61"/>
        <v>401.86330917304053</v>
      </c>
      <c r="BH111" s="59">
        <f t="shared" si="62"/>
        <v>684.94893814030672</v>
      </c>
      <c r="BI111" s="59">
        <f ca="1">AVERAGE(OFFSET($BH$3,0,0,'Données projet'!$E$11+1,1))-AVERAGE(OFFSET($H$3,0,0,'Données projet'!$E$11+1,1))</f>
        <v>411.38162678377478</v>
      </c>
      <c r="BJ111" s="59">
        <f t="shared" si="92"/>
        <v>177.89903563360403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8.6781511414542596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8.6781511414542596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67.205171536527146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212.00000000000009</v>
      </c>
      <c r="BZ111" s="13">
        <f>BY111*VLOOKUP('Données projet'!$B$12,Paramètres!$A$1:$I$89,3,0)*VLOOKUP('Données projet'!$B$12,Paramètres!$A$1:$I$89,5,0)</f>
        <v>221.58240000000012</v>
      </c>
      <c r="CA111" s="13">
        <f t="shared" si="93"/>
        <v>54.458668952651578</v>
      </c>
      <c r="CB111" s="20">
        <f t="shared" si="64"/>
        <v>480.77152842586838</v>
      </c>
      <c r="CC111" s="59">
        <f t="shared" si="65"/>
        <v>763.85715739313457</v>
      </c>
      <c r="CD111" s="59">
        <f ca="1">AVERAGE(OFFSET($CC$3,0,0,'Données projet'!$E$12+1,1))-AVERAGE(OFFSET($H$3,0,0,'Données projet'!$E$12+1,1))</f>
        <v>374.38550202939507</v>
      </c>
      <c r="CE111" s="59">
        <f t="shared" si="94"/>
        <v>324.37486924296718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15.250076537959584</v>
      </c>
      <c r="CL111" s="21">
        <f>EXP(-LN(2)/25)*CL110+(1-EXP(-LN(2)/25))/(LN(2)/25)*Calculateur!CG111*Calculateur!CI111*VLOOKUP('Données projet'!$B$12,Paramètres!$A$1:$I$89,3,0)*0.475*44/12</f>
        <v>13.405579942549613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28.655656480509197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67.205171536527146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5.0961538461538449</v>
      </c>
      <c r="CT111" s="12">
        <f>IF('Données projet'!$A$140&gt;35,CT110+CS111-DB110,IF(A111&lt;'Données projet'!$A$140,$CQ$205^A111,IF(A111='Données projet'!$A$140,'Données projet'!$B$140,CT110+CS111-DB110)))</f>
        <v>220.73717948717916</v>
      </c>
      <c r="CU111" s="17">
        <f>CT111*VLOOKUP('Données projet'!$B$13,Paramètres!$A$1:$I$89,3,0)*VLOOKUP('Données projet'!$B$13,Paramètres!$A$1:$I$89,5,0)</f>
        <v>210.0534999999997</v>
      </c>
      <c r="CV111" s="13">
        <f t="shared" si="95"/>
        <v>51.947276621012158</v>
      </c>
      <c r="CW111" s="20">
        <f t="shared" si="67"/>
        <v>456.3180192815957</v>
      </c>
      <c r="CX111" s="59">
        <f t="shared" si="68"/>
        <v>739.40364824886183</v>
      </c>
      <c r="CY111" s="59">
        <f ca="1">AVERAGE(OFFSET($CX$3,0,0,'Données projet'!$E$13+1,1))-AVERAGE(OFFSET($H$3,0,0,'Données projet'!$E$13+1,1))</f>
        <v>392.81074187112989</v>
      </c>
      <c r="CZ111" s="59">
        <f t="shared" si="96"/>
        <v>236.19146849073687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30.408257884468394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30.408257884468394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67.205171536527146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5.0961538461538449</v>
      </c>
      <c r="DO111" s="12">
        <f>IF('Données projet'!$A$166&gt;35,DO110+DN111-DW110,IF(A111&lt;'Données projet'!$A$166,$DL$205^A111,IF(A111='Données projet'!$A$166,'Données projet'!$B$166,DO110+DN111-DW110)))</f>
        <v>220.73717948717916</v>
      </c>
      <c r="DP111" s="17">
        <f>DO111*VLOOKUP('Données projet'!$B$14,Paramètres!$A$1:$I$89,3,0)*VLOOKUP('Données projet'!$B$14,Paramètres!$A$1:$I$89,5,0)</f>
        <v>237.60149999999965</v>
      </c>
      <c r="DQ111" s="13">
        <f t="shared" si="97"/>
        <v>57.923180248189368</v>
      </c>
      <c r="DR111" s="20">
        <f t="shared" si="70"/>
        <v>514.70548476559588</v>
      </c>
      <c r="DS111" s="59">
        <f t="shared" si="71"/>
        <v>797.79111373286207</v>
      </c>
      <c r="DT111" s="59">
        <f ca="1">AVERAGE(OFFSET($DS$3,0,0,'Données projet'!$E$14+1,1))-AVERAGE(OFFSET($H$3,0,0,'Données projet'!$E$14+1,1))</f>
        <v>434.77799524785502</v>
      </c>
      <c r="DU111" s="59">
        <f t="shared" si="98"/>
        <v>259.85949838170006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34.39622613161179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34.39622613161179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67.205171536527146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5.0961538461538449</v>
      </c>
      <c r="EJ111" s="12">
        <f>IF('Données projet'!$A$192&gt;35,EJ110+EI111-ER110,IF(A111&lt;'Données projet'!$A$192,$EG$205^A111,IF(A111='Données projet'!$A$192,'Données projet'!$B$192,EJ110+EI111-ER110)))</f>
        <v>220.73717948717916</v>
      </c>
      <c r="EK111" s="17">
        <f>EJ111*VLOOKUP('Données projet'!$B$15,Paramètres!$A$1:$I$89,3,0)*VLOOKUP('Données projet'!$B$15,Paramètres!$A$1:$I$89,5,0)</f>
        <v>213.4969999999997</v>
      </c>
      <c r="EL111" s="13">
        <f t="shared" si="99"/>
        <v>52.699032109433475</v>
      </c>
      <c r="EM111" s="20">
        <f t="shared" si="73"/>
        <v>463.6247559239294</v>
      </c>
      <c r="EN111" s="59">
        <f t="shared" si="74"/>
        <v>746.71038489119564</v>
      </c>
      <c r="EO111" s="59">
        <f ca="1">AVERAGE(OFFSET($EN$3,0,0,'Données projet'!$E$15+1,1))-AVERAGE(OFFSET($H$3,0,0,'Données projet'!$E$15+1,1))</f>
        <v>398.06270423055565</v>
      </c>
      <c r="EP111" s="59">
        <f t="shared" si="100"/>
        <v>239.15364562040614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30.906753915361332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30.906753915361332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67.205171536527146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-1.7053025658242404E-13</v>
      </c>
      <c r="FF111" s="17">
        <f>FE111*VLOOKUP('Données projet'!$B$16,Paramètres!$A$1:$I$89,3,0)*VLOOKUP('Données projet'!$B$16,Paramètres!$A$1:$I$89,5,0)</f>
        <v>-1.0197709343628959E-13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334.13861979962491</v>
      </c>
      <c r="FK111" s="59">
        <f t="shared" si="102"/>
        <v>416.48635183664305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58.148386940761753</v>
      </c>
      <c r="FR111" s="21">
        <f>EXP(-LN(2)/25)*FR110+(1-EXP(-LN(2)/25))/(LN(2)/25)*Calculateur!FM111*Calculateur!FO111*VLOOKUP('Données projet'!$B$16,Paramètres!$A$1:$I$89,3,0)*0.475*44/12</f>
        <v>10.45407360541261</v>
      </c>
      <c r="FS111" s="21">
        <f>EXP(-LN(2)/2)*FS110+(1-EXP(-LN(2)/2))/(LN(2)/2)*FM111*FP111*VLOOKUP('Données projet'!$B$16,Paramètres!$A$1:$I$89,3,0)*0.475*44/12</f>
        <v>6.0210184667720692E-7</v>
      </c>
      <c r="FT111" s="22">
        <f t="shared" si="78"/>
        <v>68.60246114827622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67.205171536527146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3.4106051316484809E-13</v>
      </c>
      <c r="GA111" s="17">
        <f>FZ111*VLOOKUP('Données projet'!$B$17,Paramètres!$A$1:$I$89,3,0)*VLOOKUP('Données projet'!$B$17,Paramètres!$A$1:$I$89,5,0)</f>
        <v>1.5961632016114892E-13</v>
      </c>
      <c r="GB111" s="13">
        <f t="shared" si="103"/>
        <v>2.2708641912150958E-12</v>
      </c>
      <c r="GC111" s="20">
        <f t="shared" si="79"/>
        <v>4.2330868906469593E-12</v>
      </c>
      <c r="GD111" s="59">
        <f t="shared" si="80"/>
        <v>283.0856289672704</v>
      </c>
      <c r="GE111" s="59">
        <f ca="1">AVERAGE(OFFSET($GD$3,0,0,'Données projet'!$E$17+1,1))-AVERAGE(OFFSET($H$3,0,0,'Données projet'!$E$17+1,1))</f>
        <v>317.79829681023142</v>
      </c>
      <c r="GF111" s="59">
        <f t="shared" si="104"/>
        <v>275.07716943523621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165.113835948586</v>
      </c>
      <c r="GM111" s="21">
        <f>EXP(-LN(2)/25)*GM110+(1-EXP(-LN(2)/25))/(LN(2)/25)*Calculateur!GH111*Calculateur!GJ111*VLOOKUP('Données projet'!$B$17,Paramètres!$A$1:$I$89,3,0)*0.475*44/12</f>
        <v>40.415731630665597</v>
      </c>
      <c r="GN111" s="21">
        <f>EXP(-LN(2)/2)*GN110+(1-EXP(-LN(2)/2))/(LN(2)/2)*GH111*GK111*VLOOKUP('Données projet'!$B$17,Paramètres!$A$1:$I$89,3,0)*0.475*44/12</f>
        <v>7.844162237746696</v>
      </c>
      <c r="GO111" s="21">
        <f t="shared" si="81"/>
        <v>213.37372981699829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67.205171536527146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>
        <f>GU111*VLOOKUP('Données projet'!$B$18,Paramètres!$A$1:$I$89,3,0)*VLOOKUP('Données projet'!$B$18,Paramètres!$A$1:$I$89,5,0)</f>
        <v>0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336.21787234885699</v>
      </c>
      <c r="HA111" s="59">
        <f t="shared" si="106"/>
        <v>315.36156736899113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99.167936456244874</v>
      </c>
      <c r="HH111" s="21">
        <f>EXP(-LN(2)/25)*HH110+(1-EXP(-LN(2)/25))/(LN(2)/25)*Calculateur!HC111*Calculateur!HE111*VLOOKUP('Données projet'!$B$18,Paramètres!$A$1:$I$89,3,0)*0.475*44/12</f>
        <v>19.327631304498482</v>
      </c>
      <c r="HI111" s="21">
        <f>EXP(-LN(2)/2)*HI110+(1-EXP(-LN(2)/2))/(LN(2)/2)*HC111*HF111*VLOOKUP('Données projet'!$B$18,Paramètres!$A$1:$I$89,3,0)*0.475*44/12</f>
        <v>7.5974197975850084E-5</v>
      </c>
      <c r="HJ111" s="22">
        <f t="shared" si="84"/>
        <v>118.49564373494132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3.7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13.566666666666668</v>
      </c>
      <c r="H112" s="67">
        <f t="shared" si="56"/>
        <v>202.4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67.253655562068019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340.16666666666697</v>
      </c>
      <c r="O112" s="13">
        <f>N112*VLOOKUP('Données projet'!$B$9,Paramètres!$A$1:$I$89,3,0)*VLOOKUP('Données projet'!$B$9,Paramètres!$A$1:$I$89,5,0)</f>
        <v>307.78280000000024</v>
      </c>
      <c r="P112" s="13">
        <f t="shared" si="87"/>
        <v>72.805597304306232</v>
      </c>
      <c r="Q112" s="20">
        <f t="shared" si="107"/>
        <v>662.85812530500039</v>
      </c>
      <c r="R112" s="59">
        <f t="shared" si="55"/>
        <v>946.12152903258311</v>
      </c>
      <c r="S112" s="59">
        <f ca="1">AVERAGE(OFFSET($R$3,0,0,'Données projet'!$E$9+1,1))-AVERAGE(OFFSET($H$3,0,0,'Données projet'!$E$9+1,1))</f>
        <v>411.64357329340851</v>
      </c>
      <c r="T112" s="59">
        <f t="shared" si="88"/>
        <v>294.07942258675632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0.38700000000000001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60.168125359190398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60.168125359190398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67.253655562068019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340.16666666666663</v>
      </c>
      <c r="AG112" s="12">
        <f>VLOOKUP(A112,'Données projet'!$A$61:$I$81,9,0)</f>
        <v>6.9935897435897401</v>
      </c>
      <c r="AH112" s="12">
        <f t="array" ref="AH112">INDEX(AG:AG,MIN(IF(ISNUMBER(AG112:AG308),ROW(AG112:AG308),"")))</f>
        <v>6.9935897435897401</v>
      </c>
      <c r="AI112" s="13">
        <f>IF('Données projet'!$A$62&gt;35,AI111+AH112-AQ111,IF(A112&lt;'Données projet'!$A$62,$AF$205^A112,IF(A112='Données projet'!$A$62,'Données projet'!$B$62,AI111+AH112-AQ111)))</f>
        <v>340.16666666666697</v>
      </c>
      <c r="AJ112" s="13">
        <f>AI112*VLOOKUP('Données projet'!$B$10,Paramètres!$A$1:$I$89,3,0)*VLOOKUP('Données projet'!$B$10,Paramètres!$A$1:$I$89,5,0)</f>
        <v>344.92900000000037</v>
      </c>
      <c r="AK112" s="13">
        <f t="shared" si="89"/>
        <v>80.51745440725162</v>
      </c>
      <c r="AL112" s="20">
        <f t="shared" si="58"/>
        <v>740.98590809263044</v>
      </c>
      <c r="AM112" s="59">
        <f t="shared" si="59"/>
        <v>1024.2493118202133</v>
      </c>
      <c r="AN112" s="59">
        <f ca="1">AVERAGE(OFFSET($AM$3,0,0,'Données projet'!$E$10+1,1))-AVERAGE(OFFSET($H$3,0,0,'Données projet'!$E$10+1,1))</f>
        <v>453.05577105995508</v>
      </c>
      <c r="AO112" s="59">
        <f t="shared" si="90"/>
        <v>322.6839824496758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51.28846153846154</v>
      </c>
      <c r="AR112" s="16">
        <f>IF(ISNA(VLOOKUP(A112,'Données projet'!$A$61:$I$81,5,0)),0%,VLOOKUP(A112,'Données projet'!$A$61:$I$81,5,0)*VLOOKUP('Données projet'!$B$10,Paramètres!$A$1:$I$89,7,0))</f>
        <v>0.38700000000000001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67.429795661161677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67.429795661161677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67.253655562068019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4.7307692307692299</v>
      </c>
      <c r="BD112" s="12">
        <f>IF('Données projet'!$A$88&gt;35,BD111+BC112-BL111,IF(A112&lt;'Données projet'!$A$88,$BA$205^A112,IF(A112='Données projet'!$A$88,'Données projet'!$B$88,BD111+BC112-BL111)))</f>
        <v>189.45512820512832</v>
      </c>
      <c r="BE112" s="13">
        <f>BD112*VLOOKUP('Données projet'!$B$11,Paramètres!$A$1:$I$89,3,0)*VLOOKUP('Données projet'!$B$11,Paramètres!$A$1:$I$89,5,0)</f>
        <v>189.15200000000013</v>
      </c>
      <c r="BF112" s="13">
        <f t="shared" si="91"/>
        <v>47.352423311025134</v>
      </c>
      <c r="BG112" s="20">
        <f t="shared" si="61"/>
        <v>411.91187060003563</v>
      </c>
      <c r="BH112" s="59">
        <f t="shared" si="62"/>
        <v>695.17527432761835</v>
      </c>
      <c r="BI112" s="59">
        <f ca="1">AVERAGE(OFFSET($BH$3,0,0,'Données projet'!$E$11+1,1))-AVERAGE(OFFSET($H$3,0,0,'Données projet'!$E$11+1,1))</f>
        <v>411.38162678377478</v>
      </c>
      <c r="BJ112" s="59">
        <f t="shared" si="92"/>
        <v>177.89903563360403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8.5079778907198822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8.5079778907198822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67.253655562068019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212.00000000000009</v>
      </c>
      <c r="BZ112" s="13">
        <f>BY112*VLOOKUP('Données projet'!$B$12,Paramètres!$A$1:$I$89,3,0)*VLOOKUP('Données projet'!$B$12,Paramètres!$A$1:$I$89,5,0)</f>
        <v>221.58240000000012</v>
      </c>
      <c r="CA112" s="13">
        <f t="shared" si="93"/>
        <v>54.458668952651578</v>
      </c>
      <c r="CB112" s="20">
        <f t="shared" si="64"/>
        <v>480.77152842586838</v>
      </c>
      <c r="CC112" s="59">
        <f t="shared" si="65"/>
        <v>764.03493215345111</v>
      </c>
      <c r="CD112" s="59">
        <f ca="1">AVERAGE(OFFSET($CC$3,0,0,'Données projet'!$E$12+1,1))-AVERAGE(OFFSET($H$3,0,0,'Données projet'!$E$12+1,1))</f>
        <v>374.38550202939507</v>
      </c>
      <c r="CE112" s="59">
        <f t="shared" si="94"/>
        <v>324.37486924296718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14.951031838678425</v>
      </c>
      <c r="CL112" s="21">
        <f>EXP(-LN(2)/25)*CL111+(1-EXP(-LN(2)/25))/(LN(2)/25)*Calculateur!CG112*Calculateur!CI112*VLOOKUP('Données projet'!$B$12,Paramètres!$A$1:$I$89,3,0)*0.475*44/12</f>
        <v>13.039003654051783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27.990035492730208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67.253655562068019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5.0961538461538449</v>
      </c>
      <c r="CT112" s="12">
        <f>IF('Données projet'!$A$140&gt;35,CT111+CS112-DB111,IF(A112&lt;'Données projet'!$A$140,$CQ$205^A112,IF(A112='Données projet'!$A$140,'Données projet'!$B$140,CT111+CS112-DB111)))</f>
        <v>225.833333333333</v>
      </c>
      <c r="CU112" s="17">
        <f>CT112*VLOOKUP('Données projet'!$B$13,Paramètres!$A$1:$I$89,3,0)*VLOOKUP('Données projet'!$B$13,Paramètres!$A$1:$I$89,5,0)</f>
        <v>214.90299999999968</v>
      </c>
      <c r="CV112" s="13">
        <f t="shared" si="95"/>
        <v>53.005571160160272</v>
      </c>
      <c r="CW112" s="20">
        <f t="shared" si="67"/>
        <v>466.60742810394527</v>
      </c>
      <c r="CX112" s="59">
        <f t="shared" si="68"/>
        <v>749.87083183152799</v>
      </c>
      <c r="CY112" s="59">
        <f ca="1">AVERAGE(OFFSET($CX$3,0,0,'Données projet'!$E$13+1,1))-AVERAGE(OFFSET($H$3,0,0,'Données projet'!$E$13+1,1))</f>
        <v>392.81074187112989</v>
      </c>
      <c r="CZ112" s="59">
        <f t="shared" si="96"/>
        <v>236.19146849073687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29.811970494559894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29.811970494559894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67.253655562068019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5.0961538461538449</v>
      </c>
      <c r="DO112" s="12">
        <f>IF('Données projet'!$A$166&gt;35,DO111+DN112-DW111,IF(A112&lt;'Données projet'!$A$166,$DL$205^A112,IF(A112='Données projet'!$A$166,'Données projet'!$B$166,DO111+DN112-DW111)))</f>
        <v>225.833333333333</v>
      </c>
      <c r="DP112" s="17">
        <f>DO112*VLOOKUP('Données projet'!$B$14,Paramètres!$A$1:$I$89,3,0)*VLOOKUP('Données projet'!$B$14,Paramètres!$A$1:$I$89,5,0)</f>
        <v>243.08699999999965</v>
      </c>
      <c r="DQ112" s="13">
        <f t="shared" si="97"/>
        <v>59.10321872824241</v>
      </c>
      <c r="DR112" s="20">
        <f t="shared" si="70"/>
        <v>526.31463095168817</v>
      </c>
      <c r="DS112" s="59">
        <f t="shared" si="71"/>
        <v>809.5780346792709</v>
      </c>
      <c r="DT112" s="59">
        <f ca="1">AVERAGE(OFFSET($DS$3,0,0,'Données projet'!$E$14+1,1))-AVERAGE(OFFSET($H$3,0,0,'Données projet'!$E$14+1,1))</f>
        <v>434.77799524785502</v>
      </c>
      <c r="DU112" s="59">
        <f t="shared" si="98"/>
        <v>259.85949838170006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33.721737116797257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33.721737116797257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67.253655562068019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5.0961538461538449</v>
      </c>
      <c r="EJ112" s="12">
        <f>IF('Données projet'!$A$192&gt;35,EJ111+EI112-ER111,IF(A112&lt;'Données projet'!$A$192,$EG$205^A112,IF(A112='Données projet'!$A$192,'Données projet'!$B$192,EJ111+EI112-ER111)))</f>
        <v>225.833333333333</v>
      </c>
      <c r="EK112" s="17">
        <f>EJ112*VLOOKUP('Données projet'!$B$15,Paramètres!$A$1:$I$89,3,0)*VLOOKUP('Données projet'!$B$15,Paramètres!$A$1:$I$89,5,0)</f>
        <v>218.42599999999968</v>
      </c>
      <c r="EL112" s="13">
        <f t="shared" si="99"/>
        <v>53.772641767677783</v>
      </c>
      <c r="EM112" s="20">
        <f t="shared" si="73"/>
        <v>474.07930107870487</v>
      </c>
      <c r="EN112" s="59">
        <f t="shared" si="74"/>
        <v>757.34270480628766</v>
      </c>
      <c r="EO112" s="59">
        <f ca="1">AVERAGE(OFFSET($EN$3,0,0,'Données projet'!$E$15+1,1))-AVERAGE(OFFSET($H$3,0,0,'Données projet'!$E$15+1,1))</f>
        <v>398.06270423055565</v>
      </c>
      <c r="EP112" s="59">
        <f t="shared" si="100"/>
        <v>239.15364562040614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30.300691322339578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30.300691322339578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67.253655562068019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-1.7053025658242404E-13</v>
      </c>
      <c r="FF112" s="17">
        <f>FE112*VLOOKUP('Données projet'!$B$16,Paramètres!$A$1:$I$89,3,0)*VLOOKUP('Données projet'!$B$16,Paramètres!$A$1:$I$89,5,0)</f>
        <v>-1.0197709343628959E-13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334.13861979962491</v>
      </c>
      <c r="FK112" s="59">
        <f t="shared" si="102"/>
        <v>416.48635183664305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57.008132539867375</v>
      </c>
      <c r="FR112" s="21">
        <f>EXP(-LN(2)/25)*FR111+(1-EXP(-LN(2)/25))/(LN(2)/25)*Calculateur!FM112*Calculateur!FO112*VLOOKUP('Données projet'!$B$16,Paramètres!$A$1:$I$89,3,0)*0.475*44/12</f>
        <v>10.168206412916764</v>
      </c>
      <c r="FS112" s="21">
        <f>EXP(-LN(2)/2)*FS111+(1-EXP(-LN(2)/2))/(LN(2)/2)*FM112*FP112*VLOOKUP('Données projet'!$B$16,Paramètres!$A$1:$I$89,3,0)*0.475*44/12</f>
        <v>4.2575029875039594E-7</v>
      </c>
      <c r="FT112" s="22">
        <f t="shared" si="78"/>
        <v>67.176339378534436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67.253655562068019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3.4106051316484809E-13</v>
      </c>
      <c r="GA112" s="17">
        <f>FZ112*VLOOKUP('Données projet'!$B$17,Paramètres!$A$1:$I$89,3,0)*VLOOKUP('Données projet'!$B$17,Paramètres!$A$1:$I$89,5,0)</f>
        <v>1.5961632016114892E-13</v>
      </c>
      <c r="GB112" s="13">
        <f t="shared" si="103"/>
        <v>2.2708641912150958E-12</v>
      </c>
      <c r="GC112" s="20">
        <f t="shared" si="79"/>
        <v>4.2330868906469593E-12</v>
      </c>
      <c r="GD112" s="59">
        <f t="shared" si="80"/>
        <v>283.26340372758693</v>
      </c>
      <c r="GE112" s="59">
        <f ca="1">AVERAGE(OFFSET($GD$3,0,0,'Données projet'!$E$17+1,1))-AVERAGE(OFFSET($H$3,0,0,'Données projet'!$E$17+1,1))</f>
        <v>317.79829681023142</v>
      </c>
      <c r="GF112" s="59">
        <f t="shared" si="104"/>
        <v>275.07716943523621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161.87605433512991</v>
      </c>
      <c r="GM112" s="21">
        <f>EXP(-LN(2)/25)*GM111+(1-EXP(-LN(2)/25))/(LN(2)/25)*Calculateur!GH112*Calculateur!GJ112*VLOOKUP('Données projet'!$B$17,Paramètres!$A$1:$I$89,3,0)*0.475*44/12</f>
        <v>39.310561323854088</v>
      </c>
      <c r="GN112" s="21">
        <f>EXP(-LN(2)/2)*GN111+(1-EXP(-LN(2)/2))/(LN(2)/2)*GH112*GK112*VLOOKUP('Données projet'!$B$17,Paramètres!$A$1:$I$89,3,0)*0.475*44/12</f>
        <v>5.5466603110381323</v>
      </c>
      <c r="GO112" s="21">
        <f t="shared" si="81"/>
        <v>206.73327597002213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67.253655562068019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>
        <f>GU112*VLOOKUP('Données projet'!$B$18,Paramètres!$A$1:$I$89,3,0)*VLOOKUP('Données projet'!$B$18,Paramètres!$A$1:$I$89,5,0)</f>
        <v>0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336.21787234885699</v>
      </c>
      <c r="HA112" s="59">
        <f t="shared" si="106"/>
        <v>315.36156736899113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97.223313708806614</v>
      </c>
      <c r="HH112" s="21">
        <f>EXP(-LN(2)/25)*HH111+(1-EXP(-LN(2)/25))/(LN(2)/25)*Calculateur!HC112*Calculateur!HE112*VLOOKUP('Données projet'!$B$18,Paramètres!$A$1:$I$89,3,0)*0.475*44/12</f>
        <v>18.799116210081014</v>
      </c>
      <c r="HI112" s="21">
        <f>EXP(-LN(2)/2)*HI111+(1-EXP(-LN(2)/2))/(LN(2)/2)*HC112*HF112*VLOOKUP('Données projet'!$B$18,Paramètres!$A$1:$I$89,3,0)*0.475*44/12</f>
        <v>5.3721870583932868E-5</v>
      </c>
      <c r="HJ112" s="22">
        <f t="shared" si="84"/>
        <v>116.02248364075821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3.7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13.566666666666668</v>
      </c>
      <c r="H113" s="67">
        <f t="shared" si="56"/>
        <v>202.4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67.301298498159795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295.72435897435929</v>
      </c>
      <c r="O113" s="13">
        <f>N113*VLOOKUP('Données projet'!$B$9,Paramètres!$A$1:$I$89,3,0)*VLOOKUP('Données projet'!$B$9,Paramètres!$A$1:$I$89,5,0)</f>
        <v>267.57140000000027</v>
      </c>
      <c r="P113" s="13">
        <f t="shared" si="87"/>
        <v>64.333588350286504</v>
      </c>
      <c r="Q113" s="20">
        <f t="shared" si="107"/>
        <v>578.06785471008277</v>
      </c>
      <c r="R113" s="59">
        <f t="shared" si="55"/>
        <v>861.50594920333538</v>
      </c>
      <c r="S113" s="59">
        <f ca="1">AVERAGE(OFFSET($R$3,0,0,'Données projet'!$E$9+1,1))-AVERAGE(OFFSET($H$3,0,0,'Données projet'!$E$9+1,1))</f>
        <v>411.64357329340851</v>
      </c>
      <c r="T113" s="59">
        <f t="shared" si="88"/>
        <v>294.07942258675632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58.988265119829428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58.988265119829428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67.301298498159795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6.8461538461538511</v>
      </c>
      <c r="AI113" s="13">
        <f>IF('Données projet'!$A$62&gt;35,AI112+AH113-AQ112,IF(A113&lt;'Données projet'!$A$62,$AF$205^A113,IF(A113='Données projet'!$A$62,'Données projet'!$B$62,AI112+AH113-AQ112)))</f>
        <v>295.72435897435929</v>
      </c>
      <c r="AJ113" s="13">
        <f>AI113*VLOOKUP('Données projet'!$B$10,Paramètres!$A$1:$I$89,3,0)*VLOOKUP('Données projet'!$B$10,Paramètres!$A$1:$I$89,5,0)</f>
        <v>299.86450000000036</v>
      </c>
      <c r="AK113" s="13">
        <f t="shared" si="89"/>
        <v>71.148056724241755</v>
      </c>
      <c r="AL113" s="20">
        <f t="shared" si="58"/>
        <v>646.18020296138832</v>
      </c>
      <c r="AM113" s="59">
        <f t="shared" si="59"/>
        <v>929.61829745464092</v>
      </c>
      <c r="AN113" s="59">
        <f ca="1">AVERAGE(OFFSET($AM$3,0,0,'Données projet'!$E$10+1,1))-AVERAGE(OFFSET($H$3,0,0,'Données projet'!$E$10+1,1))</f>
        <v>453.05577105995508</v>
      </c>
      <c r="AO113" s="59">
        <f t="shared" si="90"/>
        <v>322.6839824496758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66.10753849636059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66.10753849636059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67.301298498159795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4.7307692307692299</v>
      </c>
      <c r="BD113" s="12">
        <f>IF('Données projet'!$A$88&gt;35,BD112+BC113-BL112,IF(A113&lt;'Données projet'!$A$88,$BA$205^A113,IF(A113='Données projet'!$A$88,'Données projet'!$B$88,BD112+BC113-BL112)))</f>
        <v>194.18589743589754</v>
      </c>
      <c r="BE113" s="13">
        <f>BD113*VLOOKUP('Données projet'!$B$11,Paramètres!$A$1:$I$89,3,0)*VLOOKUP('Données projet'!$B$11,Paramètres!$A$1:$I$89,5,0)</f>
        <v>193.87520000000012</v>
      </c>
      <c r="BF113" s="13">
        <f t="shared" si="91"/>
        <v>48.395695192785666</v>
      </c>
      <c r="BG113" s="20">
        <f t="shared" si="61"/>
        <v>421.95514246076851</v>
      </c>
      <c r="BH113" s="59">
        <f t="shared" si="62"/>
        <v>705.39323695402106</v>
      </c>
      <c r="BI113" s="59">
        <f ca="1">AVERAGE(OFFSET($BH$3,0,0,'Données projet'!$E$11+1,1))-AVERAGE(OFFSET($H$3,0,0,'Données projet'!$E$11+1,1))</f>
        <v>411.38162678377478</v>
      </c>
      <c r="BJ113" s="59">
        <f t="shared" si="92"/>
        <v>177.89903563360403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8.3411416336369726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8.3411416336369726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67.301298498159795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212.00000000000009</v>
      </c>
      <c r="BZ113" s="13">
        <f>BY113*VLOOKUP('Données projet'!$B$12,Paramètres!$A$1:$I$89,3,0)*VLOOKUP('Données projet'!$B$12,Paramètres!$A$1:$I$89,5,0)</f>
        <v>221.58240000000012</v>
      </c>
      <c r="CA113" s="13">
        <f t="shared" si="93"/>
        <v>54.458668952651578</v>
      </c>
      <c r="CB113" s="20">
        <f t="shared" si="64"/>
        <v>480.77152842586838</v>
      </c>
      <c r="CC113" s="59">
        <f t="shared" si="65"/>
        <v>764.20962291912087</v>
      </c>
      <c r="CD113" s="59">
        <f ca="1">AVERAGE(OFFSET($CC$3,0,0,'Données projet'!$E$12+1,1))-AVERAGE(OFFSET($H$3,0,0,'Données projet'!$E$12+1,1))</f>
        <v>374.38550202939507</v>
      </c>
      <c r="CE113" s="59">
        <f t="shared" si="94"/>
        <v>324.37486924296718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14.657851223550914</v>
      </c>
      <c r="CL113" s="21">
        <f>EXP(-LN(2)/25)*CL112+(1-EXP(-LN(2)/25))/(LN(2)/25)*Calculateur!CG113*Calculateur!CI113*VLOOKUP('Données projet'!$B$12,Paramètres!$A$1:$I$89,3,0)*0.475*44/12</f>
        <v>12.682451413440335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27.340302636991247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67.301298498159795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5.0961538461538449</v>
      </c>
      <c r="CT113" s="12">
        <f>IF('Données projet'!$A$140&gt;35,CT112+CS113-DB112,IF(A113&lt;'Données projet'!$A$140,$CQ$205^A113,IF(A113='Données projet'!$A$140,'Données projet'!$B$140,CT112+CS113-DB112)))</f>
        <v>230.92948717948684</v>
      </c>
      <c r="CU113" s="17">
        <f>CT113*VLOOKUP('Données projet'!$B$13,Paramètres!$A$1:$I$89,3,0)*VLOOKUP('Données projet'!$B$13,Paramètres!$A$1:$I$89,5,0)</f>
        <v>219.75249999999971</v>
      </c>
      <c r="CV113" s="13">
        <f t="shared" si="95"/>
        <v>54.061089294879686</v>
      </c>
      <c r="CW113" s="20">
        <f t="shared" si="67"/>
        <v>476.89200135524828</v>
      </c>
      <c r="CX113" s="59">
        <f t="shared" si="68"/>
        <v>760.33009584850083</v>
      </c>
      <c r="CY113" s="59">
        <f ca="1">AVERAGE(OFFSET($CX$3,0,0,'Données projet'!$E$13+1,1))-AVERAGE(OFFSET($H$3,0,0,'Données projet'!$E$13+1,1))</f>
        <v>392.81074187112989</v>
      </c>
      <c r="CZ113" s="59">
        <f t="shared" si="96"/>
        <v>236.19146849073687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29.227375936668103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29.227375936668103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67.301298498159795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5.0961538461538449</v>
      </c>
      <c r="DO113" s="12">
        <f>IF('Données projet'!$A$166&gt;35,DO112+DN113-DW112,IF(A113&lt;'Données projet'!$A$166,$DL$205^A113,IF(A113='Données projet'!$A$166,'Données projet'!$B$166,DO112+DN113-DW112)))</f>
        <v>230.92948717948684</v>
      </c>
      <c r="DP113" s="17">
        <f>DO113*VLOOKUP('Données projet'!$B$14,Paramètres!$A$1:$I$89,3,0)*VLOOKUP('Données projet'!$B$14,Paramètres!$A$1:$I$89,5,0)</f>
        <v>248.57249999999962</v>
      </c>
      <c r="DQ113" s="13">
        <f t="shared" si="97"/>
        <v>60.280161412237796</v>
      </c>
      <c r="DR113" s="20">
        <f t="shared" si="70"/>
        <v>537.91838529298013</v>
      </c>
      <c r="DS113" s="59">
        <f t="shared" si="71"/>
        <v>821.35647978623274</v>
      </c>
      <c r="DT113" s="59">
        <f ca="1">AVERAGE(OFFSET($DS$3,0,0,'Données projet'!$E$14+1,1))-AVERAGE(OFFSET($H$3,0,0,'Données projet'!$E$14+1,1))</f>
        <v>434.77799524785502</v>
      </c>
      <c r="DU113" s="59">
        <f t="shared" si="98"/>
        <v>259.85949838170006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33.060474420165562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33.060474420165562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67.301298498159795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5.0961538461538449</v>
      </c>
      <c r="EJ113" s="12">
        <f>IF('Données projet'!$A$192&gt;35,EJ112+EI113-ER112,IF(A113&lt;'Données projet'!$A$192,$EG$205^A113,IF(A113='Données projet'!$A$192,'Données projet'!$B$192,EJ112+EI113-ER112)))</f>
        <v>230.92948717948684</v>
      </c>
      <c r="EK113" s="17">
        <f>EJ113*VLOOKUP('Données projet'!$B$15,Paramètres!$A$1:$I$89,3,0)*VLOOKUP('Données projet'!$B$15,Paramètres!$A$1:$I$89,5,0)</f>
        <v>223.35499999999968</v>
      </c>
      <c r="EL113" s="13">
        <f t="shared" si="99"/>
        <v>54.84343484273122</v>
      </c>
      <c r="EM113" s="20">
        <f t="shared" si="73"/>
        <v>484.52894068442293</v>
      </c>
      <c r="EN113" s="59">
        <f t="shared" si="74"/>
        <v>767.96703517767548</v>
      </c>
      <c r="EO113" s="59">
        <f ca="1">AVERAGE(OFFSET($EN$3,0,0,'Données projet'!$E$15+1,1))-AVERAGE(OFFSET($H$3,0,0,'Données projet'!$E$15+1,1))</f>
        <v>398.06270423055565</v>
      </c>
      <c r="EP113" s="59">
        <f t="shared" si="100"/>
        <v>239.15364562040614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29.706513247105299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29.706513247105299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67.301298498159795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-1.7053025658242404E-13</v>
      </c>
      <c r="FF113" s="17">
        <f>FE113*VLOOKUP('Données projet'!$B$16,Paramètres!$A$1:$I$89,3,0)*VLOOKUP('Données projet'!$B$16,Paramètres!$A$1:$I$89,5,0)</f>
        <v>-1.0197709343628959E-13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334.13861979962491</v>
      </c>
      <c r="FK113" s="59">
        <f t="shared" si="102"/>
        <v>416.48635183664305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55.890237832288022</v>
      </c>
      <c r="FR113" s="21">
        <f>EXP(-LN(2)/25)*FR112+(1-EXP(-LN(2)/25))/(LN(2)/25)*Calculateur!FM113*Calculateur!FO113*VLOOKUP('Données projet'!$B$16,Paramètres!$A$1:$I$89,3,0)*0.475*44/12</f>
        <v>9.8901562738328188</v>
      </c>
      <c r="FS113" s="21">
        <f>EXP(-LN(2)/2)*FS112+(1-EXP(-LN(2)/2))/(LN(2)/2)*FM113*FP113*VLOOKUP('Données projet'!$B$16,Paramètres!$A$1:$I$89,3,0)*0.475*44/12</f>
        <v>3.0105092333860346E-7</v>
      </c>
      <c r="FT113" s="22">
        <f t="shared" si="78"/>
        <v>65.780394407171755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67.301298498159795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3.4106051316484809E-13</v>
      </c>
      <c r="GA113" s="17">
        <f>FZ113*VLOOKUP('Données projet'!$B$17,Paramètres!$A$1:$I$89,3,0)*VLOOKUP('Données projet'!$B$17,Paramètres!$A$1:$I$89,5,0)</f>
        <v>1.5961632016114892E-13</v>
      </c>
      <c r="GB113" s="13">
        <f t="shared" si="103"/>
        <v>2.2708641912150958E-12</v>
      </c>
      <c r="GC113" s="20">
        <f t="shared" si="79"/>
        <v>4.2330868906469593E-12</v>
      </c>
      <c r="GD113" s="59">
        <f t="shared" si="80"/>
        <v>283.43809449325676</v>
      </c>
      <c r="GE113" s="59">
        <f ca="1">AVERAGE(OFFSET($GD$3,0,0,'Données projet'!$E$17+1,1))-AVERAGE(OFFSET($H$3,0,0,'Données projet'!$E$17+1,1))</f>
        <v>317.79829681023142</v>
      </c>
      <c r="GF113" s="59">
        <f t="shared" si="104"/>
        <v>275.07716943523621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158.70176364426192</v>
      </c>
      <c r="GM113" s="21">
        <f>EXP(-LN(2)/25)*GM112+(1-EXP(-LN(2)/25))/(LN(2)/25)*Calculateur!GH113*Calculateur!GJ113*VLOOKUP('Données projet'!$B$17,Paramètres!$A$1:$I$89,3,0)*0.475*44/12</f>
        <v>38.235611957200724</v>
      </c>
      <c r="GN113" s="21">
        <f>EXP(-LN(2)/2)*GN112+(1-EXP(-LN(2)/2))/(LN(2)/2)*GH113*GK113*VLOOKUP('Données projet'!$B$17,Paramètres!$A$1:$I$89,3,0)*0.475*44/12</f>
        <v>3.9220811188733484</v>
      </c>
      <c r="GO113" s="21">
        <f t="shared" si="81"/>
        <v>200.85945672033597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67.301298498159795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>
        <f>GU113*VLOOKUP('Données projet'!$B$18,Paramètres!$A$1:$I$89,3,0)*VLOOKUP('Données projet'!$B$18,Paramètres!$A$1:$I$89,5,0)</f>
        <v>0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336.21787234885699</v>
      </c>
      <c r="HA113" s="59">
        <f t="shared" si="106"/>
        <v>315.36156736899113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95.316823827342859</v>
      </c>
      <c r="HH113" s="21">
        <f>EXP(-LN(2)/25)*HH112+(1-EXP(-LN(2)/25))/(LN(2)/25)*Calculateur!HC113*Calculateur!HE113*VLOOKUP('Données projet'!$B$18,Paramètres!$A$1:$I$89,3,0)*0.475*44/12</f>
        <v>18.285053388713791</v>
      </c>
      <c r="HI113" s="21">
        <f>EXP(-LN(2)/2)*HI112+(1-EXP(-LN(2)/2))/(LN(2)/2)*HC113*HF113*VLOOKUP('Données projet'!$B$18,Paramètres!$A$1:$I$89,3,0)*0.475*44/12</f>
        <v>3.7987098987925042E-5</v>
      </c>
      <c r="HJ113" s="22">
        <f t="shared" si="84"/>
        <v>113.60191520315564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3.7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13.566666666666668</v>
      </c>
      <c r="H114" s="67">
        <f t="shared" si="56"/>
        <v>202.4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67.348114935824029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302.57051282051316</v>
      </c>
      <c r="O114" s="13">
        <f>N114*VLOOKUP('Données projet'!$B$9,Paramètres!$A$1:$I$89,3,0)*VLOOKUP('Données projet'!$B$9,Paramètres!$A$1:$I$89,5,0)</f>
        <v>273.7658000000003</v>
      </c>
      <c r="P114" s="13">
        <f t="shared" si="87"/>
        <v>65.647821692657914</v>
      </c>
      <c r="Q114" s="20">
        <f t="shared" si="107"/>
        <v>591.14539111471311</v>
      </c>
      <c r="R114" s="59">
        <f t="shared" si="55"/>
        <v>874.7551458794012</v>
      </c>
      <c r="S114" s="59">
        <f ca="1">AVERAGE(OFFSET($R$3,0,0,'Données projet'!$E$9+1,1))-AVERAGE(OFFSET($H$3,0,0,'Données projet'!$E$9+1,1))</f>
        <v>411.64357329340851</v>
      </c>
      <c r="T114" s="59">
        <f t="shared" si="88"/>
        <v>294.07942258675632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57.831541220118638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57.831541220118638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67.348114935824029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6.8461538461538511</v>
      </c>
      <c r="AI114" s="13">
        <f>IF('Données projet'!$A$62&gt;35,AI113+AH114-AQ113,IF(A114&lt;'Données projet'!$A$62,$AF$205^A114,IF(A114='Données projet'!$A$62,'Données projet'!$B$62,AI113+AH114-AQ113)))</f>
        <v>302.57051282051316</v>
      </c>
      <c r="AJ114" s="13">
        <f>AI114*VLOOKUP('Données projet'!$B$10,Paramètres!$A$1:$I$89,3,0)*VLOOKUP('Données projet'!$B$10,Paramètres!$A$1:$I$89,5,0)</f>
        <v>306.80650000000037</v>
      </c>
      <c r="AK114" s="13">
        <f t="shared" si="89"/>
        <v>72.601498865270955</v>
      </c>
      <c r="AL114" s="20">
        <f t="shared" si="58"/>
        <v>660.80226469034744</v>
      </c>
      <c r="AM114" s="59">
        <f t="shared" si="59"/>
        <v>944.41201945503553</v>
      </c>
      <c r="AN114" s="59">
        <f ca="1">AVERAGE(OFFSET($AM$3,0,0,'Données projet'!$E$10+1,1))-AVERAGE(OFFSET($H$3,0,0,'Données projet'!$E$10+1,1))</f>
        <v>453.05577105995508</v>
      </c>
      <c r="AO114" s="59">
        <f t="shared" si="90"/>
        <v>322.6839824496758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64.811209988064007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64.811209988064007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67.348114935824029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4.7307692307692299</v>
      </c>
      <c r="BD114" s="12">
        <f>IF('Données projet'!$A$88&gt;35,BD113+BC114-BL113,IF(A114&lt;'Données projet'!$A$88,$BA$205^A114,IF(A114='Données projet'!$A$88,'Données projet'!$B$88,BD113+BC114-BL113)))</f>
        <v>198.91666666666677</v>
      </c>
      <c r="BE114" s="13">
        <f>BD114*VLOOKUP('Données projet'!$B$11,Paramètres!$A$1:$I$89,3,0)*VLOOKUP('Données projet'!$B$11,Paramètres!$A$1:$I$89,5,0)</f>
        <v>198.59840000000011</v>
      </c>
      <c r="BF114" s="13">
        <f t="shared" si="91"/>
        <v>49.436012504193478</v>
      </c>
      <c r="BG114" s="20">
        <f t="shared" si="61"/>
        <v>431.99326844480385</v>
      </c>
      <c r="BH114" s="59">
        <f t="shared" si="62"/>
        <v>715.60302320949199</v>
      </c>
      <c r="BI114" s="59">
        <f ca="1">AVERAGE(OFFSET($BH$3,0,0,'Données projet'!$E$11+1,1))-AVERAGE(OFFSET($H$3,0,0,'Données projet'!$E$11+1,1))</f>
        <v>411.38162678377478</v>
      </c>
      <c r="BJ114" s="59">
        <f t="shared" si="92"/>
        <v>177.89903563360403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8.1775769337953896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8.1775769337953896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67.348114935824029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212.00000000000009</v>
      </c>
      <c r="BZ114" s="13">
        <f>BY114*VLOOKUP('Données projet'!$B$12,Paramètres!$A$1:$I$89,3,0)*VLOOKUP('Données projet'!$B$12,Paramètres!$A$1:$I$89,5,0)</f>
        <v>221.58240000000012</v>
      </c>
      <c r="CA114" s="13">
        <f t="shared" si="93"/>
        <v>54.458668952651578</v>
      </c>
      <c r="CB114" s="20">
        <f t="shared" si="64"/>
        <v>480.77152842586838</v>
      </c>
      <c r="CC114" s="59">
        <f t="shared" si="65"/>
        <v>764.38128319055647</v>
      </c>
      <c r="CD114" s="59">
        <f ca="1">AVERAGE(OFFSET($CC$3,0,0,'Données projet'!$E$12+1,1))-AVERAGE(OFFSET($H$3,0,0,'Données projet'!$E$12+1,1))</f>
        <v>374.38550202939507</v>
      </c>
      <c r="CE114" s="59">
        <f t="shared" si="94"/>
        <v>324.37486924296718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14.370419701463534</v>
      </c>
      <c r="CL114" s="21">
        <f>EXP(-LN(2)/25)*CL113+(1-EXP(-LN(2)/25))/(LN(2)/25)*Calculateur!CG114*Calculateur!CI114*VLOOKUP('Données projet'!$B$12,Paramètres!$A$1:$I$89,3,0)*0.475*44/12</f>
        <v>12.335649112598675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26.70606881406221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67.348114935824029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5.0961538461538449</v>
      </c>
      <c r="CT114" s="12">
        <f>IF('Données projet'!$A$140&gt;35,CT113+CS114-DB113,IF(A114&lt;'Données projet'!$A$140,$CQ$205^A114,IF(A114='Données projet'!$A$140,'Données projet'!$B$140,CT113+CS114-DB113)))</f>
        <v>236.02564102564068</v>
      </c>
      <c r="CU114" s="17">
        <f>CT114*VLOOKUP('Données projet'!$B$13,Paramètres!$A$1:$I$89,3,0)*VLOOKUP('Données projet'!$B$13,Paramètres!$A$1:$I$89,5,0)</f>
        <v>224.60199999999966</v>
      </c>
      <c r="CV114" s="13">
        <f t="shared" si="95"/>
        <v>55.113899350107857</v>
      </c>
      <c r="CW114" s="20">
        <f t="shared" si="67"/>
        <v>487.17185803477059</v>
      </c>
      <c r="CX114" s="59">
        <f t="shared" si="68"/>
        <v>770.78161279945869</v>
      </c>
      <c r="CY114" s="59">
        <f ca="1">AVERAGE(OFFSET($CX$3,0,0,'Données projet'!$E$13+1,1))-AVERAGE(OFFSET($H$3,0,0,'Données projet'!$E$13+1,1))</f>
        <v>392.81074187112989</v>
      </c>
      <c r="CZ114" s="59">
        <f t="shared" si="96"/>
        <v>236.19146849073687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28.654244921489099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28.654244921489099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67.348114935824029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5.0961538461538449</v>
      </c>
      <c r="DO114" s="12">
        <f>IF('Données projet'!$A$166&gt;35,DO113+DN114-DW113,IF(A114&lt;'Données projet'!$A$166,$DL$205^A114,IF(A114='Données projet'!$A$166,'Données projet'!$B$166,DO113+DN114-DW113)))</f>
        <v>236.02564102564068</v>
      </c>
      <c r="DP114" s="17">
        <f>DO114*VLOOKUP('Données projet'!$B$14,Paramètres!$A$1:$I$89,3,0)*VLOOKUP('Données projet'!$B$14,Paramètres!$A$1:$I$89,5,0)</f>
        <v>254.05799999999959</v>
      </c>
      <c r="DQ114" s="13">
        <f t="shared" si="97"/>
        <v>61.454084485067781</v>
      </c>
      <c r="DR114" s="20">
        <f t="shared" si="70"/>
        <v>549.51688047815901</v>
      </c>
      <c r="DS114" s="59">
        <f t="shared" si="71"/>
        <v>833.1266352428471</v>
      </c>
      <c r="DT114" s="59">
        <f ca="1">AVERAGE(OFFSET($DS$3,0,0,'Données projet'!$E$14+1,1))-AVERAGE(OFFSET($H$3,0,0,'Données projet'!$E$14+1,1))</f>
        <v>434.77799524785502</v>
      </c>
      <c r="DU114" s="59">
        <f t="shared" si="98"/>
        <v>259.85949838170006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32.412178681684395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32.412178681684395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67.348114935824029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5.0961538461538449</v>
      </c>
      <c r="EJ114" s="12">
        <f>IF('Données projet'!$A$192&gt;35,EJ113+EI114-ER113,IF(A114&lt;'Données projet'!$A$192,$EG$205^A114,IF(A114='Données projet'!$A$192,'Données projet'!$B$192,EJ113+EI114-ER113)))</f>
        <v>236.02564102564068</v>
      </c>
      <c r="EK114" s="17">
        <f>EJ114*VLOOKUP('Données projet'!$B$15,Paramètres!$A$1:$I$89,3,0)*VLOOKUP('Données projet'!$B$15,Paramètres!$A$1:$I$89,5,0)</f>
        <v>228.28399999999965</v>
      </c>
      <c r="EL114" s="13">
        <f t="shared" si="99"/>
        <v>55.911480648296354</v>
      </c>
      <c r="EM114" s="20">
        <f t="shared" si="73"/>
        <v>494.97379546244878</v>
      </c>
      <c r="EN114" s="59">
        <f t="shared" si="74"/>
        <v>778.58355022713681</v>
      </c>
      <c r="EO114" s="59">
        <f ca="1">AVERAGE(OFFSET($EN$3,0,0,'Données projet'!$E$15+1,1))-AVERAGE(OFFSET($H$3,0,0,'Données projet'!$E$15+1,1))</f>
        <v>398.06270423055565</v>
      </c>
      <c r="EP114" s="59">
        <f t="shared" si="100"/>
        <v>239.15364562040614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29.123986641513525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29.123986641513525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67.348114935824029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-1.7053025658242404E-13</v>
      </c>
      <c r="FF114" s="17">
        <f>FE114*VLOOKUP('Données projet'!$B$16,Paramètres!$A$1:$I$89,3,0)*VLOOKUP('Données projet'!$B$16,Paramètres!$A$1:$I$89,5,0)</f>
        <v>-1.0197709343628959E-13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334.13861979962491</v>
      </c>
      <c r="FK114" s="59">
        <f t="shared" si="102"/>
        <v>416.48635183664305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54.794264358075857</v>
      </c>
      <c r="FR114" s="21">
        <f>EXP(-LN(2)/25)*FR113+(1-EXP(-LN(2)/25))/(LN(2)/25)*Calculateur!FM114*Calculateur!FO114*VLOOKUP('Données projet'!$B$16,Paramètres!$A$1:$I$89,3,0)*0.475*44/12</f>
        <v>9.6197094304241464</v>
      </c>
      <c r="FS114" s="21">
        <f>EXP(-LN(2)/2)*FS113+(1-EXP(-LN(2)/2))/(LN(2)/2)*FM114*FP114*VLOOKUP('Données projet'!$B$16,Paramètres!$A$1:$I$89,3,0)*0.475*44/12</f>
        <v>2.1287514937519797E-7</v>
      </c>
      <c r="FT114" s="22">
        <f t="shared" si="78"/>
        <v>64.413974001375152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67.348114935824029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3.4106051316484809E-13</v>
      </c>
      <c r="GA114" s="17">
        <f>FZ114*VLOOKUP('Données projet'!$B$17,Paramètres!$A$1:$I$89,3,0)*VLOOKUP('Données projet'!$B$17,Paramètres!$A$1:$I$89,5,0)</f>
        <v>1.5961632016114892E-13</v>
      </c>
      <c r="GB114" s="13">
        <f t="shared" si="103"/>
        <v>2.2708641912150958E-12</v>
      </c>
      <c r="GC114" s="20">
        <f t="shared" si="79"/>
        <v>4.2330868906469593E-12</v>
      </c>
      <c r="GD114" s="59">
        <f t="shared" si="80"/>
        <v>283.6097547646923</v>
      </c>
      <c r="GE114" s="59">
        <f ca="1">AVERAGE(OFFSET($GD$3,0,0,'Données projet'!$E$17+1,1))-AVERAGE(OFFSET($H$3,0,0,'Données projet'!$E$17+1,1))</f>
        <v>317.79829681023142</v>
      </c>
      <c r="GF114" s="59">
        <f t="shared" si="104"/>
        <v>275.07716943523621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155.5897188577157</v>
      </c>
      <c r="GM114" s="21">
        <f>EXP(-LN(2)/25)*GM113+(1-EXP(-LN(2)/25))/(LN(2)/25)*Calculateur!GH114*Calculateur!GJ114*VLOOKUP('Données projet'!$B$17,Paramètres!$A$1:$I$89,3,0)*0.475*44/12</f>
        <v>37.19005713750763</v>
      </c>
      <c r="GN114" s="21">
        <f>EXP(-LN(2)/2)*GN113+(1-EXP(-LN(2)/2))/(LN(2)/2)*GH114*GK114*VLOOKUP('Données projet'!$B$17,Paramètres!$A$1:$I$89,3,0)*0.475*44/12</f>
        <v>2.7733301555190666</v>
      </c>
      <c r="GO114" s="21">
        <f t="shared" si="81"/>
        <v>195.55310615074239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67.348114935824029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>
        <f>GU114*VLOOKUP('Données projet'!$B$18,Paramètres!$A$1:$I$89,3,0)*VLOOKUP('Données projet'!$B$18,Paramètres!$A$1:$I$89,5,0)</f>
        <v>0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336.21787234885699</v>
      </c>
      <c r="HA114" s="59">
        <f t="shared" si="106"/>
        <v>315.36156736899113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93.447719049610598</v>
      </c>
      <c r="HH114" s="21">
        <f>EXP(-LN(2)/25)*HH113+(1-EXP(-LN(2)/25))/(LN(2)/25)*Calculateur!HC114*Calculateur!HE114*VLOOKUP('Données projet'!$B$18,Paramètres!$A$1:$I$89,3,0)*0.475*44/12</f>
        <v>17.785047642230246</v>
      </c>
      <c r="HI114" s="21">
        <f>EXP(-LN(2)/2)*HI113+(1-EXP(-LN(2)/2))/(LN(2)/2)*HC114*HF114*VLOOKUP('Données projet'!$B$18,Paramètres!$A$1:$I$89,3,0)*0.475*44/12</f>
        <v>2.6860935291966434E-5</v>
      </c>
      <c r="HJ114" s="22">
        <f t="shared" si="84"/>
        <v>111.23279355277614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3.7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13.566666666666668</v>
      </c>
      <c r="H115" s="67">
        <f t="shared" si="56"/>
        <v>202.4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67.394119212960675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309.41666666666703</v>
      </c>
      <c r="O115" s="13">
        <f>N115*VLOOKUP('Données projet'!$B$9,Paramètres!$A$1:$I$89,3,0)*VLOOKUP('Données projet'!$B$9,Paramètres!$A$1:$I$89,5,0)</f>
        <v>279.96020000000033</v>
      </c>
      <c r="P115" s="13">
        <f t="shared" si="87"/>
        <v>66.958597927408931</v>
      </c>
      <c r="Q115" s="20">
        <f t="shared" si="107"/>
        <v>604.2169063902378</v>
      </c>
      <c r="R115" s="59">
        <f t="shared" si="55"/>
        <v>887.99534350442696</v>
      </c>
      <c r="S115" s="59">
        <f ca="1">AVERAGE(OFFSET($R$3,0,0,'Données projet'!$E$9+1,1))-AVERAGE(OFFSET($H$3,0,0,'Données projet'!$E$9+1,1))</f>
        <v>411.64357329340851</v>
      </c>
      <c r="T115" s="59">
        <f t="shared" si="88"/>
        <v>294.07942258675632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56.697499970549259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56.697499970549259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67.394119212960675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6.8461538461538511</v>
      </c>
      <c r="AI115" s="13">
        <f>IF('Données projet'!$A$62&gt;35,AI114+AH115-AQ114,IF(A115&lt;'Données projet'!$A$62,$AF$205^A115,IF(A115='Données projet'!$A$62,'Données projet'!$B$62,AI114+AH115-AQ114)))</f>
        <v>309.41666666666703</v>
      </c>
      <c r="AJ115" s="13">
        <f>AI115*VLOOKUP('Données projet'!$B$10,Paramètres!$A$1:$I$89,3,0)*VLOOKUP('Données projet'!$B$10,Paramètres!$A$1:$I$89,5,0)</f>
        <v>313.74850000000038</v>
      </c>
      <c r="AK115" s="13">
        <f t="shared" si="89"/>
        <v>74.051117708153953</v>
      </c>
      <c r="AL115" s="20">
        <f t="shared" si="58"/>
        <v>675.41766750836871</v>
      </c>
      <c r="AM115" s="59">
        <f t="shared" si="59"/>
        <v>959.19610462255787</v>
      </c>
      <c r="AN115" s="59">
        <f ca="1">AVERAGE(OFFSET($AM$3,0,0,'Données projet'!$E$10+1,1))-AVERAGE(OFFSET($H$3,0,0,'Données projet'!$E$10+1,1))</f>
        <v>453.05577105995508</v>
      </c>
      <c r="AO115" s="59">
        <f t="shared" si="90"/>
        <v>322.6839824496758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63.540301691132811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63.540301691132811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67.394119212960675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4.7307692307692299</v>
      </c>
      <c r="BD115" s="12">
        <f>IF('Données projet'!$A$88&gt;35,BD114+BC115-BL114,IF(A115&lt;'Données projet'!$A$88,$BA$205^A115,IF(A115='Données projet'!$A$88,'Données projet'!$B$88,BD114+BC115-BL114)))</f>
        <v>203.647435897436</v>
      </c>
      <c r="BE115" s="13">
        <f>BD115*VLOOKUP('Données projet'!$B$11,Paramètres!$A$1:$I$89,3,0)*VLOOKUP('Données projet'!$B$11,Paramètres!$A$1:$I$89,5,0)</f>
        <v>203.32160000000013</v>
      </c>
      <c r="BF115" s="13">
        <f t="shared" si="91"/>
        <v>50.473453598414025</v>
      </c>
      <c r="BG115" s="20">
        <f t="shared" si="61"/>
        <v>442.02638501723794</v>
      </c>
      <c r="BH115" s="59">
        <f t="shared" si="62"/>
        <v>725.80482213142704</v>
      </c>
      <c r="BI115" s="59">
        <f ca="1">AVERAGE(OFFSET($BH$3,0,0,'Données projet'!$E$11+1,1))-AVERAGE(OFFSET($H$3,0,0,'Données projet'!$E$11+1,1))</f>
        <v>411.38162678377478</v>
      </c>
      <c r="BJ115" s="59">
        <f t="shared" si="92"/>
        <v>177.89903563360403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8.0172196379530849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8.0172196379530849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67.394119212960675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212.00000000000009</v>
      </c>
      <c r="BZ115" s="13">
        <f>BY115*VLOOKUP('Données projet'!$B$12,Paramètres!$A$1:$I$89,3,0)*VLOOKUP('Données projet'!$B$12,Paramètres!$A$1:$I$89,5,0)</f>
        <v>221.58240000000012</v>
      </c>
      <c r="CA115" s="13">
        <f t="shared" si="93"/>
        <v>54.458668952651578</v>
      </c>
      <c r="CB115" s="20">
        <f t="shared" si="64"/>
        <v>480.77152842586838</v>
      </c>
      <c r="CC115" s="59">
        <f t="shared" si="65"/>
        <v>764.54996554005743</v>
      </c>
      <c r="CD115" s="59">
        <f ca="1">AVERAGE(OFFSET($CC$3,0,0,'Données projet'!$E$12+1,1))-AVERAGE(OFFSET($H$3,0,0,'Données projet'!$E$12+1,1))</f>
        <v>374.38550202939507</v>
      </c>
      <c r="CE115" s="59">
        <f t="shared" si="94"/>
        <v>324.37486924296718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14.088624536208371</v>
      </c>
      <c r="CL115" s="21">
        <f>EXP(-LN(2)/25)*CL114+(1-EXP(-LN(2)/25))/(LN(2)/25)*Calculateur!CG115*Calculateur!CI115*VLOOKUP('Données projet'!$B$12,Paramètres!$A$1:$I$89,3,0)*0.475*44/12</f>
        <v>11.998330138911072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26.086954675119443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67.394119212960675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5.0961538461538449</v>
      </c>
      <c r="CT115" s="12">
        <f>IF('Données projet'!$A$140&gt;35,CT114+CS115-DB114,IF(A115&lt;'Données projet'!$A$140,$CQ$205^A115,IF(A115='Données projet'!$A$140,'Données projet'!$B$140,CT114+CS115-DB114)))</f>
        <v>241.12179487179452</v>
      </c>
      <c r="CU115" s="17">
        <f>CT115*VLOOKUP('Données projet'!$B$13,Paramètres!$A$1:$I$89,3,0)*VLOOKUP('Données projet'!$B$13,Paramètres!$A$1:$I$89,5,0)</f>
        <v>229.4514999999997</v>
      </c>
      <c r="CV115" s="13">
        <f t="shared" si="95"/>
        <v>56.164066531777237</v>
      </c>
      <c r="CW115" s="20">
        <f t="shared" si="67"/>
        <v>497.44711170951149</v>
      </c>
      <c r="CX115" s="59">
        <f t="shared" si="68"/>
        <v>781.22554882370059</v>
      </c>
      <c r="CY115" s="59">
        <f ca="1">AVERAGE(OFFSET($CX$3,0,0,'Données projet'!$E$13+1,1))-AVERAGE(OFFSET($H$3,0,0,'Données projet'!$E$13+1,1))</f>
        <v>392.81074187112989</v>
      </c>
      <c r="CZ115" s="59">
        <f t="shared" si="96"/>
        <v>236.19146849073687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28.092352655942353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28.092352655942353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67.394119212960675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5.0961538461538449</v>
      </c>
      <c r="DO115" s="12">
        <f>IF('Données projet'!$A$166&gt;35,DO114+DN115-DW114,IF(A115&lt;'Données projet'!$A$166,$DL$205^A115,IF(A115='Données projet'!$A$166,'Données projet'!$B$166,DO114+DN115-DW114)))</f>
        <v>241.12179487179452</v>
      </c>
      <c r="DP115" s="17">
        <f>DO115*VLOOKUP('Données projet'!$B$14,Paramètres!$A$1:$I$89,3,0)*VLOOKUP('Données projet'!$B$14,Paramètres!$A$1:$I$89,5,0)</f>
        <v>259.54349999999965</v>
      </c>
      <c r="DQ115" s="13">
        <f t="shared" si="97"/>
        <v>62.625060653815844</v>
      </c>
      <c r="DR115" s="20">
        <f t="shared" si="70"/>
        <v>561.11024313872872</v>
      </c>
      <c r="DS115" s="59">
        <f t="shared" si="71"/>
        <v>844.88868025291777</v>
      </c>
      <c r="DT115" s="59">
        <f ca="1">AVERAGE(OFFSET($DS$3,0,0,'Données projet'!$E$14+1,1))-AVERAGE(OFFSET($H$3,0,0,'Données projet'!$E$14+1,1))</f>
        <v>434.77799524785502</v>
      </c>
      <c r="DU115" s="59">
        <f t="shared" si="98"/>
        <v>259.85949838170006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31.776595627213485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31.776595627213485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67.394119212960675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5.0961538461538449</v>
      </c>
      <c r="EJ115" s="12">
        <f>IF('Données projet'!$A$192&gt;35,EJ114+EI115-ER114,IF(A115&lt;'Données projet'!$A$192,$EG$205^A115,IF(A115='Données projet'!$A$192,'Données projet'!$B$192,EJ114+EI115-ER114)))</f>
        <v>241.12179487179452</v>
      </c>
      <c r="EK115" s="17">
        <f>EJ115*VLOOKUP('Données projet'!$B$15,Paramètres!$A$1:$I$89,3,0)*VLOOKUP('Données projet'!$B$15,Paramètres!$A$1:$I$89,5,0)</f>
        <v>233.21299999999965</v>
      </c>
      <c r="EL115" s="13">
        <f t="shared" si="99"/>
        <v>56.976845333933838</v>
      </c>
      <c r="EM115" s="20">
        <f t="shared" si="73"/>
        <v>505.41398062326749</v>
      </c>
      <c r="EN115" s="59">
        <f t="shared" si="74"/>
        <v>789.19241773745659</v>
      </c>
      <c r="EO115" s="59">
        <f ca="1">AVERAGE(OFFSET($EN$3,0,0,'Données projet'!$E$15+1,1))-AVERAGE(OFFSET($H$3,0,0,'Données projet'!$E$15+1,1))</f>
        <v>398.06270423055565</v>
      </c>
      <c r="EP115" s="59">
        <f t="shared" si="100"/>
        <v>239.15364562040614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28.55288302735126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28.55288302735126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67.394119212960675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-1.7053025658242404E-13</v>
      </c>
      <c r="FF115" s="17">
        <f>FE115*VLOOKUP('Données projet'!$B$16,Paramètres!$A$1:$I$89,3,0)*VLOOKUP('Données projet'!$B$16,Paramètres!$A$1:$I$89,5,0)</f>
        <v>-1.0197709343628959E-13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334.13861979962491</v>
      </c>
      <c r="FK115" s="59">
        <f t="shared" si="102"/>
        <v>416.48635183664305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53.719782255215179</v>
      </c>
      <c r="FR115" s="21">
        <f>EXP(-LN(2)/25)*FR114+(1-EXP(-LN(2)/25))/(LN(2)/25)*Calculateur!FM115*Calculateur!FO115*VLOOKUP('Données projet'!$B$16,Paramètres!$A$1:$I$89,3,0)*0.475*44/12</f>
        <v>9.3566579701706658</v>
      </c>
      <c r="FS115" s="21">
        <f>EXP(-LN(2)/2)*FS114+(1-EXP(-LN(2)/2))/(LN(2)/2)*FM115*FP115*VLOOKUP('Données projet'!$B$16,Paramètres!$A$1:$I$89,3,0)*0.475*44/12</f>
        <v>1.5052546166930173E-7</v>
      </c>
      <c r="FT115" s="22">
        <f t="shared" si="78"/>
        <v>63.076440375911304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67.394119212960675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3.4106051316484809E-13</v>
      </c>
      <c r="GA115" s="17">
        <f>FZ115*VLOOKUP('Données projet'!$B$17,Paramètres!$A$1:$I$89,3,0)*VLOOKUP('Données projet'!$B$17,Paramètres!$A$1:$I$89,5,0)</f>
        <v>1.5961632016114892E-13</v>
      </c>
      <c r="GB115" s="13">
        <f t="shared" si="103"/>
        <v>2.2708641912150958E-12</v>
      </c>
      <c r="GC115" s="20">
        <f t="shared" si="79"/>
        <v>4.2330868906469593E-12</v>
      </c>
      <c r="GD115" s="59">
        <f t="shared" si="80"/>
        <v>283.77843711419331</v>
      </c>
      <c r="GE115" s="59">
        <f ca="1">AVERAGE(OFFSET($GD$3,0,0,'Données projet'!$E$17+1,1))-AVERAGE(OFFSET($H$3,0,0,'Données projet'!$E$17+1,1))</f>
        <v>317.79829681023142</v>
      </c>
      <c r="GF115" s="59">
        <f t="shared" si="104"/>
        <v>275.07716943523621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152.53869937127376</v>
      </c>
      <c r="GM115" s="21">
        <f>EXP(-LN(2)/25)*GM114+(1-EXP(-LN(2)/25))/(LN(2)/25)*Calculateur!GH115*Calculateur!GJ115*VLOOKUP('Données projet'!$B$17,Paramètres!$A$1:$I$89,3,0)*0.475*44/12</f>
        <v>36.173093069342379</v>
      </c>
      <c r="GN115" s="21">
        <f>EXP(-LN(2)/2)*GN114+(1-EXP(-LN(2)/2))/(LN(2)/2)*GH115*GK115*VLOOKUP('Données projet'!$B$17,Paramètres!$A$1:$I$89,3,0)*0.475*44/12</f>
        <v>1.9610405594366747</v>
      </c>
      <c r="GO115" s="21">
        <f t="shared" si="81"/>
        <v>190.6728330000528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67.394119212960675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>
        <f>GU115*VLOOKUP('Données projet'!$B$18,Paramètres!$A$1:$I$89,3,0)*VLOOKUP('Données projet'!$B$18,Paramètres!$A$1:$I$89,5,0)</f>
        <v>0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336.21787234885699</v>
      </c>
      <c r="HA115" s="59">
        <f t="shared" si="106"/>
        <v>315.36156736899113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91.615266276528317</v>
      </c>
      <c r="HH115" s="21">
        <f>EXP(-LN(2)/25)*HH114+(1-EXP(-LN(2)/25))/(LN(2)/25)*Calculateur!HC115*Calculateur!HE115*VLOOKUP('Données projet'!$B$18,Paramètres!$A$1:$I$89,3,0)*0.475*44/12</f>
        <v>17.298714579178451</v>
      </c>
      <c r="HI115" s="21">
        <f>EXP(-LN(2)/2)*HI114+(1-EXP(-LN(2)/2))/(LN(2)/2)*HC115*HF115*VLOOKUP('Données projet'!$B$18,Paramètres!$A$1:$I$89,3,0)*0.475*44/12</f>
        <v>1.8993549493962521E-5</v>
      </c>
      <c r="HJ115" s="22">
        <f t="shared" si="84"/>
        <v>108.91399984925626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3.7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13.566666666666668</v>
      </c>
      <c r="H116" s="67">
        <f t="shared" si="56"/>
        <v>202.4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67.439325418739145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316.26282051282089</v>
      </c>
      <c r="O116" s="13">
        <f>N116*VLOOKUP('Données projet'!$B$9,Paramètres!$A$1:$I$89,3,0)*VLOOKUP('Données projet'!$B$9,Paramètres!$A$1:$I$89,5,0)</f>
        <v>286.15460000000036</v>
      </c>
      <c r="P116" s="13">
        <f t="shared" si="87"/>
        <v>68.266002354364261</v>
      </c>
      <c r="Q116" s="20">
        <f t="shared" si="107"/>
        <v>617.28254910051839</v>
      </c>
      <c r="R116" s="59">
        <f t="shared" si="55"/>
        <v>901.22674230256189</v>
      </c>
      <c r="S116" s="59">
        <f ca="1">AVERAGE(OFFSET($R$3,0,0,'Données projet'!$E$9+1,1))-AVERAGE(OFFSET($H$3,0,0,'Données projet'!$E$9+1,1))</f>
        <v>411.64357329340851</v>
      </c>
      <c r="T116" s="59">
        <f t="shared" si="88"/>
        <v>294.07942258675632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55.585696578187076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55.585696578187076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67.439325418739145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6.8461538461538511</v>
      </c>
      <c r="AI116" s="13">
        <f>IF('Données projet'!$A$62&gt;35,AI115+AH116-AQ115,IF(A116&lt;'Données projet'!$A$62,$AF$205^A116,IF(A116='Données projet'!$A$62,'Données projet'!$B$62,AI115+AH116-AQ115)))</f>
        <v>316.26282051282089</v>
      </c>
      <c r="AJ116" s="13">
        <f>AI116*VLOOKUP('Données projet'!$B$10,Paramètres!$A$1:$I$89,3,0)*VLOOKUP('Données projet'!$B$10,Paramètres!$A$1:$I$89,5,0)</f>
        <v>320.69050000000038</v>
      </c>
      <c r="AK116" s="13">
        <f t="shared" si="89"/>
        <v>75.497007588010661</v>
      </c>
      <c r="AL116" s="20">
        <f t="shared" si="58"/>
        <v>690.02657571578584</v>
      </c>
      <c r="AM116" s="59">
        <f t="shared" si="59"/>
        <v>973.97076891782945</v>
      </c>
      <c r="AN116" s="59">
        <f ca="1">AVERAGE(OFFSET($AM$3,0,0,'Données projet'!$E$10+1,1))-AVERAGE(OFFSET($H$3,0,0,'Données projet'!$E$10+1,1))</f>
        <v>453.05577105995508</v>
      </c>
      <c r="AO116" s="59">
        <f t="shared" si="90"/>
        <v>322.6839824496758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62.294315130726915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62.294315130726915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67.439325418739145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208.37820512820511</v>
      </c>
      <c r="BB116" s="12">
        <f>VLOOKUP(A116,'Données projet'!$A$87:$I$107,9,0)</f>
        <v>4.7307692307692299</v>
      </c>
      <c r="BC116" s="12">
        <f t="array" ref="BC116">INDEX(BB:BB,MIN(IF(ISNUMBER(BB116:BB312),ROW(BB116:BB312),"")))</f>
        <v>4.7307692307692299</v>
      </c>
      <c r="BD116" s="12">
        <f>IF('Données projet'!$A$88&gt;35,BD115+BC116-BL115,IF(A116&lt;'Données projet'!$A$88,$BA$205^A116,IF(A116='Données projet'!$A$88,'Données projet'!$B$88,BD115+BC116-BL115)))</f>
        <v>208.37820512820522</v>
      </c>
      <c r="BE116" s="13">
        <f>BD116*VLOOKUP('Données projet'!$B$11,Paramètres!$A$1:$I$89,3,0)*VLOOKUP('Données projet'!$B$11,Paramètres!$A$1:$I$89,5,0)</f>
        <v>208.04480000000009</v>
      </c>
      <c r="BF116" s="13">
        <f t="shared" si="91"/>
        <v>51.508092980590042</v>
      </c>
      <c r="BG116" s="20">
        <f t="shared" si="61"/>
        <v>452.05462194119445</v>
      </c>
      <c r="BH116" s="59">
        <f t="shared" si="62"/>
        <v>735.99881514323806</v>
      </c>
      <c r="BI116" s="59">
        <f ca="1">AVERAGE(OFFSET($BH$3,0,0,'Données projet'!$E$11+1,1))-AVERAGE(OFFSET($H$3,0,0,'Données projet'!$E$11+1,1))</f>
        <v>411.38162678377478</v>
      </c>
      <c r="BJ116" s="59">
        <f t="shared" si="92"/>
        <v>177.89903563360403</v>
      </c>
      <c r="BK116" s="15">
        <f>IF(ISNA(VLOOKUP(A116,'Données projet'!$A$87:$I$107,3,0)),0,VLOOKUP(A116,'Données projet'!$A$87:$I$107,3,0))</f>
        <v>7</v>
      </c>
      <c r="BL116" s="15">
        <f>IF(ISNA(VLOOKUP(A116,'Données projet'!$A$87:$I$107,4,0)),0,VLOOKUP(A116,'Données projet'!$A$87:$I$107,4,0))</f>
        <v>29.602564102564102</v>
      </c>
      <c r="BM116" s="16">
        <f>IF(ISNA(VLOOKUP(A116,'Données projet'!$A$87:$I$107,5,0)),0%,VLOOKUP(A116,'Données projet'!$A$87:$I$107,5,0)*VLOOKUP('Données projet'!$B$11,Paramètres!$A$1:$I$89,7,0))</f>
        <v>0.30099999999999999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17.694398697386802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17.694398697386802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67.439325418739145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212.00000000000009</v>
      </c>
      <c r="BZ116" s="13">
        <f>BY116*VLOOKUP('Données projet'!$B$12,Paramètres!$A$1:$I$89,3,0)*VLOOKUP('Données projet'!$B$12,Paramètres!$A$1:$I$89,5,0)</f>
        <v>221.58240000000012</v>
      </c>
      <c r="CA116" s="13">
        <f t="shared" si="93"/>
        <v>54.458668952651578</v>
      </c>
      <c r="CB116" s="20">
        <f t="shared" si="64"/>
        <v>480.77152842586838</v>
      </c>
      <c r="CC116" s="59">
        <f t="shared" si="65"/>
        <v>764.71572162791199</v>
      </c>
      <c r="CD116" s="59">
        <f ca="1">AVERAGE(OFFSET($CC$3,0,0,'Données projet'!$E$12+1,1))-AVERAGE(OFFSET($H$3,0,0,'Données projet'!$E$12+1,1))</f>
        <v>374.38550202939507</v>
      </c>
      <c r="CE116" s="59">
        <f t="shared" si="94"/>
        <v>324.37486924296718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13.812355202265783</v>
      </c>
      <c r="CL116" s="21">
        <f>EXP(-LN(2)/25)*CL115+(1-EXP(-LN(2)/25))/(LN(2)/25)*Calculateur!CG116*Calculateur!CI116*VLOOKUP('Données projet'!$B$12,Paramètres!$A$1:$I$89,3,0)*0.475*44/12</f>
        <v>11.67023517029779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25.482590372563571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67.439325418739145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246.21794871794873</v>
      </c>
      <c r="CR116" s="12">
        <f>VLOOKUP(A116,'Données projet'!$A$139:$I$159,9,0)</f>
        <v>5.0961538461538449</v>
      </c>
      <c r="CS116" s="12">
        <f t="array" ref="CS116">INDEX(CR:CR,MIN(IF(ISNUMBER(CR116:CR312),ROW(CR116:CR312),"")))</f>
        <v>5.0961538461538449</v>
      </c>
      <c r="CT116" s="12">
        <f>IF('Données projet'!$A$140&gt;35,CT115+CS116-DB115,IF(A116&lt;'Données projet'!$A$140,$CQ$205^A116,IF(A116='Données projet'!$A$140,'Données projet'!$B$140,CT115+CS116-DB115)))</f>
        <v>246.21794871794836</v>
      </c>
      <c r="CU116" s="17">
        <f>CT116*VLOOKUP('Données projet'!$B$13,Paramètres!$A$1:$I$89,3,0)*VLOOKUP('Données projet'!$B$13,Paramètres!$A$1:$I$89,5,0)</f>
        <v>234.30099999999968</v>
      </c>
      <c r="CV116" s="13">
        <f t="shared" si="95"/>
        <v>57.211653132059183</v>
      </c>
      <c r="CW116" s="20">
        <f t="shared" si="67"/>
        <v>507.71787087166916</v>
      </c>
      <c r="CX116" s="59">
        <f t="shared" si="68"/>
        <v>791.66206407371271</v>
      </c>
      <c r="CY116" s="59">
        <f ca="1">AVERAGE(OFFSET($CX$3,0,0,'Données projet'!$E$13+1,1))-AVERAGE(OFFSET($H$3,0,0,'Données projet'!$E$13+1,1))</f>
        <v>392.81074187112989</v>
      </c>
      <c r="CZ116" s="59">
        <f t="shared" si="96"/>
        <v>236.19146849073687</v>
      </c>
      <c r="DA116" s="15">
        <f>IF(ISNA(VLOOKUP(A116,'Données projet'!$A$139:$I$159,3,0)),0,VLOOKUP(A116,'Données projet'!$A$139:$I$159,3,0))</f>
        <v>9</v>
      </c>
      <c r="DB116" s="15">
        <f>IF(ISNA(VLOOKUP(A116,'Données projet'!$A$139:$I$159,4,0)),0,VLOOKUP(A116,'Données projet'!$A$139:$I$159,4,0))</f>
        <v>31.602564102564099</v>
      </c>
      <c r="DC116" s="16">
        <f>IF(ISNA(VLOOKUP(A116,'Données projet'!$A$139:$I$159,5,0)),0%,VLOOKUP(A116,'Données projet'!$A$139:$I$159,5,0)*VLOOKUP('Données projet'!$B$13,Paramètres!$A$1:$I$89,7,0))</f>
        <v>0.30099999999999999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37.548166782834556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37.548166782834556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67.439325418739145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246.21794871794873</v>
      </c>
      <c r="DM116" s="12">
        <f>VLOOKUP(A116,'Données projet'!$A$165:$I$185,9,0)</f>
        <v>5.0961538461538449</v>
      </c>
      <c r="DN116" s="12">
        <f t="array" ref="DN116">INDEX(DM:DM,MIN(IF(ISNUMBER(DM116:DM312),ROW(DM116:DM312),"")))</f>
        <v>5.0961538461538449</v>
      </c>
      <c r="DO116" s="12">
        <f>IF('Données projet'!$A$166&gt;35,DO115+DN116-DW115,IF(A116&lt;'Données projet'!$A$166,$DL$205^A116,IF(A116='Données projet'!$A$166,'Données projet'!$B$166,DO115+DN116-DW115)))</f>
        <v>246.21794871794836</v>
      </c>
      <c r="DP116" s="17">
        <f>DO116*VLOOKUP('Données projet'!$B$14,Paramètres!$A$1:$I$89,3,0)*VLOOKUP('Données projet'!$B$14,Paramètres!$A$1:$I$89,5,0)</f>
        <v>265.0289999999996</v>
      </c>
      <c r="DQ116" s="13">
        <f t="shared" si="97"/>
        <v>63.793159376611477</v>
      </c>
      <c r="DR116" s="20">
        <f t="shared" si="70"/>
        <v>572.6985942475975</v>
      </c>
      <c r="DS116" s="59">
        <f t="shared" si="71"/>
        <v>856.64278744964099</v>
      </c>
      <c r="DT116" s="59">
        <f ca="1">AVERAGE(OFFSET($DS$3,0,0,'Données projet'!$E$14+1,1))-AVERAGE(OFFSET($H$3,0,0,'Données projet'!$E$14+1,1))</f>
        <v>434.77799524785502</v>
      </c>
      <c r="DU116" s="59">
        <f t="shared" si="98"/>
        <v>259.85949838170006</v>
      </c>
      <c r="DV116" s="15">
        <f>IF(ISNA(VLOOKUP(A116,'Données projet'!$A$165:$I$185,3,0)),0,VLOOKUP(A116,'Données projet'!$A$165:$I$185,3,0))</f>
        <v>9</v>
      </c>
      <c r="DW116" s="15">
        <f>IF(ISNA(VLOOKUP(A116,'Données projet'!$A$165:$I$185,4,0)),0,VLOOKUP(A116,'Données projet'!$A$165:$I$185,4,0))</f>
        <v>31.602564102564099</v>
      </c>
      <c r="DX116" s="16">
        <f>IF(ISNA(VLOOKUP(A116,'Données projet'!$A$165:$I$185,5,0)),0%,VLOOKUP(A116,'Données projet'!$A$165:$I$185,5,0)*VLOOKUP('Données projet'!$B$14,Paramètres!$A$1:$I$89,7,0))</f>
        <v>0.30099999999999999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42.472516524845645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42.472516524845645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67.439325418739145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246.21794871794873</v>
      </c>
      <c r="EH116" s="12">
        <f>VLOOKUP(A116,'Données projet'!$A$191:$I$211,9,0)</f>
        <v>5.0961538461538449</v>
      </c>
      <c r="EI116" s="12">
        <f t="array" ref="EI116">INDEX(EH:EH,MIN(IF(ISNUMBER(EH116:EH312),ROW(EH116:EH312),"")))</f>
        <v>5.0961538461538449</v>
      </c>
      <c r="EJ116" s="12">
        <f>IF('Données projet'!$A$192&gt;35,EJ115+EI116-ER115,IF(A116&lt;'Données projet'!$A$192,$EG$205^A116,IF(A116='Données projet'!$A$192,'Données projet'!$B$192,EJ115+EI116-ER115)))</f>
        <v>246.21794871794836</v>
      </c>
      <c r="EK116" s="17">
        <f>EJ116*VLOOKUP('Données projet'!$B$15,Paramètres!$A$1:$I$89,3,0)*VLOOKUP('Données projet'!$B$15,Paramètres!$A$1:$I$89,5,0)</f>
        <v>238.14199999999968</v>
      </c>
      <c r="EL116" s="13">
        <f t="shared" si="99"/>
        <v>58.039592093276745</v>
      </c>
      <c r="EM116" s="20">
        <f t="shared" si="73"/>
        <v>515.84960622912308</v>
      </c>
      <c r="EN116" s="59">
        <f t="shared" si="74"/>
        <v>799.79379943116669</v>
      </c>
      <c r="EO116" s="59">
        <f ca="1">AVERAGE(OFFSET($EN$3,0,0,'Données projet'!$E$15+1,1))-AVERAGE(OFFSET($H$3,0,0,'Données projet'!$E$15+1,1))</f>
        <v>398.06270423055565</v>
      </c>
      <c r="EP116" s="59">
        <f t="shared" si="100"/>
        <v>239.15364562040614</v>
      </c>
      <c r="EQ116" s="15">
        <f>IF(ISNA(VLOOKUP(A116,'Données projet'!$A$191:$I$211,3,0)),0,VLOOKUP(A116,'Données projet'!$A$191:$I$211,3,0))</f>
        <v>9</v>
      </c>
      <c r="ER116" s="15">
        <f>IF(ISNA(VLOOKUP(A116,'Données projet'!$A$191:$I$211,4,0)),0,VLOOKUP(A116,'Données projet'!$A$191:$I$211,4,0))</f>
        <v>31.602564102564099</v>
      </c>
      <c r="ES116" s="16">
        <f>IF(ISNA(VLOOKUP(A116,'Données projet'!$A$191:$I$211,5,0)),0%,VLOOKUP(A116,'Données projet'!$A$191:$I$211,5,0)*VLOOKUP('Données projet'!$B$15,Paramètres!$A$1:$I$89,7,0))</f>
        <v>0.30099999999999999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38.163710500585957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38.163710500585957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67.439325418739145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-1.7053025658242404E-13</v>
      </c>
      <c r="FF116" s="17">
        <f>FE116*VLOOKUP('Données projet'!$B$16,Paramètres!$A$1:$I$89,3,0)*VLOOKUP('Données projet'!$B$16,Paramètres!$A$1:$I$89,5,0)</f>
        <v>-1.0197709343628959E-13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334.13861979962491</v>
      </c>
      <c r="FK116" s="59">
        <f t="shared" si="102"/>
        <v>416.48635183664305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52.66637009102223</v>
      </c>
      <c r="FR116" s="21">
        <f>EXP(-LN(2)/25)*FR115+(1-EXP(-LN(2)/25))/(LN(2)/25)*Calculateur!FM116*Calculateur!FO116*VLOOKUP('Données projet'!$B$16,Paramètres!$A$1:$I$89,3,0)*0.475*44/12</f>
        <v>9.1007996659310919</v>
      </c>
      <c r="FS116" s="21">
        <f>EXP(-LN(2)/2)*FS115+(1-EXP(-LN(2)/2))/(LN(2)/2)*FM116*FP116*VLOOKUP('Données projet'!$B$16,Paramètres!$A$1:$I$89,3,0)*0.475*44/12</f>
        <v>1.0643757468759899E-7</v>
      </c>
      <c r="FT116" s="22">
        <f t="shared" si="78"/>
        <v>61.767169863390897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67.439325418739145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3.4106051316484809E-13</v>
      </c>
      <c r="GA116" s="17">
        <f>FZ116*VLOOKUP('Données projet'!$B$17,Paramètres!$A$1:$I$89,3,0)*VLOOKUP('Données projet'!$B$17,Paramètres!$A$1:$I$89,5,0)</f>
        <v>1.5961632016114892E-13</v>
      </c>
      <c r="GB116" s="13">
        <f t="shared" si="103"/>
        <v>2.2708641912150958E-12</v>
      </c>
      <c r="GC116" s="20">
        <f t="shared" si="79"/>
        <v>4.2330868906469593E-12</v>
      </c>
      <c r="GD116" s="59">
        <f t="shared" si="80"/>
        <v>283.94419320204776</v>
      </c>
      <c r="GE116" s="59">
        <f ca="1">AVERAGE(OFFSET($GD$3,0,0,'Données projet'!$E$17+1,1))-AVERAGE(OFFSET($H$3,0,0,'Données projet'!$E$17+1,1))</f>
        <v>317.79829681023142</v>
      </c>
      <c r="GF116" s="59">
        <f t="shared" si="104"/>
        <v>275.07716943523621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149.54750851602282</v>
      </c>
      <c r="GM116" s="21">
        <f>EXP(-LN(2)/25)*GM115+(1-EXP(-LN(2)/25))/(LN(2)/25)*Calculateur!GH116*Calculateur!GJ116*VLOOKUP('Données projet'!$B$17,Paramètres!$A$1:$I$89,3,0)*0.475*44/12</f>
        <v>35.183937937100922</v>
      </c>
      <c r="GN116" s="21">
        <f>EXP(-LN(2)/2)*GN115+(1-EXP(-LN(2)/2))/(LN(2)/2)*GH116*GK116*VLOOKUP('Données projet'!$B$17,Paramètres!$A$1:$I$89,3,0)*0.475*44/12</f>
        <v>1.3866650777595335</v>
      </c>
      <c r="GO116" s="21">
        <f t="shared" si="81"/>
        <v>186.11811153088328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67.439325418739145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>
        <f>GU116*VLOOKUP('Données projet'!$B$18,Paramètres!$A$1:$I$89,3,0)*VLOOKUP('Données projet'!$B$18,Paramètres!$A$1:$I$89,5,0)</f>
        <v>0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336.21787234885699</v>
      </c>
      <c r="HA116" s="59">
        <f t="shared" si="106"/>
        <v>315.36156736899113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89.818746784640354</v>
      </c>
      <c r="HH116" s="21">
        <f>EXP(-LN(2)/25)*HH115+(1-EXP(-LN(2)/25))/(LN(2)/25)*Calculateur!HC116*Calculateur!HE116*VLOOKUP('Données projet'!$B$18,Paramètres!$A$1:$I$89,3,0)*0.475*44/12</f>
        <v>16.825680319310955</v>
      </c>
      <c r="HI116" s="21">
        <f>EXP(-LN(2)/2)*HI115+(1-EXP(-LN(2)/2))/(LN(2)/2)*HC116*HF116*VLOOKUP('Données projet'!$B$18,Paramètres!$A$1:$I$89,3,0)*0.475*44/12</f>
        <v>1.3430467645983217E-5</v>
      </c>
      <c r="HJ116" s="22">
        <f t="shared" si="84"/>
        <v>106.64444053441895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3.7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13.566666666666668</v>
      </c>
      <c r="H117" s="67">
        <f t="shared" si="56"/>
        <v>202.4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67.483747397913291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323.10897435897476</v>
      </c>
      <c r="O117" s="13">
        <f>N117*VLOOKUP('Données projet'!$B$9,Paramètres!$A$1:$I$89,3,0)*VLOOKUP('Données projet'!$B$9,Paramètres!$A$1:$I$89,5,0)</f>
        <v>292.34900000000033</v>
      </c>
      <c r="P117" s="13">
        <f t="shared" si="87"/>
        <v>69.570116369442999</v>
      </c>
      <c r="Q117" s="20">
        <f t="shared" si="107"/>
        <v>630.34246101011377</v>
      </c>
      <c r="R117" s="59">
        <f t="shared" si="55"/>
        <v>914.44953480246249</v>
      </c>
      <c r="S117" s="59">
        <f ca="1">AVERAGE(OFFSET($R$3,0,0,'Données projet'!$E$9+1,1))-AVERAGE(OFFSET($H$3,0,0,'Données projet'!$E$9+1,1))</f>
        <v>411.64357329340851</v>
      </c>
      <c r="T117" s="59">
        <f t="shared" si="88"/>
        <v>294.07942258675632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54.495694972216008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54.495694972216008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67.483747397913291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6.8461538461538511</v>
      </c>
      <c r="AI117" s="13">
        <f>IF('Données projet'!$A$62&gt;35,AI116+AH117-AQ116,IF(A117&lt;'Données projet'!$A$62,$AF$205^A117,IF(A117='Données projet'!$A$62,'Données projet'!$B$62,AI116+AH117-AQ116)))</f>
        <v>323.10897435897476</v>
      </c>
      <c r="AJ117" s="13">
        <f>AI117*VLOOKUP('Données projet'!$B$10,Paramètres!$A$1:$I$89,3,0)*VLOOKUP('Données projet'!$B$10,Paramètres!$A$1:$I$89,5,0)</f>
        <v>327.63250000000045</v>
      </c>
      <c r="AK117" s="13">
        <f t="shared" si="89"/>
        <v>76.939258522537983</v>
      </c>
      <c r="AL117" s="20">
        <f t="shared" si="58"/>
        <v>704.62914609342113</v>
      </c>
      <c r="AM117" s="59">
        <f t="shared" si="59"/>
        <v>988.73621988576986</v>
      </c>
      <c r="AN117" s="59">
        <f ca="1">AVERAGE(OFFSET($AM$3,0,0,'Données projet'!$E$10+1,1))-AVERAGE(OFFSET($H$3,0,0,'Données projet'!$E$10+1,1))</f>
        <v>453.05577105995508</v>
      </c>
      <c r="AO117" s="59">
        <f t="shared" si="90"/>
        <v>322.6839824496758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61.072761606793819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61.072761606793819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67.483747397913291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4.7948717948717956</v>
      </c>
      <c r="BD117" s="12">
        <f>IF('Données projet'!$A$88&gt;35,BD116+BC117-BL116,IF(A117&lt;'Données projet'!$A$88,$BA$205^A117,IF(A117='Données projet'!$A$88,'Données projet'!$B$88,BD116+BC117-BL116)))</f>
        <v>183.57051282051293</v>
      </c>
      <c r="BE117" s="13">
        <f>BD117*VLOOKUP('Données projet'!$B$11,Paramètres!$A$1:$I$89,3,0)*VLOOKUP('Données projet'!$B$11,Paramètres!$A$1:$I$89,5,0)</f>
        <v>183.27680000000012</v>
      </c>
      <c r="BF117" s="13">
        <f t="shared" si="91"/>
        <v>46.050446574104626</v>
      </c>
      <c r="BG117" s="20">
        <f t="shared" si="61"/>
        <v>399.41162111656575</v>
      </c>
      <c r="BH117" s="59">
        <f t="shared" si="62"/>
        <v>683.51869490891454</v>
      </c>
      <c r="BI117" s="59">
        <f ca="1">AVERAGE(OFFSET($BH$3,0,0,'Données projet'!$E$11+1,1))-AVERAGE(OFFSET($H$3,0,0,'Données projet'!$E$11+1,1))</f>
        <v>411.38162678377478</v>
      </c>
      <c r="BJ117" s="59">
        <f t="shared" si="92"/>
        <v>177.89903563360403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17.34742233144858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17.34742233144858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67.483747397913291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212.00000000000009</v>
      </c>
      <c r="BZ117" s="13">
        <f>BY117*VLOOKUP('Données projet'!$B$12,Paramètres!$A$1:$I$89,3,0)*VLOOKUP('Données projet'!$B$12,Paramètres!$A$1:$I$89,5,0)</f>
        <v>221.58240000000012</v>
      </c>
      <c r="CA117" s="13">
        <f t="shared" si="93"/>
        <v>54.458668952651578</v>
      </c>
      <c r="CB117" s="20">
        <f t="shared" si="64"/>
        <v>480.77152842586838</v>
      </c>
      <c r="CC117" s="59">
        <f t="shared" si="65"/>
        <v>764.87860221821711</v>
      </c>
      <c r="CD117" s="59">
        <f ca="1">AVERAGE(OFFSET($CC$3,0,0,'Données projet'!$E$12+1,1))-AVERAGE(OFFSET($H$3,0,0,'Données projet'!$E$12+1,1))</f>
        <v>374.38550202939507</v>
      </c>
      <c r="CE117" s="59">
        <f t="shared" si="94"/>
        <v>324.37486924296718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13.541503341454154</v>
      </c>
      <c r="CL117" s="21">
        <f>EXP(-LN(2)/25)*CL116+(1-EXP(-LN(2)/25))/(LN(2)/25)*Calculateur!CG117*Calculateur!CI117*VLOOKUP('Données projet'!$B$12,Paramètres!$A$1:$I$89,3,0)*0.475*44/12</f>
        <v>11.351111975855002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24.892615317309158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67.483747397913291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5.3066239316239274</v>
      </c>
      <c r="CT117" s="12">
        <f>IF('Données projet'!$A$140&gt;35,CT116+CS117-DB116,IF(A117&lt;'Données projet'!$A$140,$CQ$205^A117,IF(A117='Données projet'!$A$140,'Données projet'!$B$140,CT116+CS117-DB116)))</f>
        <v>219.9220085470082</v>
      </c>
      <c r="CU117" s="17">
        <f>CT117*VLOOKUP('Données projet'!$B$13,Paramètres!$A$1:$I$89,3,0)*VLOOKUP('Données projet'!$B$13,Paramètres!$A$1:$I$89,5,0)</f>
        <v>209.27778333333302</v>
      </c>
      <c r="CV117" s="13">
        <f t="shared" si="95"/>
        <v>51.777731556114787</v>
      </c>
      <c r="CW117" s="20">
        <f t="shared" si="67"/>
        <v>454.67168843245491</v>
      </c>
      <c r="CX117" s="59">
        <f t="shared" si="68"/>
        <v>738.77876222480359</v>
      </c>
      <c r="CY117" s="59">
        <f ca="1">AVERAGE(OFFSET($CX$3,0,0,'Données projet'!$E$13+1,1))-AVERAGE(OFFSET($H$3,0,0,'Données projet'!$E$13+1,1))</f>
        <v>392.81074187112989</v>
      </c>
      <c r="CZ117" s="59">
        <f t="shared" si="96"/>
        <v>236.19146849073687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36.811870134343515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36.811870134343515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67.483747397913291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5.3066239316239274</v>
      </c>
      <c r="DO117" s="12">
        <f>IF('Données projet'!$A$166&gt;35,DO116+DN117-DW116,IF(A117&lt;'Données projet'!$A$166,$DL$205^A117,IF(A117='Données projet'!$A$166,'Données projet'!$B$166,DO116+DN117-DW116)))</f>
        <v>219.9220085470082</v>
      </c>
      <c r="DP117" s="17">
        <f>DO117*VLOOKUP('Données projet'!$B$14,Paramètres!$A$1:$I$89,3,0)*VLOOKUP('Données projet'!$B$14,Paramètres!$A$1:$I$89,5,0)</f>
        <v>236.72404999999964</v>
      </c>
      <c r="DQ117" s="13">
        <f t="shared" si="97"/>
        <v>57.73413108155286</v>
      </c>
      <c r="DR117" s="20">
        <f t="shared" si="70"/>
        <v>512.84799871703717</v>
      </c>
      <c r="DS117" s="59">
        <f t="shared" si="71"/>
        <v>796.9550725093859</v>
      </c>
      <c r="DT117" s="59">
        <f ca="1">AVERAGE(OFFSET($DS$3,0,0,'Données projet'!$E$14+1,1))-AVERAGE(OFFSET($H$3,0,0,'Données projet'!$E$14+1,1))</f>
        <v>434.77799524785502</v>
      </c>
      <c r="DU117" s="59">
        <f t="shared" si="98"/>
        <v>259.85949838170006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41.63965638147053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41.63965638147053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67.483747397913291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5.3066239316239274</v>
      </c>
      <c r="EJ117" s="12">
        <f>IF('Données projet'!$A$192&gt;35,EJ116+EI117-ER116,IF(A117&lt;'Données projet'!$A$192,$EG$205^A117,IF(A117='Données projet'!$A$192,'Données projet'!$B$192,EJ116+EI117-ER116)))</f>
        <v>219.9220085470082</v>
      </c>
      <c r="EK117" s="17">
        <f>EJ117*VLOOKUP('Données projet'!$B$15,Paramètres!$A$1:$I$89,3,0)*VLOOKUP('Données projet'!$B$15,Paramètres!$A$1:$I$89,5,0)</f>
        <v>212.70856666666631</v>
      </c>
      <c r="EL117" s="13">
        <f t="shared" si="99"/>
        <v>52.527033471579792</v>
      </c>
      <c r="EM117" s="20">
        <f t="shared" si="73"/>
        <v>461.95200357411198</v>
      </c>
      <c r="EN117" s="59">
        <f t="shared" si="74"/>
        <v>746.05907736646077</v>
      </c>
      <c r="EO117" s="59">
        <f ca="1">AVERAGE(OFFSET($EN$3,0,0,'Données projet'!$E$15+1,1))-AVERAGE(OFFSET($H$3,0,0,'Données projet'!$E$15+1,1))</f>
        <v>398.06270423055565</v>
      </c>
      <c r="EP117" s="59">
        <f t="shared" si="100"/>
        <v>239.15364562040614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37.415343415234403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37.415343415234403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67.483747397913291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-1.7053025658242404E-13</v>
      </c>
      <c r="FF117" s="17">
        <f>FE117*VLOOKUP('Données projet'!$B$16,Paramètres!$A$1:$I$89,3,0)*VLOOKUP('Données projet'!$B$16,Paramètres!$A$1:$I$89,5,0)</f>
        <v>-1.0197709343628959E-13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334.13861979962491</v>
      </c>
      <c r="FK117" s="59">
        <f t="shared" si="102"/>
        <v>416.48635183664305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51.633614696851126</v>
      </c>
      <c r="FR117" s="21">
        <f>EXP(-LN(2)/25)*FR116+(1-EXP(-LN(2)/25))/(LN(2)/25)*Calculateur!FM117*Calculateur!FO117*VLOOKUP('Données projet'!$B$16,Paramètres!$A$1:$I$89,3,0)*0.475*44/12</f>
        <v>8.8519378204759516</v>
      </c>
      <c r="FS117" s="21">
        <f>EXP(-LN(2)/2)*FS116+(1-EXP(-LN(2)/2))/(LN(2)/2)*FM117*FP117*VLOOKUP('Données projet'!$B$16,Paramètres!$A$1:$I$89,3,0)*0.475*44/12</f>
        <v>7.5262730834650864E-8</v>
      </c>
      <c r="FT117" s="22">
        <f t="shared" si="78"/>
        <v>60.485552592589812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67.483747397913291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3.4106051316484809E-13</v>
      </c>
      <c r="GA117" s="17">
        <f>FZ117*VLOOKUP('Données projet'!$B$17,Paramètres!$A$1:$I$89,3,0)*VLOOKUP('Données projet'!$B$17,Paramètres!$A$1:$I$89,5,0)</f>
        <v>1.5961632016114892E-13</v>
      </c>
      <c r="GB117" s="13">
        <f t="shared" si="103"/>
        <v>2.2708641912150958E-12</v>
      </c>
      <c r="GC117" s="20">
        <f t="shared" si="79"/>
        <v>4.2330868906469593E-12</v>
      </c>
      <c r="GD117" s="59">
        <f t="shared" si="80"/>
        <v>284.10707379235294</v>
      </c>
      <c r="GE117" s="59">
        <f ca="1">AVERAGE(OFFSET($GD$3,0,0,'Données projet'!$E$17+1,1))-AVERAGE(OFFSET($H$3,0,0,'Données projet'!$E$17+1,1))</f>
        <v>317.79829681023142</v>
      </c>
      <c r="GF117" s="59">
        <f t="shared" si="104"/>
        <v>275.07716943523621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146.61497308899706</v>
      </c>
      <c r="GM117" s="21">
        <f>EXP(-LN(2)/25)*GM116+(1-EXP(-LN(2)/25))/(LN(2)/25)*Calculateur!GH117*Calculateur!GJ117*VLOOKUP('Données projet'!$B$17,Paramètres!$A$1:$I$89,3,0)*0.475*44/12</f>
        <v>34.221831303968017</v>
      </c>
      <c r="GN117" s="21">
        <f>EXP(-LN(2)/2)*GN116+(1-EXP(-LN(2)/2))/(LN(2)/2)*GH117*GK117*VLOOKUP('Données projet'!$B$17,Paramètres!$A$1:$I$89,3,0)*0.475*44/12</f>
        <v>0.98052027971833744</v>
      </c>
      <c r="GO117" s="21">
        <f t="shared" si="81"/>
        <v>181.81732467268341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67.483747397913291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>
        <f>GU117*VLOOKUP('Données projet'!$B$18,Paramètres!$A$1:$I$89,3,0)*VLOOKUP('Données projet'!$B$18,Paramètres!$A$1:$I$89,5,0)</f>
        <v>0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336.21787234885699</v>
      </c>
      <c r="HA117" s="59">
        <f t="shared" si="106"/>
        <v>315.36156736899113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88.057455944219626</v>
      </c>
      <c r="HH117" s="21">
        <f>EXP(-LN(2)/25)*HH116+(1-EXP(-LN(2)/25))/(LN(2)/25)*Calculateur!HC117*Calculateur!HE117*VLOOKUP('Données projet'!$B$18,Paramètres!$A$1:$I$89,3,0)*0.475*44/12</f>
        <v>16.365581206155323</v>
      </c>
      <c r="HI117" s="21">
        <f>EXP(-LN(2)/2)*HI116+(1-EXP(-LN(2)/2))/(LN(2)/2)*HC117*HF117*VLOOKUP('Données projet'!$B$18,Paramètres!$A$1:$I$89,3,0)*0.475*44/12</f>
        <v>9.4967747469812605E-6</v>
      </c>
      <c r="HJ117" s="22">
        <f t="shared" si="84"/>
        <v>104.4230466471497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3.7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13.566666666666668</v>
      </c>
      <c r="H118" s="67">
        <f t="shared" si="56"/>
        <v>202.4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67.527398755061441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329.95512820512863</v>
      </c>
      <c r="O118" s="13">
        <f>N118*VLOOKUP('Données projet'!$B$9,Paramètres!$A$1:$I$89,3,0)*VLOOKUP('Données projet'!$B$9,Paramètres!$A$1:$I$89,5,0)</f>
        <v>298.54340000000036</v>
      </c>
      <c r="P118" s="13">
        <f t="shared" si="87"/>
        <v>70.871017722198957</v>
      </c>
      <c r="Q118" s="20">
        <f t="shared" si="107"/>
        <v>643.39677753283047</v>
      </c>
      <c r="R118" s="59">
        <f t="shared" si="55"/>
        <v>927.66390630138903</v>
      </c>
      <c r="S118" s="59">
        <f ca="1">AVERAGE(OFFSET($R$3,0,0,'Données projet'!$E$9+1,1))-AVERAGE(OFFSET($H$3,0,0,'Données projet'!$E$9+1,1))</f>
        <v>411.64357329340851</v>
      </c>
      <c r="T118" s="59">
        <f t="shared" si="88"/>
        <v>294.07942258675632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53.427067632902698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53.427067632902698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67.527398755061441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6.8461538461538511</v>
      </c>
      <c r="AI118" s="13">
        <f>IF('Données projet'!$A$62&gt;35,AI117+AH118-AQ117,IF(A118&lt;'Données projet'!$A$62,$AF$205^A118,IF(A118='Données projet'!$A$62,'Données projet'!$B$62,AI117+AH118-AQ117)))</f>
        <v>329.95512820512863</v>
      </c>
      <c r="AJ118" s="13">
        <f>AI118*VLOOKUP('Données projet'!$B$10,Paramètres!$A$1:$I$89,3,0)*VLOOKUP('Données projet'!$B$10,Paramètres!$A$1:$I$89,5,0)</f>
        <v>334.57450000000046</v>
      </c>
      <c r="AK118" s="13">
        <f t="shared" si="89"/>
        <v>78.377956496830535</v>
      </c>
      <c r="AL118" s="20">
        <f t="shared" si="58"/>
        <v>719.22552839864738</v>
      </c>
      <c r="AM118" s="59">
        <f t="shared" si="59"/>
        <v>1003.4926571672061</v>
      </c>
      <c r="AN118" s="59">
        <f ca="1">AVERAGE(OFFSET($AM$3,0,0,'Données projet'!$E$10+1,1))-AVERAGE(OFFSET($H$3,0,0,'Données projet'!$E$10+1,1))</f>
        <v>453.05577105995508</v>
      </c>
      <c r="AO118" s="59">
        <f t="shared" si="90"/>
        <v>322.6839824496758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59.875162002390972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59.875162002390972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67.527398755061441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4.7948717948717956</v>
      </c>
      <c r="BD118" s="12">
        <f>IF('Données projet'!$A$88&gt;35,BD117+BC118-BL117,IF(A118&lt;'Données projet'!$A$88,$BA$205^A118,IF(A118='Données projet'!$A$88,'Données projet'!$B$88,BD117+BC118-BL117)))</f>
        <v>188.36538461538473</v>
      </c>
      <c r="BE118" s="13">
        <f>BD118*VLOOKUP('Données projet'!$B$11,Paramètres!$A$1:$I$89,3,0)*VLOOKUP('Données projet'!$B$11,Paramètres!$A$1:$I$89,5,0)</f>
        <v>188.06400000000011</v>
      </c>
      <c r="BF118" s="13">
        <f t="shared" si="91"/>
        <v>47.111675942442282</v>
      </c>
      <c r="BG118" s="20">
        <f t="shared" si="61"/>
        <v>409.5976355997538</v>
      </c>
      <c r="BH118" s="59">
        <f t="shared" si="62"/>
        <v>693.86476436831242</v>
      </c>
      <c r="BI118" s="59">
        <f ca="1">AVERAGE(OFFSET($BH$3,0,0,'Données projet'!$E$11+1,1))-AVERAGE(OFFSET($H$3,0,0,'Données projet'!$E$11+1,1))</f>
        <v>411.38162678377478</v>
      </c>
      <c r="BJ118" s="59">
        <f t="shared" si="92"/>
        <v>177.89903563360403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17.00724996041172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17.00724996041172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67.527398755061441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212.00000000000009</v>
      </c>
      <c r="BZ118" s="13">
        <f>BY118*VLOOKUP('Données projet'!$B$12,Paramètres!$A$1:$I$89,3,0)*VLOOKUP('Données projet'!$B$12,Paramètres!$A$1:$I$89,5,0)</f>
        <v>221.58240000000012</v>
      </c>
      <c r="CA118" s="13">
        <f t="shared" si="93"/>
        <v>54.458668952651578</v>
      </c>
      <c r="CB118" s="20">
        <f t="shared" si="64"/>
        <v>480.77152842586838</v>
      </c>
      <c r="CC118" s="59">
        <f t="shared" si="65"/>
        <v>765.03865719442706</v>
      </c>
      <c r="CD118" s="59">
        <f ca="1">AVERAGE(OFFSET($CC$3,0,0,'Données projet'!$E$12+1,1))-AVERAGE(OFFSET($H$3,0,0,'Données projet'!$E$12+1,1))</f>
        <v>374.38550202939507</v>
      </c>
      <c r="CE118" s="59">
        <f t="shared" si="94"/>
        <v>324.37486924296718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13.275962720429719</v>
      </c>
      <c r="CL118" s="21">
        <f>EXP(-LN(2)/25)*CL117+(1-EXP(-LN(2)/25))/(LN(2)/25)*Calculateur!CG118*Calculateur!CI118*VLOOKUP('Données projet'!$B$12,Paramètres!$A$1:$I$89,3,0)*0.475*44/12</f>
        <v>11.040715221946211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24.316677942375932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67.527398755061441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5.3066239316239274</v>
      </c>
      <c r="CT118" s="12">
        <f>IF('Données projet'!$A$140&gt;35,CT117+CS118-DB117,IF(A118&lt;'Données projet'!$A$140,$CQ$205^A118,IF(A118='Données projet'!$A$140,'Données projet'!$B$140,CT117+CS118-DB117)))</f>
        <v>225.22863247863214</v>
      </c>
      <c r="CU118" s="17">
        <f>CT118*VLOOKUP('Données projet'!$B$13,Paramètres!$A$1:$I$89,3,0)*VLOOKUP('Données projet'!$B$13,Paramètres!$A$1:$I$89,5,0)</f>
        <v>214.32756666666634</v>
      </c>
      <c r="CV118" s="13">
        <f t="shared" si="95"/>
        <v>52.880142291343276</v>
      </c>
      <c r="CW118" s="20">
        <f t="shared" si="67"/>
        <v>465.38675976853341</v>
      </c>
      <c r="CX118" s="59">
        <f t="shared" si="68"/>
        <v>749.65388853709203</v>
      </c>
      <c r="CY118" s="59">
        <f ca="1">AVERAGE(OFFSET($CX$3,0,0,'Données projet'!$E$13+1,1))-AVERAGE(OFFSET($H$3,0,0,'Données projet'!$E$13+1,1))</f>
        <v>392.81074187112989</v>
      </c>
      <c r="CZ118" s="59">
        <f t="shared" si="96"/>
        <v>236.19146849073687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36.090011814032771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36.090011814032771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67.527398755061441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5.3066239316239274</v>
      </c>
      <c r="DO118" s="12">
        <f>IF('Données projet'!$A$166&gt;35,DO117+DN118-DW117,IF(A118&lt;'Données projet'!$A$166,$DL$205^A118,IF(A118='Données projet'!$A$166,'Données projet'!$B$166,DO117+DN118-DW117)))</f>
        <v>225.22863247863214</v>
      </c>
      <c r="DP118" s="17">
        <f>DO118*VLOOKUP('Données projet'!$B$14,Paramètres!$A$1:$I$89,3,0)*VLOOKUP('Données projet'!$B$14,Paramètres!$A$1:$I$89,5,0)</f>
        <v>242.43609999999961</v>
      </c>
      <c r="DQ118" s="13">
        <f t="shared" si="97"/>
        <v>58.963360790552656</v>
      </c>
      <c r="DR118" s="20">
        <f t="shared" si="70"/>
        <v>524.93739421021189</v>
      </c>
      <c r="DS118" s="59">
        <f t="shared" si="71"/>
        <v>809.20452297877046</v>
      </c>
      <c r="DT118" s="59">
        <f ca="1">AVERAGE(OFFSET($DS$3,0,0,'Données projet'!$E$14+1,1))-AVERAGE(OFFSET($H$3,0,0,'Données projet'!$E$14+1,1))</f>
        <v>434.77799524785502</v>
      </c>
      <c r="DU118" s="59">
        <f t="shared" si="98"/>
        <v>259.85949838170006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40.823128117512475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40.823128117512475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67.527398755061441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5.3066239316239274</v>
      </c>
      <c r="EJ118" s="12">
        <f>IF('Données projet'!$A$192&gt;35,EJ117+EI118-ER117,IF(A118&lt;'Données projet'!$A$192,$EG$205^A118,IF(A118='Données projet'!$A$192,'Données projet'!$B$192,EJ117+EI118-ER117)))</f>
        <v>225.22863247863214</v>
      </c>
      <c r="EK118" s="17">
        <f>EJ118*VLOOKUP('Données projet'!$B$15,Paramètres!$A$1:$I$89,3,0)*VLOOKUP('Données projet'!$B$15,Paramètres!$A$1:$I$89,5,0)</f>
        <v>217.84113333333303</v>
      </c>
      <c r="EL118" s="13">
        <f t="shared" si="99"/>
        <v>53.645397753839269</v>
      </c>
      <c r="EM118" s="20">
        <f t="shared" si="73"/>
        <v>472.83904164349178</v>
      </c>
      <c r="EN118" s="59">
        <f t="shared" si="74"/>
        <v>757.10617041205046</v>
      </c>
      <c r="EO118" s="59">
        <f ca="1">AVERAGE(OFFSET($EN$3,0,0,'Données projet'!$E$15+1,1))-AVERAGE(OFFSET($H$3,0,0,'Données projet'!$E$15+1,1))</f>
        <v>398.06270423055565</v>
      </c>
      <c r="EP118" s="59">
        <f t="shared" si="100"/>
        <v>239.15364562040614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36.681651351967744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36.681651351967744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67.527398755061441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-1.7053025658242404E-13</v>
      </c>
      <c r="FF118" s="17">
        <f>FE118*VLOOKUP('Données projet'!$B$16,Paramètres!$A$1:$I$89,3,0)*VLOOKUP('Données projet'!$B$16,Paramètres!$A$1:$I$89,5,0)</f>
        <v>-1.0197709343628959E-13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334.13861979962491</v>
      </c>
      <c r="FK118" s="59">
        <f t="shared" si="102"/>
        <v>416.48635183664305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50.621111006041126</v>
      </c>
      <c r="FR118" s="21">
        <f>EXP(-LN(2)/25)*FR117+(1-EXP(-LN(2)/25))/(LN(2)/25)*Calculateur!FM118*Calculateur!FO118*VLOOKUP('Données projet'!$B$16,Paramètres!$A$1:$I$89,3,0)*0.475*44/12</f>
        <v>8.6098811152718575</v>
      </c>
      <c r="FS118" s="21">
        <f>EXP(-LN(2)/2)*FS117+(1-EXP(-LN(2)/2))/(LN(2)/2)*FM118*FP118*VLOOKUP('Données projet'!$B$16,Paramètres!$A$1:$I$89,3,0)*0.475*44/12</f>
        <v>5.3218787343799493E-8</v>
      </c>
      <c r="FT118" s="22">
        <f t="shared" si="78"/>
        <v>59.230992174531764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67.527398755061441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3.4106051316484809E-13</v>
      </c>
      <c r="GA118" s="17">
        <f>FZ118*VLOOKUP('Données projet'!$B$17,Paramètres!$A$1:$I$89,3,0)*VLOOKUP('Données projet'!$B$17,Paramètres!$A$1:$I$89,5,0)</f>
        <v>1.5961632016114892E-13</v>
      </c>
      <c r="GB118" s="13">
        <f t="shared" si="103"/>
        <v>2.2708641912150958E-12</v>
      </c>
      <c r="GC118" s="20">
        <f t="shared" si="79"/>
        <v>4.2330868906469593E-12</v>
      </c>
      <c r="GD118" s="59">
        <f t="shared" si="80"/>
        <v>284.26712876856283</v>
      </c>
      <c r="GE118" s="59">
        <f ca="1">AVERAGE(OFFSET($GD$3,0,0,'Données projet'!$E$17+1,1))-AVERAGE(OFFSET($H$3,0,0,'Données projet'!$E$17+1,1))</f>
        <v>317.79829681023142</v>
      </c>
      <c r="GF118" s="59">
        <f t="shared" si="104"/>
        <v>275.07716943523621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143.7399428930253</v>
      </c>
      <c r="GM118" s="21">
        <f>EXP(-LN(2)/25)*GM117+(1-EXP(-LN(2)/25))/(LN(2)/25)*Calculateur!GH118*Calculateur!GJ118*VLOOKUP('Données projet'!$B$17,Paramètres!$A$1:$I$89,3,0)*0.475*44/12</f>
        <v>33.286033527313116</v>
      </c>
      <c r="GN118" s="21">
        <f>EXP(-LN(2)/2)*GN117+(1-EXP(-LN(2)/2))/(LN(2)/2)*GH118*GK118*VLOOKUP('Données projet'!$B$17,Paramètres!$A$1:$I$89,3,0)*0.475*44/12</f>
        <v>0.69333253887976687</v>
      </c>
      <c r="GO118" s="21">
        <f t="shared" si="81"/>
        <v>177.71930895921818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67.527398755061441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>
        <f>GU118*VLOOKUP('Données projet'!$B$18,Paramètres!$A$1:$I$89,3,0)*VLOOKUP('Données projet'!$B$18,Paramètres!$A$1:$I$89,5,0)</f>
        <v>0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336.21787234885699</v>
      </c>
      <c r="HA118" s="59">
        <f t="shared" si="106"/>
        <v>315.36156736899113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86.330702942898213</v>
      </c>
      <c r="HH118" s="21">
        <f>EXP(-LN(2)/25)*HH117+(1-EXP(-LN(2)/25))/(LN(2)/25)*Calculateur!HC118*Calculateur!HE118*VLOOKUP('Données projet'!$B$18,Paramètres!$A$1:$I$89,3,0)*0.475*44/12</f>
        <v>15.918063527444493</v>
      </c>
      <c r="HI118" s="21">
        <f>EXP(-LN(2)/2)*HI117+(1-EXP(-LN(2)/2))/(LN(2)/2)*HC118*HF118*VLOOKUP('Données projet'!$B$18,Paramètres!$A$1:$I$89,3,0)*0.475*44/12</f>
        <v>6.7152338229916085E-6</v>
      </c>
      <c r="HJ118" s="22">
        <f t="shared" si="84"/>
        <v>102.24877318557652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3.7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13.566666666666668</v>
      </c>
      <c r="H119" s="67">
        <f t="shared" si="56"/>
        <v>202.4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67.570292858752879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336.8012820512825</v>
      </c>
      <c r="O119" s="13">
        <f>N119*VLOOKUP('Données projet'!$B$9,Paramètres!$A$1:$I$89,3,0)*VLOOKUP('Données projet'!$B$9,Paramètres!$A$1:$I$89,5,0)</f>
        <v>304.73780000000039</v>
      </c>
      <c r="P119" s="13">
        <f t="shared" si="87"/>
        <v>72.168780751383139</v>
      </c>
      <c r="Q119" s="20">
        <f t="shared" si="107"/>
        <v>656.4456281419931</v>
      </c>
      <c r="R119" s="59">
        <f t="shared" si="55"/>
        <v>940.87003529075366</v>
      </c>
      <c r="S119" s="59">
        <f ca="1">AVERAGE(OFFSET($R$3,0,0,'Données projet'!$E$9+1,1))-AVERAGE(OFFSET($H$3,0,0,'Données projet'!$E$9+1,1))</f>
        <v>411.64357329340851</v>
      </c>
      <c r="T119" s="59">
        <f t="shared" si="88"/>
        <v>294.07942258675632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52.379395423915007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52.379395423915007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67.570292858752879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6.8461538461538511</v>
      </c>
      <c r="AI119" s="13">
        <f>IF('Données projet'!$A$62&gt;35,AI118+AH119-AQ118,IF(A119&lt;'Données projet'!$A$62,$AF$205^A119,IF(A119='Données projet'!$A$62,'Données projet'!$B$62,AI118+AH119-AQ118)))</f>
        <v>336.8012820512825</v>
      </c>
      <c r="AJ119" s="13">
        <f>AI119*VLOOKUP('Données projet'!$B$10,Paramètres!$A$1:$I$89,3,0)*VLOOKUP('Données projet'!$B$10,Paramètres!$A$1:$I$89,5,0)</f>
        <v>341.51650000000046</v>
      </c>
      <c r="AK119" s="13">
        <f t="shared" si="89"/>
        <v>79.813183723893872</v>
      </c>
      <c r="AL119" s="20">
        <f t="shared" si="58"/>
        <v>733.81586581911597</v>
      </c>
      <c r="AM119" s="59">
        <f t="shared" si="59"/>
        <v>1018.2402729678765</v>
      </c>
      <c r="AN119" s="59">
        <f ca="1">AVERAGE(OFFSET($AM$3,0,0,'Données projet'!$E$10+1,1))-AVERAGE(OFFSET($H$3,0,0,'Données projet'!$E$10+1,1))</f>
        <v>453.05577105995508</v>
      </c>
      <c r="AO119" s="59">
        <f t="shared" si="90"/>
        <v>322.6839824496758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58.701046595766833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58.701046595766833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67.570292858752879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4.7948717948717956</v>
      </c>
      <c r="BD119" s="12">
        <f>IF('Données projet'!$A$88&gt;35,BD118+BC119-BL118,IF(A119&lt;'Données projet'!$A$88,$BA$205^A119,IF(A119='Données projet'!$A$88,'Données projet'!$B$88,BD118+BC119-BL118)))</f>
        <v>193.16025641025652</v>
      </c>
      <c r="BE119" s="13">
        <f>BD119*VLOOKUP('Données projet'!$B$11,Paramètres!$A$1:$I$89,3,0)*VLOOKUP('Données projet'!$B$11,Paramètres!$A$1:$I$89,5,0)</f>
        <v>192.85120000000012</v>
      </c>
      <c r="BF119" s="13">
        <f t="shared" si="91"/>
        <v>48.16976520363562</v>
      </c>
      <c r="BG119" s="20">
        <f t="shared" si="61"/>
        <v>419.77818106299884</v>
      </c>
      <c r="BH119" s="59">
        <f t="shared" si="62"/>
        <v>704.20258821175935</v>
      </c>
      <c r="BI119" s="59">
        <f ca="1">AVERAGE(OFFSET($BH$3,0,0,'Données projet'!$E$11+1,1))-AVERAGE(OFFSET($H$3,0,0,'Données projet'!$E$11+1,1))</f>
        <v>411.38162678377478</v>
      </c>
      <c r="BJ119" s="59">
        <f t="shared" si="92"/>
        <v>177.89903563360403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16.673748162086234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16.673748162086234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67.570292858752879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212.00000000000009</v>
      </c>
      <c r="BZ119" s="13">
        <f>BY119*VLOOKUP('Données projet'!$B$12,Paramètres!$A$1:$I$89,3,0)*VLOOKUP('Données projet'!$B$12,Paramètres!$A$1:$I$89,5,0)</f>
        <v>221.58240000000012</v>
      </c>
      <c r="CA119" s="13">
        <f t="shared" si="93"/>
        <v>54.458668952651578</v>
      </c>
      <c r="CB119" s="20">
        <f t="shared" si="64"/>
        <v>480.77152842586838</v>
      </c>
      <c r="CC119" s="59">
        <f t="shared" si="65"/>
        <v>765.19593557462895</v>
      </c>
      <c r="CD119" s="59">
        <f ca="1">AVERAGE(OFFSET($CC$3,0,0,'Données projet'!$E$12+1,1))-AVERAGE(OFFSET($H$3,0,0,'Données projet'!$E$12+1,1))</f>
        <v>374.38550202939507</v>
      </c>
      <c r="CE119" s="59">
        <f t="shared" si="94"/>
        <v>324.37486924296718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13.015629189019787</v>
      </c>
      <c r="CL119" s="21">
        <f>EXP(-LN(2)/25)*CL118+(1-EXP(-LN(2)/25))/(LN(2)/25)*Calculateur!CG119*Calculateur!CI119*VLOOKUP('Données projet'!$B$12,Paramètres!$A$1:$I$89,3,0)*0.475*44/12</f>
        <v>10.738806283596112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23.754435472615899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67.570292858752879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5.3066239316239274</v>
      </c>
      <c r="CT119" s="12">
        <f>IF('Données projet'!$A$140&gt;35,CT118+CS119-DB118,IF(A119&lt;'Données projet'!$A$140,$CQ$205^A119,IF(A119='Données projet'!$A$140,'Données projet'!$B$140,CT118+CS119-DB118)))</f>
        <v>230.53525641025607</v>
      </c>
      <c r="CU119" s="17">
        <f>CT119*VLOOKUP('Données projet'!$B$13,Paramètres!$A$1:$I$89,3,0)*VLOOKUP('Données projet'!$B$13,Paramètres!$A$1:$I$89,5,0)</f>
        <v>219.37734999999969</v>
      </c>
      <c r="CV119" s="13">
        <f t="shared" si="95"/>
        <v>53.979533504538885</v>
      </c>
      <c r="CW119" s="20">
        <f t="shared" si="67"/>
        <v>476.09657210373803</v>
      </c>
      <c r="CX119" s="59">
        <f t="shared" si="68"/>
        <v>760.52097925249859</v>
      </c>
      <c r="CY119" s="59">
        <f ca="1">AVERAGE(OFFSET($CX$3,0,0,'Données projet'!$E$13+1,1))-AVERAGE(OFFSET($H$3,0,0,'Données projet'!$E$13+1,1))</f>
        <v>392.81074187112989</v>
      </c>
      <c r="CZ119" s="59">
        <f t="shared" si="96"/>
        <v>236.19146849073687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35.382308695093215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35.382308695093215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67.570292858752879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5.3066239316239274</v>
      </c>
      <c r="DO119" s="12">
        <f>IF('Données projet'!$A$166&gt;35,DO118+DN119-DW118,IF(A119&lt;'Données projet'!$A$166,$DL$205^A119,IF(A119='Données projet'!$A$166,'Données projet'!$B$166,DO118+DN119-DW118)))</f>
        <v>230.53525641025607</v>
      </c>
      <c r="DP119" s="17">
        <f>DO119*VLOOKUP('Données projet'!$B$14,Paramètres!$A$1:$I$89,3,0)*VLOOKUP('Données projet'!$B$14,Paramètres!$A$1:$I$89,5,0)</f>
        <v>248.14814999999965</v>
      </c>
      <c r="DQ119" s="13">
        <f t="shared" si="97"/>
        <v>60.1892236181613</v>
      </c>
      <c r="DR119" s="20">
        <f t="shared" si="70"/>
        <v>537.02092571829689</v>
      </c>
      <c r="DS119" s="59">
        <f t="shared" si="71"/>
        <v>821.44533286705746</v>
      </c>
      <c r="DT119" s="59">
        <f ca="1">AVERAGE(OFFSET($DS$3,0,0,'Données projet'!$E$14+1,1))-AVERAGE(OFFSET($H$3,0,0,'Données projet'!$E$14+1,1))</f>
        <v>434.77799524785502</v>
      </c>
      <c r="DU119" s="59">
        <f t="shared" si="98"/>
        <v>259.85949838170006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40.02261147477757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40.02261147477757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67.570292858752879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5.3066239316239274</v>
      </c>
      <c r="EJ119" s="12">
        <f>IF('Données projet'!$A$192&gt;35,EJ118+EI119-ER118,IF(A119&lt;'Données projet'!$A$192,$EG$205^A119,IF(A119='Données projet'!$A$192,'Données projet'!$B$192,EJ118+EI119-ER118)))</f>
        <v>230.53525641025607</v>
      </c>
      <c r="EK119" s="17">
        <f>EJ119*VLOOKUP('Données projet'!$B$15,Paramètres!$A$1:$I$89,3,0)*VLOOKUP('Données projet'!$B$15,Paramètres!$A$1:$I$89,5,0)</f>
        <v>222.97369999999967</v>
      </c>
      <c r="EL119" s="13">
        <f t="shared" si="99"/>
        <v>54.76069881702513</v>
      </c>
      <c r="EM119" s="20">
        <f t="shared" si="73"/>
        <v>483.72074460631808</v>
      </c>
      <c r="EN119" s="59">
        <f t="shared" si="74"/>
        <v>768.14515175507859</v>
      </c>
      <c r="EO119" s="59">
        <f ca="1">AVERAGE(OFFSET($EN$3,0,0,'Données projet'!$E$15+1,1))-AVERAGE(OFFSET($H$3,0,0,'Données projet'!$E$15+1,1))</f>
        <v>398.06270423055565</v>
      </c>
      <c r="EP119" s="59">
        <f t="shared" si="100"/>
        <v>239.15364562040614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35.962346542553774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35.962346542553774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67.570292858752879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-1.7053025658242404E-13</v>
      </c>
      <c r="FF119" s="17">
        <f>FE119*VLOOKUP('Données projet'!$B$16,Paramètres!$A$1:$I$89,3,0)*VLOOKUP('Données projet'!$B$16,Paramètres!$A$1:$I$89,5,0)</f>
        <v>-1.0197709343628959E-13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334.13861979962491</v>
      </c>
      <c r="FK119" s="59">
        <f t="shared" si="102"/>
        <v>416.48635183664305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49.628461895041639</v>
      </c>
      <c r="FR119" s="21">
        <f>EXP(-LN(2)/25)*FR118+(1-EXP(-LN(2)/25))/(LN(2)/25)*Calculateur!FM119*Calculateur!FO119*VLOOKUP('Données projet'!$B$16,Paramètres!$A$1:$I$89,3,0)*0.475*44/12</f>
        <v>8.3744434634007785</v>
      </c>
      <c r="FS119" s="21">
        <f>EXP(-LN(2)/2)*FS118+(1-EXP(-LN(2)/2))/(LN(2)/2)*FM119*FP119*VLOOKUP('Données projet'!$B$16,Paramètres!$A$1:$I$89,3,0)*0.475*44/12</f>
        <v>3.7631365417325432E-8</v>
      </c>
      <c r="FT119" s="22">
        <f t="shared" si="78"/>
        <v>58.002905396073785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67.570292858752879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3.4106051316484809E-13</v>
      </c>
      <c r="GA119" s="17">
        <f>FZ119*VLOOKUP('Données projet'!$B$17,Paramètres!$A$1:$I$89,3,0)*VLOOKUP('Données projet'!$B$17,Paramètres!$A$1:$I$89,5,0)</f>
        <v>1.5961632016114892E-13</v>
      </c>
      <c r="GB119" s="13">
        <f t="shared" si="103"/>
        <v>2.2708641912150958E-12</v>
      </c>
      <c r="GC119" s="20">
        <f t="shared" si="79"/>
        <v>4.2330868906469593E-12</v>
      </c>
      <c r="GD119" s="59">
        <f t="shared" si="80"/>
        <v>284.42440714876477</v>
      </c>
      <c r="GE119" s="59">
        <f ca="1">AVERAGE(OFFSET($GD$3,0,0,'Données projet'!$E$17+1,1))-AVERAGE(OFFSET($H$3,0,0,'Données projet'!$E$17+1,1))</f>
        <v>317.79829681023142</v>
      </c>
      <c r="GF119" s="59">
        <f t="shared" si="104"/>
        <v>275.07716943523621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140.92129028560129</v>
      </c>
      <c r="GM119" s="21">
        <f>EXP(-LN(2)/25)*GM118+(1-EXP(-LN(2)/25))/(LN(2)/25)*Calculateur!GH119*Calculateur!GJ119*VLOOKUP('Données projet'!$B$17,Paramètres!$A$1:$I$89,3,0)*0.475*44/12</f>
        <v>32.375825190072312</v>
      </c>
      <c r="GN119" s="21">
        <f>EXP(-LN(2)/2)*GN118+(1-EXP(-LN(2)/2))/(LN(2)/2)*GH119*GK119*VLOOKUP('Données projet'!$B$17,Paramètres!$A$1:$I$89,3,0)*0.475*44/12</f>
        <v>0.49026013985916878</v>
      </c>
      <c r="GO119" s="21">
        <f t="shared" si="81"/>
        <v>173.78737561553277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67.570292858752879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>
        <f>GU119*VLOOKUP('Données projet'!$B$18,Paramètres!$A$1:$I$89,3,0)*VLOOKUP('Données projet'!$B$18,Paramètres!$A$1:$I$89,5,0)</f>
        <v>0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336.21787234885699</v>
      </c>
      <c r="HA119" s="59">
        <f t="shared" si="106"/>
        <v>315.36156736899113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84.637810514717373</v>
      </c>
      <c r="HH119" s="21">
        <f>EXP(-LN(2)/25)*HH118+(1-EXP(-LN(2)/25))/(LN(2)/25)*Calculateur!HC119*Calculateur!HE119*VLOOKUP('Données projet'!$B$18,Paramètres!$A$1:$I$89,3,0)*0.475*44/12</f>
        <v>15.482783243191944</v>
      </c>
      <c r="HI119" s="21">
        <f>EXP(-LN(2)/2)*HI118+(1-EXP(-LN(2)/2))/(LN(2)/2)*HC119*HF119*VLOOKUP('Données projet'!$B$18,Paramètres!$A$1:$I$89,3,0)*0.475*44/12</f>
        <v>4.7483873734906303E-6</v>
      </c>
      <c r="HJ119" s="22">
        <f t="shared" si="84"/>
        <v>100.12059850629669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3.7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13.566666666666668</v>
      </c>
      <c r="H120" s="67">
        <f t="shared" si="56"/>
        <v>202.4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67.612442845642121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343.64743589743637</v>
      </c>
      <c r="O120" s="13">
        <f>N120*VLOOKUP('Données projet'!$B$9,Paramètres!$A$1:$I$89,3,0)*VLOOKUP('Données projet'!$B$9,Paramètres!$A$1:$I$89,5,0)</f>
        <v>310.93220000000042</v>
      </c>
      <c r="P120" s="13">
        <f t="shared" si="87"/>
        <v>73.463476600811546</v>
      </c>
      <c r="Q120" s="20">
        <f t="shared" si="107"/>
        <v>669.48913674641415</v>
      </c>
      <c r="R120" s="59">
        <f t="shared" si="55"/>
        <v>954.06809384710186</v>
      </c>
      <c r="S120" s="59">
        <f ca="1">AVERAGE(OFFSET($R$3,0,0,'Données projet'!$E$9+1,1))-AVERAGE(OFFSET($H$3,0,0,'Données projet'!$E$9+1,1))</f>
        <v>411.64357329340851</v>
      </c>
      <c r="T120" s="59">
        <f t="shared" si="88"/>
        <v>294.07942258675632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51.352267427928609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51.352267427928609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67.612442845642121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6.8461538461538511</v>
      </c>
      <c r="AI120" s="13">
        <f>IF('Données projet'!$A$62&gt;35,AI119+AH120-AQ119,IF(A120&lt;'Données projet'!$A$62,$AF$205^A120,IF(A120='Données projet'!$A$62,'Données projet'!$B$62,AI119+AH120-AQ119)))</f>
        <v>343.64743589743637</v>
      </c>
      <c r="AJ120" s="13">
        <f>AI120*VLOOKUP('Données projet'!$B$10,Paramètres!$A$1:$I$89,3,0)*VLOOKUP('Données projet'!$B$10,Paramètres!$A$1:$I$89,5,0)</f>
        <v>348.45850000000053</v>
      </c>
      <c r="AK120" s="13">
        <f t="shared" si="89"/>
        <v>81.245018883378833</v>
      </c>
      <c r="AL120" s="20">
        <f t="shared" si="58"/>
        <v>748.40029538855242</v>
      </c>
      <c r="AM120" s="59">
        <f t="shared" si="59"/>
        <v>1032.9792524892403</v>
      </c>
      <c r="AN120" s="59">
        <f ca="1">AVERAGE(OFFSET($AM$3,0,0,'Données projet'!$E$10+1,1))-AVERAGE(OFFSET($H$3,0,0,'Données projet'!$E$10+1,1))</f>
        <v>453.05577105995508</v>
      </c>
      <c r="AO120" s="59">
        <f t="shared" si="90"/>
        <v>322.6839824496758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57.549954876126904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57.549954876126904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67.612442845642121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4.7948717948717956</v>
      </c>
      <c r="BD120" s="12">
        <f>IF('Données projet'!$A$88&gt;35,BD119+BC120-BL119,IF(A120&lt;'Données projet'!$A$88,$BA$205^A120,IF(A120='Données projet'!$A$88,'Données projet'!$B$88,BD119+BC120-BL119)))</f>
        <v>197.95512820512832</v>
      </c>
      <c r="BE120" s="13">
        <f>BD120*VLOOKUP('Données projet'!$B$11,Paramètres!$A$1:$I$89,3,0)*VLOOKUP('Données projet'!$B$11,Paramètres!$A$1:$I$89,5,0)</f>
        <v>197.63840000000013</v>
      </c>
      <c r="BF120" s="13">
        <f t="shared" si="91"/>
        <v>49.224801271031147</v>
      </c>
      <c r="BG120" s="20">
        <f t="shared" si="61"/>
        <v>429.95340888037941</v>
      </c>
      <c r="BH120" s="59">
        <f t="shared" si="62"/>
        <v>714.53236598106719</v>
      </c>
      <c r="BI120" s="59">
        <f ca="1">AVERAGE(OFFSET($BH$3,0,0,'Données projet'!$E$11+1,1))-AVERAGE(OFFSET($H$3,0,0,'Données projet'!$E$11+1,1))</f>
        <v>411.38162678377478</v>
      </c>
      <c r="BJ120" s="59">
        <f t="shared" si="92"/>
        <v>177.89903563360403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16.3467861306099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16.3467861306099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67.612442845642121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212.00000000000009</v>
      </c>
      <c r="BZ120" s="13">
        <f>BY120*VLOOKUP('Données projet'!$B$12,Paramètres!$A$1:$I$89,3,0)*VLOOKUP('Données projet'!$B$12,Paramètres!$A$1:$I$89,5,0)</f>
        <v>221.58240000000012</v>
      </c>
      <c r="CA120" s="13">
        <f t="shared" si="93"/>
        <v>54.458668952651578</v>
      </c>
      <c r="CB120" s="20">
        <f t="shared" si="64"/>
        <v>480.77152842586838</v>
      </c>
      <c r="CC120" s="59">
        <f t="shared" si="65"/>
        <v>765.35048552655621</v>
      </c>
      <c r="CD120" s="59">
        <f ca="1">AVERAGE(OFFSET($CC$3,0,0,'Données projet'!$E$12+1,1))-AVERAGE(OFFSET($H$3,0,0,'Données projet'!$E$12+1,1))</f>
        <v>374.38550202939507</v>
      </c>
      <c r="CE120" s="59">
        <f t="shared" si="94"/>
        <v>324.37486924296718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12.760400639373028</v>
      </c>
      <c r="CL120" s="21">
        <f>EXP(-LN(2)/25)*CL119+(1-EXP(-LN(2)/25))/(LN(2)/25)*Calculateur!CG120*Calculateur!CI120*VLOOKUP('Données projet'!$B$12,Paramètres!$A$1:$I$89,3,0)*0.475*44/12</f>
        <v>10.445153061041898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23.205553700414924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67.612442845642121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5.3066239316239274</v>
      </c>
      <c r="CT120" s="12">
        <f>IF('Données projet'!$A$140&gt;35,CT119+CS120-DB119,IF(A120&lt;'Données projet'!$A$140,$CQ$205^A120,IF(A120='Données projet'!$A$140,'Données projet'!$B$140,CT119+CS120-DB119)))</f>
        <v>235.84188034188</v>
      </c>
      <c r="CU120" s="17">
        <f>CT120*VLOOKUP('Données projet'!$B$13,Paramètres!$A$1:$I$89,3,0)*VLOOKUP('Données projet'!$B$13,Paramètres!$A$1:$I$89,5,0)</f>
        <v>224.42713333333299</v>
      </c>
      <c r="CV120" s="13">
        <f t="shared" si="95"/>
        <v>55.075982701611863</v>
      </c>
      <c r="CW120" s="20">
        <f t="shared" si="67"/>
        <v>486.80126042752903</v>
      </c>
      <c r="CX120" s="59">
        <f t="shared" si="68"/>
        <v>771.3802175282168</v>
      </c>
      <c r="CY120" s="59">
        <f ca="1">AVERAGE(OFFSET($CX$3,0,0,'Données projet'!$E$13+1,1))-AVERAGE(OFFSET($H$3,0,0,'Données projet'!$E$13+1,1))</f>
        <v>392.81074187112989</v>
      </c>
      <c r="CZ120" s="59">
        <f t="shared" si="96"/>
        <v>236.19146849073687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34.688483202659789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34.688483202659789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67.612442845642121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5.3066239316239274</v>
      </c>
      <c r="DO120" s="12">
        <f>IF('Données projet'!$A$166&gt;35,DO119+DN120-DW119,IF(A120&lt;'Données projet'!$A$166,$DL$205^A120,IF(A120='Données projet'!$A$166,'Données projet'!$B$166,DO119+DN120-DW119)))</f>
        <v>235.84188034188</v>
      </c>
      <c r="DP120" s="17">
        <f>DO120*VLOOKUP('Données projet'!$B$14,Paramètres!$A$1:$I$89,3,0)*VLOOKUP('Données projet'!$B$14,Paramètres!$A$1:$I$89,5,0)</f>
        <v>253.86019999999962</v>
      </c>
      <c r="DQ120" s="13">
        <f t="shared" si="97"/>
        <v>61.41180598640338</v>
      </c>
      <c r="DR120" s="20">
        <f t="shared" si="70"/>
        <v>549.09874375965182</v>
      </c>
      <c r="DS120" s="59">
        <f t="shared" si="71"/>
        <v>833.67770086033966</v>
      </c>
      <c r="DT120" s="59">
        <f ca="1">AVERAGE(OFFSET($DS$3,0,0,'Données projet'!$E$14+1,1))-AVERAGE(OFFSET($H$3,0,0,'Données projet'!$E$14+1,1))</f>
        <v>434.77799524785502</v>
      </c>
      <c r="DU120" s="59">
        <f t="shared" si="98"/>
        <v>259.85949838170006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39.237792475139756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39.237792475139756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67.612442845642121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5.3066239316239274</v>
      </c>
      <c r="EJ120" s="12">
        <f>IF('Données projet'!$A$192&gt;35,EJ119+EI120-ER119,IF(A120&lt;'Données projet'!$A$192,$EG$205^A120,IF(A120='Données projet'!$A$192,'Données projet'!$B$192,EJ119+EI120-ER119)))</f>
        <v>235.84188034188</v>
      </c>
      <c r="EK120" s="17">
        <f>EJ120*VLOOKUP('Données projet'!$B$15,Paramètres!$A$1:$I$89,3,0)*VLOOKUP('Données projet'!$B$15,Paramètres!$A$1:$I$89,5,0)</f>
        <v>228.10626666666633</v>
      </c>
      <c r="EL120" s="13">
        <f t="shared" si="99"/>
        <v>55.873015288675091</v>
      </c>
      <c r="EM120" s="20">
        <f t="shared" si="73"/>
        <v>494.59724940555299</v>
      </c>
      <c r="EN120" s="59">
        <f t="shared" si="74"/>
        <v>779.17620650624076</v>
      </c>
      <c r="EO120" s="59">
        <f ca="1">AVERAGE(OFFSET($EN$3,0,0,'Données projet'!$E$15+1,1))-AVERAGE(OFFSET($H$3,0,0,'Données projet'!$E$15+1,1))</f>
        <v>398.06270423055565</v>
      </c>
      <c r="EP120" s="59">
        <f t="shared" si="100"/>
        <v>239.15364562040614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35.257146861719797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35.257146861719797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67.612442845642121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-1.7053025658242404E-13</v>
      </c>
      <c r="FF120" s="17">
        <f>FE120*VLOOKUP('Données projet'!$B$16,Paramètres!$A$1:$I$89,3,0)*VLOOKUP('Données projet'!$B$16,Paramètres!$A$1:$I$89,5,0)</f>
        <v>-1.0197709343628959E-13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334.13861979962491</v>
      </c>
      <c r="FK120" s="59">
        <f t="shared" si="102"/>
        <v>416.48635183664305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48.655278027652678</v>
      </c>
      <c r="FR120" s="21">
        <f>EXP(-LN(2)/25)*FR119+(1-EXP(-LN(2)/25))/(LN(2)/25)*Calculateur!FM120*Calculateur!FO120*VLOOKUP('Données projet'!$B$16,Paramètres!$A$1:$I$89,3,0)*0.475*44/12</f>
        <v>8.1454438665012425</v>
      </c>
      <c r="FS120" s="21">
        <f>EXP(-LN(2)/2)*FS119+(1-EXP(-LN(2)/2))/(LN(2)/2)*FM120*FP120*VLOOKUP('Données projet'!$B$16,Paramètres!$A$1:$I$89,3,0)*0.475*44/12</f>
        <v>2.6609393671899747E-8</v>
      </c>
      <c r="FT120" s="22">
        <f t="shared" si="78"/>
        <v>56.800721920763316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67.612442845642121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3.4106051316484809E-13</v>
      </c>
      <c r="GA120" s="17">
        <f>FZ120*VLOOKUP('Données projet'!$B$17,Paramètres!$A$1:$I$89,3,0)*VLOOKUP('Données projet'!$B$17,Paramètres!$A$1:$I$89,5,0)</f>
        <v>1.5961632016114892E-13</v>
      </c>
      <c r="GB120" s="13">
        <f t="shared" si="103"/>
        <v>2.2708641912150958E-12</v>
      </c>
      <c r="GC120" s="20">
        <f t="shared" si="79"/>
        <v>4.2330868906469593E-12</v>
      </c>
      <c r="GD120" s="59">
        <f t="shared" si="80"/>
        <v>284.57895710069198</v>
      </c>
      <c r="GE120" s="59">
        <f ca="1">AVERAGE(OFFSET($GD$3,0,0,'Données projet'!$E$17+1,1))-AVERAGE(OFFSET($H$3,0,0,'Données projet'!$E$17+1,1))</f>
        <v>317.79829681023142</v>
      </c>
      <c r="GF120" s="59">
        <f t="shared" si="104"/>
        <v>275.07716943523621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138.15790973660052</v>
      </c>
      <c r="GM120" s="21">
        <f>EXP(-LN(2)/25)*GM119+(1-EXP(-LN(2)/25))/(LN(2)/25)*Calculateur!GH120*Calculateur!GJ120*VLOOKUP('Données projet'!$B$17,Paramètres!$A$1:$I$89,3,0)*0.475*44/12</f>
        <v>31.490506547679136</v>
      </c>
      <c r="GN120" s="21">
        <f>EXP(-LN(2)/2)*GN119+(1-EXP(-LN(2)/2))/(LN(2)/2)*GH120*GK120*VLOOKUP('Données projet'!$B$17,Paramètres!$A$1:$I$89,3,0)*0.475*44/12</f>
        <v>0.34666626943988349</v>
      </c>
      <c r="GO120" s="21">
        <f t="shared" si="81"/>
        <v>169.99508255371953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67.612442845642121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>
        <f>GU120*VLOOKUP('Données projet'!$B$18,Paramètres!$A$1:$I$89,3,0)*VLOOKUP('Données projet'!$B$18,Paramètres!$A$1:$I$89,5,0)</f>
        <v>0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336.21787234885699</v>
      </c>
      <c r="HA120" s="59">
        <f t="shared" si="106"/>
        <v>315.36156736899113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82.97811467449074</v>
      </c>
      <c r="HH120" s="21">
        <f>EXP(-LN(2)/25)*HH119+(1-EXP(-LN(2)/25))/(LN(2)/25)*Calculateur!HC120*Calculateur!HE120*VLOOKUP('Données projet'!$B$18,Paramètres!$A$1:$I$89,3,0)*0.475*44/12</f>
        <v>15.059405721202676</v>
      </c>
      <c r="HI120" s="21">
        <f>EXP(-LN(2)/2)*HI119+(1-EXP(-LN(2)/2))/(LN(2)/2)*HC120*HF120*VLOOKUP('Données projet'!$B$18,Paramètres!$A$1:$I$89,3,0)*0.475*44/12</f>
        <v>3.3576169114958043E-6</v>
      </c>
      <c r="HJ120" s="22">
        <f t="shared" si="84"/>
        <v>98.037523753310325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3.7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13.566666666666668</v>
      </c>
      <c r="H121" s="67">
        <f t="shared" si="56"/>
        <v>202.4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67.65386162449208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350.49358974359023</v>
      </c>
      <c r="O121" s="13">
        <f>N121*VLOOKUP('Données projet'!$B$9,Paramètres!$A$1:$I$89,3,0)*VLOOKUP('Données projet'!$B$9,Paramètres!$A$1:$I$89,5,0)</f>
        <v>317.12660000000039</v>
      </c>
      <c r="P121" s="13">
        <f t="shared" si="87"/>
        <v>74.755173417545677</v>
      </c>
      <c r="Q121" s="20">
        <f t="shared" si="107"/>
        <v>682.52742203555931</v>
      </c>
      <c r="R121" s="59">
        <f t="shared" si="55"/>
        <v>967.25824799203019</v>
      </c>
      <c r="S121" s="59">
        <f ca="1">AVERAGE(OFFSET($R$3,0,0,'Données projet'!$E$9+1,1))-AVERAGE(OFFSET($H$3,0,0,'Données projet'!$E$9+1,1))</f>
        <v>411.64357329340851</v>
      </c>
      <c r="T121" s="59">
        <f t="shared" si="88"/>
        <v>294.07942258675632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50.345280785457291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50.345280785457291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67.65386162449208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6.8461538461538511</v>
      </c>
      <c r="AI121" s="13">
        <f>IF('Données projet'!$A$62&gt;35,AI120+AH121-AQ120,IF(A121&lt;'Données projet'!$A$62,$AF$205^A121,IF(A121='Données projet'!$A$62,'Données projet'!$B$62,AI120+AH121-AQ120)))</f>
        <v>350.49358974359023</v>
      </c>
      <c r="AJ121" s="13">
        <f>AI121*VLOOKUP('Données projet'!$B$10,Paramètres!$A$1:$I$89,3,0)*VLOOKUP('Données projet'!$B$10,Paramètres!$A$1:$I$89,5,0)</f>
        <v>355.40050000000053</v>
      </c>
      <c r="AK121" s="13">
        <f t="shared" si="89"/>
        <v>82.673537340753484</v>
      </c>
      <c r="AL121" s="20">
        <f t="shared" si="58"/>
        <v>762.97894836847979</v>
      </c>
      <c r="AM121" s="59">
        <f t="shared" si="59"/>
        <v>1047.7097743249508</v>
      </c>
      <c r="AN121" s="59">
        <f ca="1">AVERAGE(OFFSET($AM$3,0,0,'Données projet'!$E$10+1,1))-AVERAGE(OFFSET($H$3,0,0,'Données projet'!$E$10+1,1))</f>
        <v>453.05577105995508</v>
      </c>
      <c r="AO121" s="59">
        <f t="shared" si="90"/>
        <v>322.6839824496758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56.421435363012492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56.421435363012492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67.65386162449208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4.7948717948717956</v>
      </c>
      <c r="BD121" s="12">
        <f>IF('Données projet'!$A$88&gt;35,BD120+BC121-BL120,IF(A121&lt;'Données projet'!$A$88,$BA$205^A121,IF(A121='Données projet'!$A$88,'Données projet'!$B$88,BD120+BC121-BL120)))</f>
        <v>202.75000000000011</v>
      </c>
      <c r="BE121" s="13">
        <f>BD121*VLOOKUP('Données projet'!$B$11,Paramètres!$A$1:$I$89,3,0)*VLOOKUP('Données projet'!$B$11,Paramètres!$A$1:$I$89,5,0)</f>
        <v>202.42560000000012</v>
      </c>
      <c r="BF121" s="13">
        <f t="shared" si="91"/>
        <v>50.276866607459766</v>
      </c>
      <c r="BG121" s="20">
        <f t="shared" si="61"/>
        <v>440.12346267465927</v>
      </c>
      <c r="BH121" s="59">
        <f t="shared" si="62"/>
        <v>724.8542886311302</v>
      </c>
      <c r="BI121" s="59">
        <f ca="1">AVERAGE(OFFSET($BH$3,0,0,'Données projet'!$E$11+1,1))-AVERAGE(OFFSET($H$3,0,0,'Données projet'!$E$11+1,1))</f>
        <v>411.38162678377478</v>
      </c>
      <c r="BJ121" s="59">
        <f t="shared" si="92"/>
        <v>177.89903563360403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16.02623562514367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16.02623562514367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67.65386162449208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212.00000000000009</v>
      </c>
      <c r="BZ121" s="13">
        <f>BY121*VLOOKUP('Données projet'!$B$12,Paramètres!$A$1:$I$89,3,0)*VLOOKUP('Données projet'!$B$12,Paramètres!$A$1:$I$89,5,0)</f>
        <v>221.58240000000012</v>
      </c>
      <c r="CA121" s="13">
        <f t="shared" si="93"/>
        <v>54.458668952651578</v>
      </c>
      <c r="CB121" s="20">
        <f t="shared" si="64"/>
        <v>480.77152842586838</v>
      </c>
      <c r="CC121" s="59">
        <f t="shared" si="65"/>
        <v>765.50235438233926</v>
      </c>
      <c r="CD121" s="59">
        <f ca="1">AVERAGE(OFFSET($CC$3,0,0,'Données projet'!$E$12+1,1))-AVERAGE(OFFSET($H$3,0,0,'Données projet'!$E$12+1,1))</f>
        <v>374.38550202939507</v>
      </c>
      <c r="CE121" s="59">
        <f t="shared" si="94"/>
        <v>324.37486924296718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12.510176965910798</v>
      </c>
      <c r="CL121" s="21">
        <f>EXP(-LN(2)/25)*CL120+(1-EXP(-LN(2)/25))/(LN(2)/25)*Calculateur!CG121*Calculateur!CI121*VLOOKUP('Données projet'!$B$12,Paramètres!$A$1:$I$89,3,0)*0.475*44/12</f>
        <v>10.15952980130098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22.669706767211778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67.65386162449208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5.3066239316239274</v>
      </c>
      <c r="CT121" s="12">
        <f>IF('Données projet'!$A$140&gt;35,CT120+CS121-DB120,IF(A121&lt;'Données projet'!$A$140,$CQ$205^A121,IF(A121='Données projet'!$A$140,'Données projet'!$B$140,CT120+CS121-DB120)))</f>
        <v>241.14850427350393</v>
      </c>
      <c r="CU121" s="17">
        <f>CT121*VLOOKUP('Données projet'!$B$13,Paramètres!$A$1:$I$89,3,0)*VLOOKUP('Données projet'!$B$13,Paramètres!$A$1:$I$89,5,0)</f>
        <v>229.47691666666634</v>
      </c>
      <c r="CV121" s="13">
        <f t="shared" si="95"/>
        <v>56.169563701486098</v>
      </c>
      <c r="CW121" s="20">
        <f t="shared" si="67"/>
        <v>497.50095330786547</v>
      </c>
      <c r="CX121" s="59">
        <f t="shared" si="68"/>
        <v>782.23177926433641</v>
      </c>
      <c r="CY121" s="59">
        <f ca="1">AVERAGE(OFFSET($CX$3,0,0,'Données projet'!$E$13+1,1))-AVERAGE(OFFSET($H$3,0,0,'Données projet'!$E$13+1,1))</f>
        <v>392.81074187112989</v>
      </c>
      <c r="CZ121" s="59">
        <f t="shared" si="96"/>
        <v>236.19146849073687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34.008263204941215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34.008263204941215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67.65386162449208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5.3066239316239274</v>
      </c>
      <c r="DO121" s="12">
        <f>IF('Données projet'!$A$166&gt;35,DO120+DN121-DW120,IF(A121&lt;'Données projet'!$A$166,$DL$205^A121,IF(A121='Données projet'!$A$166,'Données projet'!$B$166,DO120+DN121-DW120)))</f>
        <v>241.14850427350393</v>
      </c>
      <c r="DP121" s="17">
        <f>DO121*VLOOKUP('Données projet'!$B$14,Paramètres!$A$1:$I$89,3,0)*VLOOKUP('Données projet'!$B$14,Paramètres!$A$1:$I$89,5,0)</f>
        <v>259.5722499999996</v>
      </c>
      <c r="DQ121" s="13">
        <f t="shared" si="97"/>
        <v>62.631190206173727</v>
      </c>
      <c r="DR121" s="20">
        <f t="shared" si="70"/>
        <v>561.17099169241851</v>
      </c>
      <c r="DS121" s="59">
        <f t="shared" si="71"/>
        <v>845.90181764888939</v>
      </c>
      <c r="DT121" s="59">
        <f ca="1">AVERAGE(OFFSET($DS$3,0,0,'Données projet'!$E$14+1,1))-AVERAGE(OFFSET($H$3,0,0,'Données projet'!$E$14+1,1))</f>
        <v>434.77799524785502</v>
      </c>
      <c r="DU121" s="59">
        <f t="shared" si="98"/>
        <v>259.85949838170006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38.468363297392521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38.468363297392521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67.65386162449208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5.3066239316239274</v>
      </c>
      <c r="EJ121" s="12">
        <f>IF('Données projet'!$A$192&gt;35,EJ120+EI121-ER120,IF(A121&lt;'Données projet'!$A$192,$EG$205^A121,IF(A121='Données projet'!$A$192,'Données projet'!$B$192,EJ120+EI121-ER120)))</f>
        <v>241.14850427350393</v>
      </c>
      <c r="EK121" s="17">
        <f>EJ121*VLOOKUP('Données projet'!$B$15,Paramètres!$A$1:$I$89,3,0)*VLOOKUP('Données projet'!$B$15,Paramètres!$A$1:$I$89,5,0)</f>
        <v>233.23883333333302</v>
      </c>
      <c r="EL121" s="13">
        <f t="shared" si="99"/>
        <v>56.982422055984379</v>
      </c>
      <c r="EM121" s="20">
        <f t="shared" si="73"/>
        <v>505.4686864697278</v>
      </c>
      <c r="EN121" s="59">
        <f t="shared" si="74"/>
        <v>790.19951242619868</v>
      </c>
      <c r="EO121" s="59">
        <f ca="1">AVERAGE(OFFSET($EN$3,0,0,'Données projet'!$E$15+1,1))-AVERAGE(OFFSET($H$3,0,0,'Données projet'!$E$15+1,1))</f>
        <v>398.06270423055565</v>
      </c>
      <c r="EP121" s="59">
        <f t="shared" si="100"/>
        <v>239.15364562040614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34.56577571649764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34.56577571649764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67.65386162449208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-1.7053025658242404E-13</v>
      </c>
      <c r="FF121" s="17">
        <f>FE121*VLOOKUP('Données projet'!$B$16,Paramètres!$A$1:$I$89,3,0)*VLOOKUP('Données projet'!$B$16,Paramètres!$A$1:$I$89,5,0)</f>
        <v>-1.0197709343628959E-13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334.13861979962491</v>
      </c>
      <c r="FK121" s="59">
        <f t="shared" si="102"/>
        <v>416.48635183664305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47.701177702319669</v>
      </c>
      <c r="FR121" s="21">
        <f>EXP(-LN(2)/25)*FR120+(1-EXP(-LN(2)/25))/(LN(2)/25)*Calculateur!FM121*Calculateur!FO121*VLOOKUP('Données projet'!$B$16,Paramètres!$A$1:$I$89,3,0)*0.475*44/12</f>
        <v>7.9227062756214899</v>
      </c>
      <c r="FS121" s="21">
        <f>EXP(-LN(2)/2)*FS120+(1-EXP(-LN(2)/2))/(LN(2)/2)*FM121*FP121*VLOOKUP('Données projet'!$B$16,Paramètres!$A$1:$I$89,3,0)*0.475*44/12</f>
        <v>1.8815682708662716E-8</v>
      </c>
      <c r="FT121" s="22">
        <f t="shared" si="78"/>
        <v>55.623883996756845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67.65386162449208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3.4106051316484809E-13</v>
      </c>
      <c r="GA121" s="17">
        <f>FZ121*VLOOKUP('Données projet'!$B$17,Paramètres!$A$1:$I$89,3,0)*VLOOKUP('Données projet'!$B$17,Paramètres!$A$1:$I$89,5,0)</f>
        <v>1.5961632016114892E-13</v>
      </c>
      <c r="GB121" s="13">
        <f t="shared" si="103"/>
        <v>2.2708641912150958E-12</v>
      </c>
      <c r="GC121" s="20">
        <f t="shared" si="79"/>
        <v>4.2330868906469593E-12</v>
      </c>
      <c r="GD121" s="59">
        <f t="shared" si="80"/>
        <v>284.73082595647514</v>
      </c>
      <c r="GE121" s="59">
        <f ca="1">AVERAGE(OFFSET($GD$3,0,0,'Données projet'!$E$17+1,1))-AVERAGE(OFFSET($H$3,0,0,'Données projet'!$E$17+1,1))</f>
        <v>317.79829681023142</v>
      </c>
      <c r="GF121" s="59">
        <f t="shared" si="104"/>
        <v>275.07716943523621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135.44871739466996</v>
      </c>
      <c r="GM121" s="21">
        <f>EXP(-LN(2)/25)*GM120+(1-EXP(-LN(2)/25))/(LN(2)/25)*Calculateur!GH121*Calculateur!GJ121*VLOOKUP('Données projet'!$B$17,Paramètres!$A$1:$I$89,3,0)*0.475*44/12</f>
        <v>30.629396990119083</v>
      </c>
      <c r="GN121" s="21">
        <f>EXP(-LN(2)/2)*GN120+(1-EXP(-LN(2)/2))/(LN(2)/2)*GH121*GK121*VLOOKUP('Données projet'!$B$17,Paramètres!$A$1:$I$89,3,0)*0.475*44/12</f>
        <v>0.24513006992958444</v>
      </c>
      <c r="GO121" s="21">
        <f t="shared" si="81"/>
        <v>166.32324445471863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67.65386162449208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>
        <f>GU121*VLOOKUP('Données projet'!$B$18,Paramètres!$A$1:$I$89,3,0)*VLOOKUP('Données projet'!$B$18,Paramètres!$A$1:$I$89,5,0)</f>
        <v>0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336.21787234885699</v>
      </c>
      <c r="HA121" s="59">
        <f t="shared" si="106"/>
        <v>315.36156736899113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81.350964457376449</v>
      </c>
      <c r="HH121" s="21">
        <f>EXP(-LN(2)/25)*HH120+(1-EXP(-LN(2)/25))/(LN(2)/25)*Calculateur!HC121*Calculateur!HE121*VLOOKUP('Données projet'!$B$18,Paramètres!$A$1:$I$89,3,0)*0.475*44/12</f>
        <v>14.647605479816662</v>
      </c>
      <c r="HI121" s="21">
        <f>EXP(-LN(2)/2)*HI120+(1-EXP(-LN(2)/2))/(LN(2)/2)*HC121*HF121*VLOOKUP('Données projet'!$B$18,Paramètres!$A$1:$I$89,3,0)*0.475*44/12</f>
        <v>2.3741936867453151E-6</v>
      </c>
      <c r="HJ121" s="22">
        <f t="shared" si="84"/>
        <v>95.998572311386795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3.7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13.566666666666668</v>
      </c>
      <c r="H122" s="67">
        <f t="shared" si="56"/>
        <v>202.4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67.694561880127523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357.3397435897441</v>
      </c>
      <c r="O122" s="13">
        <f>N122*VLOOKUP('Données projet'!$B$9,Paramètres!$A$1:$I$89,3,0)*VLOOKUP('Données projet'!$B$9,Paramètres!$A$1:$I$89,5,0)</f>
        <v>323.32100000000048</v>
      </c>
      <c r="P122" s="13">
        <f t="shared" si="87"/>
        <v>76.043936534151186</v>
      </c>
      <c r="Q122" s="20">
        <f t="shared" si="107"/>
        <v>695.56059779698069</v>
      </c>
      <c r="R122" s="59">
        <f t="shared" si="55"/>
        <v>980.44065802411501</v>
      </c>
      <c r="S122" s="59">
        <f ca="1">AVERAGE(OFFSET($R$3,0,0,'Données projet'!$E$9+1,1))-AVERAGE(OFFSET($H$3,0,0,'Données projet'!$E$9+1,1))</f>
        <v>411.64357329340851</v>
      </c>
      <c r="T122" s="59">
        <f t="shared" si="88"/>
        <v>294.07942258675632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0.38700000000000001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107.43129413735127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107.43129413735127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67.694561880127523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357.33974358974359</v>
      </c>
      <c r="AG122" s="12">
        <f>VLOOKUP(A122,'Données projet'!$A$61:$I$81,9,0)</f>
        <v>6.8461538461538511</v>
      </c>
      <c r="AH122" s="12">
        <f t="array" ref="AH122">INDEX(AG:AG,MIN(IF(ISNUMBER(AG122:AG318),ROW(AG122:AG318),"")))</f>
        <v>6.8461538461538511</v>
      </c>
      <c r="AI122" s="13">
        <f>IF('Données projet'!$A$62&gt;35,AI121+AH122-AQ121,IF(A122&lt;'Données projet'!$A$62,$AF$205^A122,IF(A122='Données projet'!$A$62,'Données projet'!$B$62,AI121+AH122-AQ121)))</f>
        <v>357.3397435897441</v>
      </c>
      <c r="AJ122" s="13">
        <f>AI122*VLOOKUP('Données projet'!$B$10,Paramètres!$A$1:$I$89,3,0)*VLOOKUP('Données projet'!$B$10,Paramètres!$A$1:$I$89,5,0)</f>
        <v>362.34250000000054</v>
      </c>
      <c r="AK122" s="13">
        <f t="shared" si="89"/>
        <v>84.098811348867258</v>
      </c>
      <c r="AL122" s="20">
        <f t="shared" si="58"/>
        <v>777.55195059927792</v>
      </c>
      <c r="AM122" s="59">
        <f t="shared" si="59"/>
        <v>1062.4320108264121</v>
      </c>
      <c r="AN122" s="59">
        <f ca="1">AVERAGE(OFFSET($AM$3,0,0,'Données projet'!$E$10+1,1))-AVERAGE(OFFSET($H$3,0,0,'Données projet'!$E$10+1,1))</f>
        <v>453.05577105995508</v>
      </c>
      <c r="AO122" s="59">
        <f t="shared" si="90"/>
        <v>322.6839824496758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150.02564102564102</v>
      </c>
      <c r="AR122" s="16">
        <f>IF(ISNA(VLOOKUP(A122,'Données projet'!$A$61:$I$81,5,0)),0%,VLOOKUP(A122,'Données projet'!$A$61:$I$81,5,0)*VLOOKUP('Données projet'!$B$10,Paramètres!$A$1:$I$89,7,0))</f>
        <v>0.38700000000000001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120.39713998151436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120.39713998151436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67.694561880127523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4.7948717948717956</v>
      </c>
      <c r="BD122" s="12">
        <f>IF('Données projet'!$A$88&gt;35,BD121+BC122-BL121,IF(A122&lt;'Données projet'!$A$88,$BA$205^A122,IF(A122='Données projet'!$A$88,'Données projet'!$B$88,BD121+BC122-BL121)))</f>
        <v>207.54487179487191</v>
      </c>
      <c r="BE122" s="13">
        <f>BD122*VLOOKUP('Données projet'!$B$11,Paramètres!$A$1:$I$89,3,0)*VLOOKUP('Données projet'!$B$11,Paramètres!$A$1:$I$89,5,0)</f>
        <v>207.21280000000016</v>
      </c>
      <c r="BF122" s="13">
        <f t="shared" si="91"/>
        <v>51.326039552913265</v>
      </c>
      <c r="BG122" s="20">
        <f t="shared" si="61"/>
        <v>450.28847888799083</v>
      </c>
      <c r="BH122" s="59">
        <f t="shared" si="62"/>
        <v>735.1685391151251</v>
      </c>
      <c r="BI122" s="59">
        <f ca="1">AVERAGE(OFFSET($BH$3,0,0,'Données projet'!$E$11+1,1))-AVERAGE(OFFSET($H$3,0,0,'Données projet'!$E$11+1,1))</f>
        <v>411.38162678377478</v>
      </c>
      <c r="BJ122" s="59">
        <f t="shared" si="92"/>
        <v>177.89903563360403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15.71197091957313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15.71197091957313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67.694561880127523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212.00000000000009</v>
      </c>
      <c r="BZ122" s="13">
        <f>BY122*VLOOKUP('Données projet'!$B$12,Paramètres!$A$1:$I$89,3,0)*VLOOKUP('Données projet'!$B$12,Paramètres!$A$1:$I$89,5,0)</f>
        <v>221.58240000000012</v>
      </c>
      <c r="CA122" s="13">
        <f t="shared" si="93"/>
        <v>54.458668952651578</v>
      </c>
      <c r="CB122" s="20">
        <f t="shared" si="64"/>
        <v>480.77152842586838</v>
      </c>
      <c r="CC122" s="59">
        <f t="shared" si="65"/>
        <v>765.65158865300259</v>
      </c>
      <c r="CD122" s="59">
        <f ca="1">AVERAGE(OFFSET($CC$3,0,0,'Données projet'!$E$12+1,1))-AVERAGE(OFFSET($H$3,0,0,'Données projet'!$E$12+1,1))</f>
        <v>374.38550202939507</v>
      </c>
      <c r="CE122" s="59">
        <f t="shared" si="94"/>
        <v>324.37486924296718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12.264860026063792</v>
      </c>
      <c r="CL122" s="21">
        <f>EXP(-LN(2)/25)*CL121+(1-EXP(-LN(2)/25))/(LN(2)/25)*Calculateur!CG122*Calculateur!CI122*VLOOKUP('Données projet'!$B$12,Paramètres!$A$1:$I$89,3,0)*0.475*44/12</f>
        <v>9.8817169246179528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22.146576950681744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67.694561880127523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5.3066239316239274</v>
      </c>
      <c r="CT122" s="12">
        <f>IF('Données projet'!$A$140&gt;35,CT121+CS122-DB121,IF(A122&lt;'Données projet'!$A$140,$CQ$205^A122,IF(A122='Données projet'!$A$140,'Données projet'!$B$140,CT121+CS122-DB121)))</f>
        <v>246.45512820512786</v>
      </c>
      <c r="CU122" s="17">
        <f>CT122*VLOOKUP('Données projet'!$B$13,Paramètres!$A$1:$I$89,3,0)*VLOOKUP('Données projet'!$B$13,Paramètres!$A$1:$I$89,5,0)</f>
        <v>234.52669999999969</v>
      </c>
      <c r="CV122" s="13">
        <f t="shared" si="95"/>
        <v>57.260346888704206</v>
      </c>
      <c r="CW122" s="20">
        <f t="shared" si="67"/>
        <v>508.19577333115927</v>
      </c>
      <c r="CX122" s="59">
        <f t="shared" si="68"/>
        <v>793.07583355829354</v>
      </c>
      <c r="CY122" s="59">
        <f ca="1">AVERAGE(OFFSET($CX$3,0,0,'Données projet'!$E$13+1,1))-AVERAGE(OFFSET($H$3,0,0,'Données projet'!$E$13+1,1))</f>
        <v>392.81074187112989</v>
      </c>
      <c r="CZ122" s="59">
        <f t="shared" si="96"/>
        <v>236.19146849073687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33.341381906484671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33.341381906484671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67.694561880127523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5.3066239316239274</v>
      </c>
      <c r="DO122" s="12">
        <f>IF('Données projet'!$A$166&gt;35,DO121+DN122-DW121,IF(A122&lt;'Données projet'!$A$166,$DL$205^A122,IF(A122='Données projet'!$A$166,'Données projet'!$B$166,DO121+DN122-DW121)))</f>
        <v>246.45512820512786</v>
      </c>
      <c r="DP122" s="17">
        <f>DO122*VLOOKUP('Données projet'!$B$14,Paramètres!$A$1:$I$89,3,0)*VLOOKUP('Données projet'!$B$14,Paramètres!$A$1:$I$89,5,0)</f>
        <v>265.28429999999963</v>
      </c>
      <c r="DQ122" s="13">
        <f t="shared" si="97"/>
        <v>63.847454758902479</v>
      </c>
      <c r="DR122" s="20">
        <f t="shared" si="70"/>
        <v>573.23780620508774</v>
      </c>
      <c r="DS122" s="59">
        <f t="shared" si="71"/>
        <v>858.11786643222194</v>
      </c>
      <c r="DT122" s="59">
        <f ca="1">AVERAGE(OFFSET($DS$3,0,0,'Données projet'!$E$14+1,1))-AVERAGE(OFFSET($H$3,0,0,'Données projet'!$E$14+1,1))</f>
        <v>434.77799524785502</v>
      </c>
      <c r="DU122" s="59">
        <f t="shared" si="98"/>
        <v>259.85949838170006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37.714022156515448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37.714022156515448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67.694561880127523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5.3066239316239274</v>
      </c>
      <c r="EJ122" s="12">
        <f>IF('Données projet'!$A$192&gt;35,EJ121+EI122-ER121,IF(A122&lt;'Données projet'!$A$192,$EG$205^A122,IF(A122='Données projet'!$A$192,'Données projet'!$B$192,EJ121+EI122-ER121)))</f>
        <v>246.45512820512786</v>
      </c>
      <c r="EK122" s="17">
        <f>EJ122*VLOOKUP('Données projet'!$B$15,Paramètres!$A$1:$I$89,3,0)*VLOOKUP('Données projet'!$B$15,Paramètres!$A$1:$I$89,5,0)</f>
        <v>238.37139999999968</v>
      </c>
      <c r="EL122" s="13">
        <f t="shared" si="99"/>
        <v>58.088990522066126</v>
      </c>
      <c r="EM122" s="20">
        <f t="shared" si="73"/>
        <v>516.33518015926472</v>
      </c>
      <c r="EN122" s="59">
        <f t="shared" si="74"/>
        <v>801.21524038639905</v>
      </c>
      <c r="EO122" s="59">
        <f ca="1">AVERAGE(OFFSET($EN$3,0,0,'Données projet'!$E$15+1,1))-AVERAGE(OFFSET($H$3,0,0,'Données projet'!$E$15+1,1))</f>
        <v>398.06270423055565</v>
      </c>
      <c r="EP122" s="59">
        <f t="shared" si="100"/>
        <v>239.15364562040614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33.887961937738531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33.887961937738531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67.694561880127523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-1.7053025658242404E-13</v>
      </c>
      <c r="FF122" s="17">
        <f>FE122*VLOOKUP('Données projet'!$B$16,Paramètres!$A$1:$I$89,3,0)*VLOOKUP('Données projet'!$B$16,Paramètres!$A$1:$I$89,5,0)</f>
        <v>-1.0197709343628959E-13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334.13861979962491</v>
      </c>
      <c r="FK122" s="59">
        <f t="shared" si="102"/>
        <v>416.48635183664305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46.765786702422702</v>
      </c>
      <c r="FR122" s="21">
        <f>EXP(-LN(2)/25)*FR121+(1-EXP(-LN(2)/25))/(LN(2)/25)*Calculateur!FM122*Calculateur!FO122*VLOOKUP('Données projet'!$B$16,Paramètres!$A$1:$I$89,3,0)*0.475*44/12</f>
        <v>7.7060594558776048</v>
      </c>
      <c r="FS122" s="21">
        <f>EXP(-LN(2)/2)*FS121+(1-EXP(-LN(2)/2))/(LN(2)/2)*FM122*FP122*VLOOKUP('Données projet'!$B$16,Paramètres!$A$1:$I$89,3,0)*0.475*44/12</f>
        <v>1.3304696835949873E-8</v>
      </c>
      <c r="FT122" s="22">
        <f t="shared" si="78"/>
        <v>54.471846171605009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67.694561880127523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3.4106051316484809E-13</v>
      </c>
      <c r="GA122" s="17">
        <f>FZ122*VLOOKUP('Données projet'!$B$17,Paramètres!$A$1:$I$89,3,0)*VLOOKUP('Données projet'!$B$17,Paramètres!$A$1:$I$89,5,0)</f>
        <v>1.5961632016114892E-13</v>
      </c>
      <c r="GB122" s="13">
        <f t="shared" si="103"/>
        <v>2.2708641912150958E-12</v>
      </c>
      <c r="GC122" s="20">
        <f t="shared" si="79"/>
        <v>4.2330868906469593E-12</v>
      </c>
      <c r="GD122" s="59">
        <f t="shared" si="80"/>
        <v>284.88006022713847</v>
      </c>
      <c r="GE122" s="59">
        <f ca="1">AVERAGE(OFFSET($GD$3,0,0,'Données projet'!$E$17+1,1))-AVERAGE(OFFSET($H$3,0,0,'Données projet'!$E$17+1,1))</f>
        <v>317.79829681023142</v>
      </c>
      <c r="GF122" s="59">
        <f t="shared" si="104"/>
        <v>275.07716943523621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132.79265066212048</v>
      </c>
      <c r="GM122" s="21">
        <f>EXP(-LN(2)/25)*GM121+(1-EXP(-LN(2)/25))/(LN(2)/25)*Calculateur!GH122*Calculateur!GJ122*VLOOKUP('Données projet'!$B$17,Paramètres!$A$1:$I$89,3,0)*0.475*44/12</f>
        <v>29.791834518694294</v>
      </c>
      <c r="GN122" s="21">
        <f>EXP(-LN(2)/2)*GN121+(1-EXP(-LN(2)/2))/(LN(2)/2)*GH122*GK122*VLOOKUP('Données projet'!$B$17,Paramètres!$A$1:$I$89,3,0)*0.475*44/12</f>
        <v>0.17333313471994177</v>
      </c>
      <c r="GO122" s="21">
        <f t="shared" si="81"/>
        <v>162.75781831553471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67.694561880127523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>
        <f>GU122*VLOOKUP('Données projet'!$B$18,Paramètres!$A$1:$I$89,3,0)*VLOOKUP('Données projet'!$B$18,Paramètres!$A$1:$I$89,5,0)</f>
        <v>0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336.21787234885699</v>
      </c>
      <c r="HA122" s="59">
        <f t="shared" si="106"/>
        <v>315.36156736899113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79.75572166355613</v>
      </c>
      <c r="HH122" s="21">
        <f>EXP(-LN(2)/25)*HH121+(1-EXP(-LN(2)/25))/(LN(2)/25)*Calculateur!HC122*Calculateur!HE122*VLOOKUP('Données projet'!$B$18,Paramètres!$A$1:$I$89,3,0)*0.475*44/12</f>
        <v>14.24706593768698</v>
      </c>
      <c r="HI122" s="21">
        <f>EXP(-LN(2)/2)*HI121+(1-EXP(-LN(2)/2))/(LN(2)/2)*HC122*HF122*VLOOKUP('Données projet'!$B$18,Paramètres!$A$1:$I$89,3,0)*0.475*44/12</f>
        <v>1.6788084557479021E-6</v>
      </c>
      <c r="HJ122" s="22">
        <f t="shared" si="84"/>
        <v>94.002789280051573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3.7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13.566666666666668</v>
      </c>
      <c r="H123" s="67">
        <f t="shared" si="56"/>
        <v>202.4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67.734556077319837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211.14423076923126</v>
      </c>
      <c r="O123" s="13">
        <f>N123*VLOOKUP('Données projet'!$B$9,Paramètres!$A$1:$I$89,3,0)*VLOOKUP('Données projet'!$B$9,Paramètres!$A$1:$I$89,5,0)</f>
        <v>191.04330000000041</v>
      </c>
      <c r="P123" s="13">
        <f t="shared" si="87"/>
        <v>47.770538104647592</v>
      </c>
      <c r="Q123" s="20">
        <f t="shared" si="107"/>
        <v>415.93410136559527</v>
      </c>
      <c r="R123" s="59">
        <f t="shared" si="55"/>
        <v>700.96080698243463</v>
      </c>
      <c r="S123" s="59">
        <f ca="1">AVERAGE(OFFSET($R$3,0,0,'Données projet'!$E$9+1,1))-AVERAGE(OFFSET($H$3,0,0,'Données projet'!$E$9+1,1))</f>
        <v>411.64357329340851</v>
      </c>
      <c r="T123" s="59">
        <f t="shared" si="88"/>
        <v>294.07942258675632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105.32463198593702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105.32463198593702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67.734556077319837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3.8301282051282044</v>
      </c>
      <c r="AI123" s="13">
        <f>IF('Données projet'!$A$62&gt;35,AI122+AH123-AQ122,IF(A123&lt;'Données projet'!$A$62,$AF$205^A123,IF(A123='Données projet'!$A$62,'Données projet'!$B$62,AI122+AH123-AQ122)))</f>
        <v>211.14423076923126</v>
      </c>
      <c r="AJ123" s="13">
        <f>AI123*VLOOKUP('Données projet'!$B$10,Paramètres!$A$1:$I$89,3,0)*VLOOKUP('Données projet'!$B$10,Paramètres!$A$1:$I$89,5,0)</f>
        <v>214.1002500000005</v>
      </c>
      <c r="AK123" s="13">
        <f t="shared" si="89"/>
        <v>52.83058262367053</v>
      </c>
      <c r="AL123" s="20">
        <f t="shared" si="58"/>
        <v>464.90453348622708</v>
      </c>
      <c r="AM123" s="59">
        <f t="shared" si="59"/>
        <v>749.93123910306645</v>
      </c>
      <c r="AN123" s="59">
        <f ca="1">AVERAGE(OFFSET($AM$3,0,0,'Données projet'!$E$10+1,1))-AVERAGE(OFFSET($H$3,0,0,'Données projet'!$E$10+1,1))</f>
        <v>453.05577105995508</v>
      </c>
      <c r="AO123" s="59">
        <f t="shared" si="90"/>
        <v>322.6839824496758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118.03622550148114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118.03622550148114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67.734556077319837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4.7948717948717956</v>
      </c>
      <c r="BD123" s="12">
        <f>IF('Données projet'!$A$88&gt;35,BD122+BC123-BL122,IF(A123&lt;'Données projet'!$A$88,$BA$205^A123,IF(A123='Données projet'!$A$88,'Données projet'!$B$88,BD122+BC123-BL122)))</f>
        <v>212.3397435897437</v>
      </c>
      <c r="BE123" s="13">
        <f>BD123*VLOOKUP('Données projet'!$B$11,Paramètres!$A$1:$I$89,3,0)*VLOOKUP('Données projet'!$B$11,Paramètres!$A$1:$I$89,5,0)</f>
        <v>212.00000000000011</v>
      </c>
      <c r="BF123" s="13">
        <f t="shared" si="91"/>
        <v>52.372394621085988</v>
      </c>
      <c r="BG123" s="20">
        <f t="shared" si="61"/>
        <v>460.4485872983916</v>
      </c>
      <c r="BH123" s="59">
        <f t="shared" si="62"/>
        <v>745.47529291523097</v>
      </c>
      <c r="BI123" s="59">
        <f ca="1">AVERAGE(OFFSET($BH$3,0,0,'Données projet'!$E$11+1,1))-AVERAGE(OFFSET($H$3,0,0,'Données projet'!$E$11+1,1))</f>
        <v>411.38162678377478</v>
      </c>
      <c r="BJ123" s="59">
        <f t="shared" si="92"/>
        <v>177.89903563360403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15.403868753196283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15.403868753196283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67.734556077319837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212.00000000000009</v>
      </c>
      <c r="BZ123" s="13">
        <f>BY123*VLOOKUP('Données projet'!$B$12,Paramètres!$A$1:$I$89,3,0)*VLOOKUP('Données projet'!$B$12,Paramètres!$A$1:$I$89,5,0)</f>
        <v>221.58240000000012</v>
      </c>
      <c r="CA123" s="13">
        <f t="shared" si="93"/>
        <v>54.458668952651578</v>
      </c>
      <c r="CB123" s="20">
        <f t="shared" si="64"/>
        <v>480.77152842586838</v>
      </c>
      <c r="CC123" s="59">
        <f t="shared" si="65"/>
        <v>765.79823404270769</v>
      </c>
      <c r="CD123" s="59">
        <f ca="1">AVERAGE(OFFSET($CC$3,0,0,'Données projet'!$E$12+1,1))-AVERAGE(OFFSET($H$3,0,0,'Données projet'!$E$12+1,1))</f>
        <v>374.38550202939507</v>
      </c>
      <c r="CE123" s="59">
        <f t="shared" si="94"/>
        <v>324.37486924296718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12.024353601778627</v>
      </c>
      <c r="CL123" s="21">
        <f>EXP(-LN(2)/25)*CL122+(1-EXP(-LN(2)/25))/(LN(2)/25)*Calculateur!CG123*Calculateur!CI123*VLOOKUP('Données projet'!$B$12,Paramètres!$A$1:$I$89,3,0)*0.475*44/12</f>
        <v>9.6115008556573667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21.635854457435993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67.734556077319837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5.3066239316239274</v>
      </c>
      <c r="CT123" s="12">
        <f>IF('Données projet'!$A$140&gt;35,CT122+CS123-DB122,IF(A123&lt;'Données projet'!$A$140,$CQ$205^A123,IF(A123='Données projet'!$A$140,'Données projet'!$B$140,CT122+CS123-DB122)))</f>
        <v>251.7617521367518</v>
      </c>
      <c r="CU123" s="17">
        <f>CT123*VLOOKUP('Données projet'!$B$13,Paramètres!$A$1:$I$89,3,0)*VLOOKUP('Données projet'!$B$13,Paramètres!$A$1:$I$89,5,0)</f>
        <v>239.57648333333302</v>
      </c>
      <c r="CV123" s="13">
        <f t="shared" si="95"/>
        <v>58.348399443663808</v>
      </c>
      <c r="CW123" s="20">
        <f t="shared" si="67"/>
        <v>518.8858375032695</v>
      </c>
      <c r="CX123" s="59">
        <f t="shared" si="68"/>
        <v>803.91254312010892</v>
      </c>
      <c r="CY123" s="59">
        <f ca="1">AVERAGE(OFFSET($CX$3,0,0,'Données projet'!$E$13+1,1))-AVERAGE(OFFSET($H$3,0,0,'Données projet'!$E$13+1,1))</f>
        <v>392.81074187112989</v>
      </c>
      <c r="CZ123" s="59">
        <f t="shared" si="96"/>
        <v>236.19146849073687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32.687577743533431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32.687577743533431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67.734556077319837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5.3066239316239274</v>
      </c>
      <c r="DO123" s="12">
        <f>IF('Données projet'!$A$166&gt;35,DO122+DN123-DW122,IF(A123&lt;'Données projet'!$A$166,$DL$205^A123,IF(A123='Données projet'!$A$166,'Données projet'!$B$166,DO122+DN123-DW122)))</f>
        <v>251.7617521367518</v>
      </c>
      <c r="DP123" s="17">
        <f>DO123*VLOOKUP('Données projet'!$B$14,Paramètres!$A$1:$I$89,3,0)*VLOOKUP('Données projet'!$B$14,Paramètres!$A$1:$I$89,5,0)</f>
        <v>270.99634999999961</v>
      </c>
      <c r="DQ123" s="13">
        <f t="shared" si="97"/>
        <v>65.060674553276314</v>
      </c>
      <c r="DR123" s="20">
        <f t="shared" si="70"/>
        <v>585.29931776362218</v>
      </c>
      <c r="DS123" s="59">
        <f t="shared" si="71"/>
        <v>870.32602338046149</v>
      </c>
      <c r="DT123" s="59">
        <f ca="1">AVERAGE(OFFSET($DS$3,0,0,'Données projet'!$E$14+1,1))-AVERAGE(OFFSET($H$3,0,0,'Données projet'!$E$14+1,1))</f>
        <v>434.77799524785502</v>
      </c>
      <c r="DU123" s="59">
        <f t="shared" si="98"/>
        <v>259.85949838170006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36.974473185308312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36.974473185308312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67.734556077319837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5.3066239316239274</v>
      </c>
      <c r="EJ123" s="12">
        <f>IF('Données projet'!$A$192&gt;35,EJ122+EI123-ER122,IF(A123&lt;'Données projet'!$A$192,$EG$205^A123,IF(A123='Données projet'!$A$192,'Données projet'!$B$192,EJ122+EI123-ER122)))</f>
        <v>251.7617521367518</v>
      </c>
      <c r="EK123" s="17">
        <f>EJ123*VLOOKUP('Données projet'!$B$15,Paramètres!$A$1:$I$89,3,0)*VLOOKUP('Données projet'!$B$15,Paramètres!$A$1:$I$89,5,0)</f>
        <v>243.50396666666632</v>
      </c>
      <c r="EL123" s="13">
        <f t="shared" si="99"/>
        <v>59.192788839519665</v>
      </c>
      <c r="EM123" s="20">
        <f t="shared" si="73"/>
        <v>527.19684917327379</v>
      </c>
      <c r="EN123" s="59">
        <f t="shared" si="74"/>
        <v>812.22355479011321</v>
      </c>
      <c r="EO123" s="59">
        <f ca="1">AVERAGE(OFFSET($EN$3,0,0,'Données projet'!$E$15+1,1))-AVERAGE(OFFSET($H$3,0,0,'Données projet'!$E$15+1,1))</f>
        <v>398.06270423055565</v>
      </c>
      <c r="EP123" s="59">
        <f t="shared" si="100"/>
        <v>239.15364562040614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33.223439673755308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33.223439673755308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67.734556077319837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-1.7053025658242404E-13</v>
      </c>
      <c r="FF123" s="17">
        <f>FE123*VLOOKUP('Données projet'!$B$16,Paramètres!$A$1:$I$89,3,0)*VLOOKUP('Données projet'!$B$16,Paramètres!$A$1:$I$89,5,0)</f>
        <v>-1.0197709343628959E-13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334.13861979962491</v>
      </c>
      <c r="FK123" s="59">
        <f t="shared" si="102"/>
        <v>416.48635183664305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45.848738149501536</v>
      </c>
      <c r="FR123" s="21">
        <f>EXP(-LN(2)/25)*FR122+(1-EXP(-LN(2)/25))/(LN(2)/25)*Calculateur!FM123*Calculateur!FO123*VLOOKUP('Données projet'!$B$16,Paramètres!$A$1:$I$89,3,0)*0.475*44/12</f>
        <v>7.4953368548125772</v>
      </c>
      <c r="FS123" s="21">
        <f>EXP(-LN(2)/2)*FS122+(1-EXP(-LN(2)/2))/(LN(2)/2)*FM123*FP123*VLOOKUP('Données projet'!$B$16,Paramètres!$A$1:$I$89,3,0)*0.475*44/12</f>
        <v>9.4078413543313581E-9</v>
      </c>
      <c r="FT123" s="22">
        <f t="shared" si="78"/>
        <v>53.344075013721955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67.734556077319837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3.4106051316484809E-13</v>
      </c>
      <c r="GA123" s="17">
        <f>FZ123*VLOOKUP('Données projet'!$B$17,Paramètres!$A$1:$I$89,3,0)*VLOOKUP('Données projet'!$B$17,Paramètres!$A$1:$I$89,5,0)</f>
        <v>1.5961632016114892E-13</v>
      </c>
      <c r="GB123" s="13">
        <f t="shared" si="103"/>
        <v>2.2708641912150958E-12</v>
      </c>
      <c r="GC123" s="20">
        <f t="shared" si="79"/>
        <v>4.2330868906469593E-12</v>
      </c>
      <c r="GD123" s="59">
        <f t="shared" si="80"/>
        <v>285.02670561684357</v>
      </c>
      <c r="GE123" s="59">
        <f ca="1">AVERAGE(OFFSET($GD$3,0,0,'Données projet'!$E$17+1,1))-AVERAGE(OFFSET($H$3,0,0,'Données projet'!$E$17+1,1))</f>
        <v>317.79829681023142</v>
      </c>
      <c r="GF123" s="59">
        <f t="shared" si="104"/>
        <v>275.07716943523621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130.18866777815555</v>
      </c>
      <c r="GM123" s="21">
        <f>EXP(-LN(2)/25)*GM122+(1-EXP(-LN(2)/25))/(LN(2)/25)*Calculateur!GH123*Calculateur!GJ123*VLOOKUP('Données projet'!$B$17,Paramètres!$A$1:$I$89,3,0)*0.475*44/12</f>
        <v>28.977175237096112</v>
      </c>
      <c r="GN123" s="21">
        <f>EXP(-LN(2)/2)*GN122+(1-EXP(-LN(2)/2))/(LN(2)/2)*GH123*GK123*VLOOKUP('Données projet'!$B$17,Paramètres!$A$1:$I$89,3,0)*0.475*44/12</f>
        <v>0.12256503496479224</v>
      </c>
      <c r="GO123" s="21">
        <f t="shared" si="81"/>
        <v>159.28840805021645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67.734556077319837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>
        <f>GU123*VLOOKUP('Données projet'!$B$18,Paramètres!$A$1:$I$89,3,0)*VLOOKUP('Données projet'!$B$18,Paramètres!$A$1:$I$89,5,0)</f>
        <v>0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336.21787234885699</v>
      </c>
      <c r="HA123" s="59">
        <f t="shared" si="106"/>
        <v>315.36156736899113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78.1917606079206</v>
      </c>
      <c r="HH123" s="21">
        <f>EXP(-LN(2)/25)*HH122+(1-EXP(-LN(2)/25))/(LN(2)/25)*Calculateur!HC123*Calculateur!HE123*VLOOKUP('Données projet'!$B$18,Paramètres!$A$1:$I$89,3,0)*0.475*44/12</f>
        <v>13.857479170400294</v>
      </c>
      <c r="HI123" s="21">
        <f>EXP(-LN(2)/2)*HI122+(1-EXP(-LN(2)/2))/(LN(2)/2)*HC123*HF123*VLOOKUP('Données projet'!$B$18,Paramètres!$A$1:$I$89,3,0)*0.475*44/12</f>
        <v>1.1870968433726576E-6</v>
      </c>
      <c r="HJ123" s="22">
        <f t="shared" si="84"/>
        <v>92.049240965417738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3.7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13.566666666666668</v>
      </c>
      <c r="H124" s="67">
        <f t="shared" si="56"/>
        <v>202.4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67.773856464604478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214.97435897435946</v>
      </c>
      <c r="O124" s="13">
        <f>N124*VLOOKUP('Données projet'!$B$9,Paramètres!$A$1:$I$89,3,0)*VLOOKUP('Données projet'!$B$9,Paramètres!$A$1:$I$89,5,0)</f>
        <v>194.50880000000043</v>
      </c>
      <c r="P124" s="13">
        <f t="shared" si="87"/>
        <v>48.535419780989194</v>
      </c>
      <c r="Q124" s="20">
        <f t="shared" si="107"/>
        <v>423.30201611855699</v>
      </c>
      <c r="R124" s="59">
        <f t="shared" si="55"/>
        <v>708.4728231554401</v>
      </c>
      <c r="S124" s="59">
        <f ca="1">AVERAGE(OFFSET($R$3,0,0,'Données projet'!$E$9+1,1))-AVERAGE(OFFSET($H$3,0,0,'Données projet'!$E$9+1,1))</f>
        <v>411.64357329340851</v>
      </c>
      <c r="T124" s="59">
        <f t="shared" si="88"/>
        <v>294.07942258675632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103.25928019437497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103.25928019437497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67.773856464604478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3.8301282051282044</v>
      </c>
      <c r="AI124" s="13">
        <f>IF('Données projet'!$A$62&gt;35,AI123+AH124-AQ123,IF(A124&lt;'Données projet'!$A$62,$AF$205^A124,IF(A124='Données projet'!$A$62,'Données projet'!$B$62,AI123+AH124-AQ123)))</f>
        <v>214.97435897435946</v>
      </c>
      <c r="AJ124" s="13">
        <f>AI124*VLOOKUP('Données projet'!$B$10,Paramètres!$A$1:$I$89,3,0)*VLOOKUP('Données projet'!$B$10,Paramètres!$A$1:$I$89,5,0)</f>
        <v>217.98400000000052</v>
      </c>
      <c r="AK124" s="13">
        <f t="shared" si="89"/>
        <v>53.676483595327532</v>
      </c>
      <c r="AL124" s="20">
        <f t="shared" si="58"/>
        <v>473.14200892852961</v>
      </c>
      <c r="AM124" s="59">
        <f t="shared" si="59"/>
        <v>758.31281596541271</v>
      </c>
      <c r="AN124" s="59">
        <f ca="1">AVERAGE(OFFSET($AM$3,0,0,'Données projet'!$E$10+1,1))-AVERAGE(OFFSET($H$3,0,0,'Données projet'!$E$10+1,1))</f>
        <v>453.05577105995508</v>
      </c>
      <c r="AO124" s="59">
        <f t="shared" si="90"/>
        <v>322.6839824496758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115.72160711438573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115.72160711438573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67.773856464604478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4.7948717948717956</v>
      </c>
      <c r="BD124" s="12">
        <f>IF('Données projet'!$A$88&gt;35,BD123+BC124-BL123,IF(A124&lt;'Données projet'!$A$88,$BA$205^A124,IF(A124='Données projet'!$A$88,'Données projet'!$B$88,BD123+BC124-BL123)))</f>
        <v>217.1346153846155</v>
      </c>
      <c r="BE124" s="13">
        <f>BD124*VLOOKUP('Données projet'!$B$11,Paramètres!$A$1:$I$89,3,0)*VLOOKUP('Données projet'!$B$11,Paramètres!$A$1:$I$89,5,0)</f>
        <v>216.78720000000013</v>
      </c>
      <c r="BF124" s="13">
        <f t="shared" si="91"/>
        <v>53.416002768376934</v>
      </c>
      <c r="BG124" s="20">
        <f t="shared" si="61"/>
        <v>470.6039114882567</v>
      </c>
      <c r="BH124" s="59">
        <f t="shared" si="62"/>
        <v>755.77471852513986</v>
      </c>
      <c r="BI124" s="59">
        <f ca="1">AVERAGE(OFFSET($BH$3,0,0,'Données projet'!$E$11+1,1))-AVERAGE(OFFSET($H$3,0,0,'Données projet'!$E$11+1,1))</f>
        <v>411.38162678377478</v>
      </c>
      <c r="BJ124" s="59">
        <f t="shared" si="92"/>
        <v>177.89903563360403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15.101808282378322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15.101808282378322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67.773856464604478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212.00000000000009</v>
      </c>
      <c r="BZ124" s="13">
        <f>BY124*VLOOKUP('Données projet'!$B$12,Paramètres!$A$1:$I$89,3,0)*VLOOKUP('Données projet'!$B$12,Paramètres!$A$1:$I$89,5,0)</f>
        <v>221.58240000000012</v>
      </c>
      <c r="CA124" s="13">
        <f t="shared" si="93"/>
        <v>54.458668952651578</v>
      </c>
      <c r="CB124" s="20">
        <f t="shared" si="64"/>
        <v>480.77152842586838</v>
      </c>
      <c r="CC124" s="59">
        <f t="shared" si="65"/>
        <v>765.94233546275154</v>
      </c>
      <c r="CD124" s="59">
        <f ca="1">AVERAGE(OFFSET($CC$3,0,0,'Données projet'!$E$12+1,1))-AVERAGE(OFFSET($H$3,0,0,'Données projet'!$E$12+1,1))</f>
        <v>374.38550202939507</v>
      </c>
      <c r="CE124" s="59">
        <f t="shared" si="94"/>
        <v>324.37486924296718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11.788563361779259</v>
      </c>
      <c r="CL124" s="21">
        <f>EXP(-LN(2)/25)*CL123+(1-EXP(-LN(2)/25))/(LN(2)/25)*Calculateur!CG124*Calculateur!CI124*VLOOKUP('Données projet'!$B$12,Paramètres!$A$1:$I$89,3,0)*0.475*44/12</f>
        <v>9.3486738593125533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21.137237221091812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67.773856464604478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5.3066239316239274</v>
      </c>
      <c r="CT124" s="12">
        <f>IF('Données projet'!$A$140&gt;35,CT123+CS124-DB123,IF(A124&lt;'Données projet'!$A$140,$CQ$205^A124,IF(A124='Données projet'!$A$140,'Données projet'!$B$140,CT123+CS124-DB123)))</f>
        <v>257.0683760683757</v>
      </c>
      <c r="CU124" s="17">
        <f>CT124*VLOOKUP('Données projet'!$B$13,Paramètres!$A$1:$I$89,3,0)*VLOOKUP('Données projet'!$B$13,Paramètres!$A$1:$I$89,5,0)</f>
        <v>244.62626666666634</v>
      </c>
      <c r="CV124" s="13">
        <f t="shared" si="95"/>
        <v>59.433785552893355</v>
      </c>
      <c r="CW124" s="20">
        <f t="shared" si="67"/>
        <v>529.57125761573309</v>
      </c>
      <c r="CX124" s="59">
        <f t="shared" si="68"/>
        <v>814.74206465261614</v>
      </c>
      <c r="CY124" s="59">
        <f ca="1">AVERAGE(OFFSET($CX$3,0,0,'Données projet'!$E$13+1,1))-AVERAGE(OFFSET($H$3,0,0,'Données projet'!$E$13+1,1))</f>
        <v>392.81074187112989</v>
      </c>
      <c r="CZ124" s="59">
        <f t="shared" si="96"/>
        <v>236.19146849073687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32.046594281436505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32.046594281436505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67.773856464604478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5.3066239316239274</v>
      </c>
      <c r="DO124" s="12">
        <f>IF('Données projet'!$A$166&gt;35,DO123+DN124-DW123,IF(A124&lt;'Données projet'!$A$166,$DL$205^A124,IF(A124='Données projet'!$A$166,'Données projet'!$B$166,DO123+DN124-DW123)))</f>
        <v>257.0683760683757</v>
      </c>
      <c r="DP124" s="17">
        <f>DO124*VLOOKUP('Données projet'!$B$14,Paramètres!$A$1:$I$89,3,0)*VLOOKUP('Données projet'!$B$14,Paramètres!$A$1:$I$89,5,0)</f>
        <v>276.70839999999959</v>
      </c>
      <c r="DQ124" s="13">
        <f t="shared" si="97"/>
        <v>66.270921159704841</v>
      </c>
      <c r="DR124" s="20">
        <f t="shared" si="70"/>
        <v>597.35565101981854</v>
      </c>
      <c r="DS124" s="59">
        <f t="shared" si="71"/>
        <v>882.52645805670159</v>
      </c>
      <c r="DT124" s="59">
        <f ca="1">AVERAGE(OFFSET($DS$3,0,0,'Données projet'!$E$14+1,1))-AVERAGE(OFFSET($H$3,0,0,'Données projet'!$E$14+1,1))</f>
        <v>434.77799524785502</v>
      </c>
      <c r="DU124" s="59">
        <f t="shared" si="98"/>
        <v>259.85949838170006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36.249426318346217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36.249426318346217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67.773856464604478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5.3066239316239274</v>
      </c>
      <c r="EJ124" s="12">
        <f>IF('Données projet'!$A$192&gt;35,EJ123+EI124-ER123,IF(A124&lt;'Données projet'!$A$192,$EG$205^A124,IF(A124='Données projet'!$A$192,'Données projet'!$B$192,EJ123+EI124-ER123)))</f>
        <v>257.0683760683757</v>
      </c>
      <c r="EK124" s="17">
        <f>EJ124*VLOOKUP('Données projet'!$B$15,Paramètres!$A$1:$I$89,3,0)*VLOOKUP('Données projet'!$B$15,Paramètres!$A$1:$I$89,5,0)</f>
        <v>248.63653333333298</v>
      </c>
      <c r="EL124" s="13">
        <f t="shared" si="99"/>
        <v>60.293882123749412</v>
      </c>
      <c r="EM124" s="20">
        <f t="shared" si="73"/>
        <v>538.0538069210852</v>
      </c>
      <c r="EN124" s="59">
        <f t="shared" si="74"/>
        <v>823.22461395796836</v>
      </c>
      <c r="EO124" s="59">
        <f ca="1">AVERAGE(OFFSET($EN$3,0,0,'Données projet'!$E$15+1,1))-AVERAGE(OFFSET($H$3,0,0,'Données projet'!$E$15+1,1))</f>
        <v>398.06270423055565</v>
      </c>
      <c r="EP124" s="59">
        <f t="shared" si="100"/>
        <v>239.15364562040614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32.571948286050237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32.571948286050237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67.773856464604478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-1.7053025658242404E-13</v>
      </c>
      <c r="FF124" s="17">
        <f>FE124*VLOOKUP('Données projet'!$B$16,Paramètres!$A$1:$I$89,3,0)*VLOOKUP('Données projet'!$B$16,Paramètres!$A$1:$I$89,5,0)</f>
        <v>-1.0197709343628959E-13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334.13861979962491</v>
      </c>
      <c r="FK124" s="59">
        <f t="shared" si="102"/>
        <v>416.48635183664305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44.949672359358772</v>
      </c>
      <c r="FR124" s="21">
        <f>EXP(-LN(2)/25)*FR123+(1-EXP(-LN(2)/25))/(LN(2)/25)*Calculateur!FM124*Calculateur!FO124*VLOOKUP('Données projet'!$B$16,Paramètres!$A$1:$I$89,3,0)*0.475*44/12</f>
        <v>7.2903764743550932</v>
      </c>
      <c r="FS124" s="21">
        <f>EXP(-LN(2)/2)*FS123+(1-EXP(-LN(2)/2))/(LN(2)/2)*FM124*FP124*VLOOKUP('Données projet'!$B$16,Paramètres!$A$1:$I$89,3,0)*0.475*44/12</f>
        <v>6.6523484179749366E-9</v>
      </c>
      <c r="FT124" s="22">
        <f t="shared" si="78"/>
        <v>52.240048840366214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67.773856464604478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3.4106051316484809E-13</v>
      </c>
      <c r="GA124" s="17">
        <f>FZ124*VLOOKUP('Données projet'!$B$17,Paramètres!$A$1:$I$89,3,0)*VLOOKUP('Données projet'!$B$17,Paramètres!$A$1:$I$89,5,0)</f>
        <v>1.5961632016114892E-13</v>
      </c>
      <c r="GB124" s="13">
        <f t="shared" si="103"/>
        <v>2.2708641912150958E-12</v>
      </c>
      <c r="GC124" s="20">
        <f t="shared" si="79"/>
        <v>4.2330868906469593E-12</v>
      </c>
      <c r="GD124" s="59">
        <f t="shared" si="80"/>
        <v>285.17080703688731</v>
      </c>
      <c r="GE124" s="59">
        <f ca="1">AVERAGE(OFFSET($GD$3,0,0,'Données projet'!$E$17+1,1))-AVERAGE(OFFSET($H$3,0,0,'Données projet'!$E$17+1,1))</f>
        <v>317.79829681023142</v>
      </c>
      <c r="GF124" s="59">
        <f t="shared" si="104"/>
        <v>275.07716943523621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127.63574741027244</v>
      </c>
      <c r="GM124" s="21">
        <f>EXP(-LN(2)/25)*GM123+(1-EXP(-LN(2)/25))/(LN(2)/25)*Calculateur!GH124*Calculateur!GJ124*VLOOKUP('Données projet'!$B$17,Paramètres!$A$1:$I$89,3,0)*0.475*44/12</f>
        <v>28.184792856394303</v>
      </c>
      <c r="GN124" s="21">
        <f>EXP(-LN(2)/2)*GN123+(1-EXP(-LN(2)/2))/(LN(2)/2)*GH124*GK124*VLOOKUP('Données projet'!$B$17,Paramètres!$A$1:$I$89,3,0)*0.475*44/12</f>
        <v>8.66665673599709E-2</v>
      </c>
      <c r="GO124" s="21">
        <f t="shared" si="81"/>
        <v>155.90720683402671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67.773856464604478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>
        <f>GU124*VLOOKUP('Données projet'!$B$18,Paramètres!$A$1:$I$89,3,0)*VLOOKUP('Données projet'!$B$18,Paramètres!$A$1:$I$89,5,0)</f>
        <v>0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336.21787234885699</v>
      </c>
      <c r="HA124" s="59">
        <f t="shared" si="106"/>
        <v>315.36156736899113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76.658467874664026</v>
      </c>
      <c r="HH124" s="21">
        <f>EXP(-LN(2)/25)*HH123+(1-EXP(-LN(2)/25))/(LN(2)/25)*Calculateur!HC124*Calculateur!HE124*VLOOKUP('Données projet'!$B$18,Paramètres!$A$1:$I$89,3,0)*0.475*44/12</f>
        <v>13.47854567375254</v>
      </c>
      <c r="HI124" s="21">
        <f>EXP(-LN(2)/2)*HI123+(1-EXP(-LN(2)/2))/(LN(2)/2)*HC124*HF124*VLOOKUP('Données projet'!$B$18,Paramètres!$A$1:$I$89,3,0)*0.475*44/12</f>
        <v>8.3940422787395107E-7</v>
      </c>
      <c r="HJ124" s="22">
        <f t="shared" si="84"/>
        <v>90.137014387820784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3.7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13.566666666666668</v>
      </c>
      <c r="H125" s="67">
        <f t="shared" si="56"/>
        <v>202.4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67.81247507803225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218.80448717948767</v>
      </c>
      <c r="O125" s="13">
        <f>N125*VLOOKUP('Données projet'!$B$9,Paramètres!$A$1:$I$89,3,0)*VLOOKUP('Données projet'!$B$9,Paramètres!$A$1:$I$89,5,0)</f>
        <v>197.97430000000043</v>
      </c>
      <c r="P125" s="13">
        <f t="shared" si="87"/>
        <v>49.298716754178493</v>
      </c>
      <c r="Q125" s="20">
        <f t="shared" si="107"/>
        <v>430.66717084686161</v>
      </c>
      <c r="R125" s="59">
        <f t="shared" si="55"/>
        <v>715.97957946631323</v>
      </c>
      <c r="S125" s="59">
        <f ca="1">AVERAGE(OFFSET($R$3,0,0,'Données projet'!$E$9+1,1))-AVERAGE(OFFSET($H$3,0,0,'Données projet'!$E$9+1,1))</f>
        <v>411.64357329340851</v>
      </c>
      <c r="T125" s="59">
        <f t="shared" si="88"/>
        <v>294.07942258675632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101.23442869170525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101.23442869170525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67.81247507803225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3.8301282051282044</v>
      </c>
      <c r="AI125" s="13">
        <f>IF('Données projet'!$A$62&gt;35,AI124+AH125-AQ124,IF(A125&lt;'Données projet'!$A$62,$AF$205^A125,IF(A125='Données projet'!$A$62,'Données projet'!$B$62,AI124+AH125-AQ124)))</f>
        <v>218.80448717948767</v>
      </c>
      <c r="AJ125" s="13">
        <f>AI125*VLOOKUP('Données projet'!$B$10,Paramètres!$A$1:$I$89,3,0)*VLOOKUP('Données projet'!$B$10,Paramètres!$A$1:$I$89,5,0)</f>
        <v>221.86775000000048</v>
      </c>
      <c r="AK125" s="13">
        <f t="shared" si="89"/>
        <v>54.520632005800415</v>
      </c>
      <c r="AL125" s="20">
        <f t="shared" si="58"/>
        <v>481.37643199343648</v>
      </c>
      <c r="AM125" s="59">
        <f t="shared" si="59"/>
        <v>766.68884061288804</v>
      </c>
      <c r="AN125" s="59">
        <f ca="1">AVERAGE(OFFSET($AM$3,0,0,'Données projet'!$E$10+1,1))-AVERAGE(OFFSET($H$3,0,0,'Données projet'!$E$10+1,1))</f>
        <v>453.05577105995508</v>
      </c>
      <c r="AO125" s="59">
        <f t="shared" si="90"/>
        <v>322.6839824496758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113.45237698208345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113.45237698208345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67.81247507803225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>
        <f>VLOOKUP(A125,'Données projet'!$A$87:$I$107,2,0)</f>
        <v>221.92948717948715</v>
      </c>
      <c r="BB125" s="12">
        <f>VLOOKUP(A125,'Données projet'!$A$87:$I$107,9,0)</f>
        <v>4.7948717948717956</v>
      </c>
      <c r="BC125" s="12">
        <f t="array" ref="BC125">INDEX(BB:BB,MIN(IF(ISNUMBER(BB125:BB321),ROW(BB125:BB321),"")))</f>
        <v>4.7948717948717956</v>
      </c>
      <c r="BD125" s="12">
        <f>IF('Données projet'!$A$88&gt;35,BD124+BC125-BL124,IF(A125&lt;'Données projet'!$A$88,$BA$205^A125,IF(A125='Données projet'!$A$88,'Données projet'!$B$88,BD124+BC125-BL124)))</f>
        <v>221.9294871794873</v>
      </c>
      <c r="BE125" s="13">
        <f>BD125*VLOOKUP('Données projet'!$B$11,Paramètres!$A$1:$I$89,3,0)*VLOOKUP('Données projet'!$B$11,Paramètres!$A$1:$I$89,5,0)</f>
        <v>221.57440000000011</v>
      </c>
      <c r="BF125" s="13">
        <f t="shared" si="91"/>
        <v>54.456931638460588</v>
      </c>
      <c r="BG125" s="20">
        <f t="shared" si="61"/>
        <v>480.754569270319</v>
      </c>
      <c r="BH125" s="59">
        <f t="shared" si="62"/>
        <v>766.06697788977056</v>
      </c>
      <c r="BI125" s="59">
        <f ca="1">AVERAGE(OFFSET($BH$3,0,0,'Données projet'!$E$11+1,1))-AVERAGE(OFFSET($H$3,0,0,'Données projet'!$E$11+1,1))</f>
        <v>411.38162678377478</v>
      </c>
      <c r="BJ125" s="59">
        <f t="shared" si="92"/>
        <v>177.89903563360403</v>
      </c>
      <c r="BK125" s="15">
        <f>IF(ISNA(VLOOKUP(A125,'Données projet'!$A$87:$I$107,3,0)),0,VLOOKUP(A125,'Données projet'!$A$87:$I$107,3,0))</f>
        <v>8</v>
      </c>
      <c r="BL125" s="15">
        <f>IF(ISNA(VLOOKUP(A125,'Données projet'!$A$87:$I$107,4,0)),0,VLOOKUP(A125,'Données projet'!$A$87:$I$107,4,0))</f>
        <v>32.333333333333329</v>
      </c>
      <c r="BM125" s="16">
        <f>IF(ISNA(VLOOKUP(A125,'Données projet'!$A$87:$I$107,5,0)),0%,VLOOKUP(A125,'Données projet'!$A$87:$I$107,5,0)*VLOOKUP('Données projet'!$B$11,Paramètres!$A$1:$I$89,7,0))</f>
        <v>0.30099999999999999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25.547263166937601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25.547263166937601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67.81247507803225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212.00000000000009</v>
      </c>
      <c r="BZ125" s="13">
        <f>BY125*VLOOKUP('Données projet'!$B$12,Paramètres!$A$1:$I$89,3,0)*VLOOKUP('Données projet'!$B$12,Paramètres!$A$1:$I$89,5,0)</f>
        <v>221.58240000000012</v>
      </c>
      <c r="CA125" s="13">
        <f t="shared" si="93"/>
        <v>54.458668952651578</v>
      </c>
      <c r="CB125" s="20">
        <f t="shared" si="64"/>
        <v>480.77152842586838</v>
      </c>
      <c r="CC125" s="59">
        <f t="shared" si="65"/>
        <v>766.08393704532</v>
      </c>
      <c r="CD125" s="59">
        <f ca="1">AVERAGE(OFFSET($CC$3,0,0,'Données projet'!$E$12+1,1))-AVERAGE(OFFSET($H$3,0,0,'Données projet'!$E$12+1,1))</f>
        <v>374.38550202939507</v>
      </c>
      <c r="CE125" s="59">
        <f t="shared" si="94"/>
        <v>324.37486924296718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11.557396824568434</v>
      </c>
      <c r="CL125" s="21">
        <f>EXP(-LN(2)/25)*CL124+(1-EXP(-LN(2)/25))/(LN(2)/25)*Calculateur!CG125*Calculateur!CI125*VLOOKUP('Données projet'!$B$12,Paramètres!$A$1:$I$89,3,0)*0.475*44/12</f>
        <v>9.0930338810042599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20.650430705572695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67.81247507803225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5.3066239316239274</v>
      </c>
      <c r="CT125" s="12">
        <f>IF('Données projet'!$A$140&gt;35,CT124+CS125-DB124,IF(A125&lt;'Données projet'!$A$140,$CQ$205^A125,IF(A125='Données projet'!$A$140,'Données projet'!$B$140,CT124+CS125-DB124)))</f>
        <v>262.3749999999996</v>
      </c>
      <c r="CU125" s="17">
        <f>CT125*VLOOKUP('Données projet'!$B$13,Paramètres!$A$1:$I$89,3,0)*VLOOKUP('Données projet'!$B$13,Paramètres!$A$1:$I$89,5,0)</f>
        <v>249.67604999999963</v>
      </c>
      <c r="CV125" s="13">
        <f t="shared" si="95"/>
        <v>60.516566601475539</v>
      </c>
      <c r="CW125" s="20">
        <f t="shared" si="67"/>
        <v>540.25214058090251</v>
      </c>
      <c r="CX125" s="59">
        <f t="shared" si="68"/>
        <v>825.56454920035412</v>
      </c>
      <c r="CY125" s="59">
        <f ca="1">AVERAGE(OFFSET($CX$3,0,0,'Données projet'!$E$13+1,1))-AVERAGE(OFFSET($H$3,0,0,'Données projet'!$E$13+1,1))</f>
        <v>392.81074187112989</v>
      </c>
      <c r="CZ125" s="59">
        <f t="shared" si="96"/>
        <v>236.19146849073687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31.41818011406999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31.41818011406999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67.81247507803225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5.3066239316239274</v>
      </c>
      <c r="DO125" s="12">
        <f>IF('Données projet'!$A$166&gt;35,DO124+DN125-DW124,IF(A125&lt;'Données projet'!$A$166,$DL$205^A125,IF(A125='Données projet'!$A$166,'Données projet'!$B$166,DO124+DN125-DW124)))</f>
        <v>262.3749999999996</v>
      </c>
      <c r="DP125" s="17">
        <f>DO125*VLOOKUP('Données projet'!$B$14,Paramètres!$A$1:$I$89,3,0)*VLOOKUP('Données projet'!$B$14,Paramètres!$A$1:$I$89,5,0)</f>
        <v>282.42044999999956</v>
      </c>
      <c r="DQ125" s="13">
        <f t="shared" si="97"/>
        <v>67.478263024879425</v>
      </c>
      <c r="DR125" s="20">
        <f t="shared" si="70"/>
        <v>609.40692518499748</v>
      </c>
      <c r="DS125" s="59">
        <f t="shared" si="71"/>
        <v>894.71933380444898</v>
      </c>
      <c r="DT125" s="59">
        <f ca="1">AVERAGE(OFFSET($DS$3,0,0,'Données projet'!$E$14+1,1))-AVERAGE(OFFSET($H$3,0,0,'Données projet'!$E$14+1,1))</f>
        <v>434.77799524785502</v>
      </c>
      <c r="DU125" s="59">
        <f t="shared" si="98"/>
        <v>259.85949838170006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35.538597178210324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35.538597178210324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67.81247507803225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5.3066239316239274</v>
      </c>
      <c r="EJ125" s="12">
        <f>IF('Données projet'!$A$192&gt;35,EJ124+EI125-ER124,IF(A125&lt;'Données projet'!$A$192,$EG$205^A125,IF(A125='Données projet'!$A$192,'Données projet'!$B$192,EJ124+EI125-ER124)))</f>
        <v>262.3749999999996</v>
      </c>
      <c r="EK125" s="17">
        <f>EJ125*VLOOKUP('Données projet'!$B$15,Paramètres!$A$1:$I$89,3,0)*VLOOKUP('Données projet'!$B$15,Paramètres!$A$1:$I$89,5,0)</f>
        <v>253.76909999999964</v>
      </c>
      <c r="EL125" s="13">
        <f t="shared" si="99"/>
        <v>61.392332648172818</v>
      </c>
      <c r="EM125" s="20">
        <f t="shared" si="73"/>
        <v>548.90616186223372</v>
      </c>
      <c r="EN125" s="59">
        <f t="shared" si="74"/>
        <v>834.21857048168522</v>
      </c>
      <c r="EO125" s="59">
        <f ca="1">AVERAGE(OFFSET($EN$3,0,0,'Données projet'!$E$15+1,1))-AVERAGE(OFFSET($H$3,0,0,'Données projet'!$E$15+1,1))</f>
        <v>398.06270423055565</v>
      </c>
      <c r="EP125" s="59">
        <f t="shared" si="100"/>
        <v>239.15364562040614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31.933232247087549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31.933232247087549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67.81247507803225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-1.7053025658242404E-13</v>
      </c>
      <c r="FF125" s="17">
        <f>FE125*VLOOKUP('Données projet'!$B$16,Paramètres!$A$1:$I$89,3,0)*VLOOKUP('Données projet'!$B$16,Paramètres!$A$1:$I$89,5,0)</f>
        <v>-1.0197709343628959E-13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334.13861979962491</v>
      </c>
      <c r="FK125" s="59">
        <f t="shared" si="102"/>
        <v>416.48635183664305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44.06823670098472</v>
      </c>
      <c r="FR125" s="21">
        <f>EXP(-LN(2)/25)*FR124+(1-EXP(-LN(2)/25))/(LN(2)/25)*Calculateur!FM125*Calculateur!FO125*VLOOKUP('Données projet'!$B$16,Paramètres!$A$1:$I$89,3,0)*0.475*44/12</f>
        <v>7.0910207462796171</v>
      </c>
      <c r="FS125" s="21">
        <f>EXP(-LN(2)/2)*FS124+(1-EXP(-LN(2)/2))/(LN(2)/2)*FM125*FP125*VLOOKUP('Données projet'!$B$16,Paramètres!$A$1:$I$89,3,0)*0.475*44/12</f>
        <v>4.703920677165679E-9</v>
      </c>
      <c r="FT125" s="22">
        <f t="shared" si="78"/>
        <v>51.159257451968259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67.81247507803225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3.4106051316484809E-13</v>
      </c>
      <c r="GA125" s="17">
        <f>FZ125*VLOOKUP('Données projet'!$B$17,Paramètres!$A$1:$I$89,3,0)*VLOOKUP('Données projet'!$B$17,Paramètres!$A$1:$I$89,5,0)</f>
        <v>1.5961632016114892E-13</v>
      </c>
      <c r="GB125" s="13">
        <f t="shared" si="103"/>
        <v>2.2708641912150958E-12</v>
      </c>
      <c r="GC125" s="20">
        <f t="shared" si="79"/>
        <v>4.2330868906469593E-12</v>
      </c>
      <c r="GD125" s="59">
        <f t="shared" si="80"/>
        <v>285.31240861945577</v>
      </c>
      <c r="GE125" s="59">
        <f ca="1">AVERAGE(OFFSET($GD$3,0,0,'Données projet'!$E$17+1,1))-AVERAGE(OFFSET($H$3,0,0,'Données projet'!$E$17+1,1))</f>
        <v>317.79829681023142</v>
      </c>
      <c r="GF125" s="59">
        <f t="shared" si="104"/>
        <v>275.07716943523621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125.13288825367586</v>
      </c>
      <c r="GM125" s="21">
        <f>EXP(-LN(2)/25)*GM124+(1-EXP(-LN(2)/25))/(LN(2)/25)*Calculateur!GH125*Calculateur!GJ125*VLOOKUP('Données projet'!$B$17,Paramètres!$A$1:$I$89,3,0)*0.475*44/12</f>
        <v>27.414078213562362</v>
      </c>
      <c r="GN125" s="21">
        <f>EXP(-LN(2)/2)*GN124+(1-EXP(-LN(2)/2))/(LN(2)/2)*GH125*GK125*VLOOKUP('Données projet'!$B$17,Paramètres!$A$1:$I$89,3,0)*0.475*44/12</f>
        <v>6.1282517482396132E-2</v>
      </c>
      <c r="GO125" s="21">
        <f t="shared" si="81"/>
        <v>152.60824898472063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67.81247507803225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>
        <f>GU125*VLOOKUP('Données projet'!$B$18,Paramètres!$A$1:$I$89,3,0)*VLOOKUP('Données projet'!$B$18,Paramètres!$A$1:$I$89,5,0)</f>
        <v>0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336.21787234885699</v>
      </c>
      <c r="HA125" s="59">
        <f t="shared" si="106"/>
        <v>315.36156736899113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75.155242076690399</v>
      </c>
      <c r="HH125" s="21">
        <f>EXP(-LN(2)/25)*HH124+(1-EXP(-LN(2)/25))/(LN(2)/25)*Calculateur!HC125*Calculateur!HE125*VLOOKUP('Données projet'!$B$18,Paramètres!$A$1:$I$89,3,0)*0.475*44/12</f>
        <v>13.109974133497866</v>
      </c>
      <c r="HI125" s="21">
        <f>EXP(-LN(2)/2)*HI124+(1-EXP(-LN(2)/2))/(LN(2)/2)*HC125*HF125*VLOOKUP('Données projet'!$B$18,Paramètres!$A$1:$I$89,3,0)*0.475*44/12</f>
        <v>5.9354842168632878E-7</v>
      </c>
      <c r="HJ125" s="22">
        <f t="shared" si="84"/>
        <v>88.265216803736692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3.7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13.566666666666668</v>
      </c>
      <c r="H126" s="67">
        <f t="shared" si="56"/>
        <v>202.4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67.85042374485532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222.63461538461587</v>
      </c>
      <c r="O126" s="13">
        <f>N126*VLOOKUP('Données projet'!$B$9,Paramètres!$A$1:$I$89,3,0)*VLOOKUP('Données projet'!$B$9,Paramètres!$A$1:$I$89,5,0)</f>
        <v>201.43980000000045</v>
      </c>
      <c r="P126" s="13">
        <f t="shared" si="87"/>
        <v>50.06045996470462</v>
      </c>
      <c r="Q126" s="20">
        <f t="shared" si="107"/>
        <v>438.02961943852802</v>
      </c>
      <c r="R126" s="59">
        <f t="shared" si="55"/>
        <v>723.4811731696642</v>
      </c>
      <c r="S126" s="59">
        <f ca="1">AVERAGE(OFFSET($R$3,0,0,'Données projet'!$E$9+1,1))-AVERAGE(OFFSET($H$3,0,0,'Données projet'!$E$9+1,1))</f>
        <v>411.64357329340851</v>
      </c>
      <c r="T126" s="59">
        <f t="shared" si="88"/>
        <v>294.07942258675632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0.38700000000000001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129.12212127250342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129.12212127250342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67.85042374485532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222.63461538461539</v>
      </c>
      <c r="AG126" s="12">
        <f>VLOOKUP(A126,'Données projet'!$A$61:$I$81,9,0)</f>
        <v>3.8301282051282044</v>
      </c>
      <c r="AH126" s="12">
        <f t="array" ref="AH126">INDEX(AG:AG,MIN(IF(ISNUMBER(AG126:AG322),ROW(AG126:AG322),"")))</f>
        <v>3.8301282051282044</v>
      </c>
      <c r="AI126" s="13">
        <f>IF('Données projet'!$A$62&gt;35,AI125+AH126-AQ125,IF(A126&lt;'Données projet'!$A$62,$AF$205^A126,IF(A126='Données projet'!$A$62,'Données projet'!$B$62,AI125+AH126-AQ125)))</f>
        <v>222.63461538461587</v>
      </c>
      <c r="AJ126" s="13">
        <f>AI126*VLOOKUP('Données projet'!$B$10,Paramètres!$A$1:$I$89,3,0)*VLOOKUP('Données projet'!$B$10,Paramètres!$A$1:$I$89,5,0)</f>
        <v>225.7515000000005</v>
      </c>
      <c r="AK126" s="13">
        <f t="shared" si="89"/>
        <v>55.363062072917565</v>
      </c>
      <c r="AL126" s="20">
        <f t="shared" si="58"/>
        <v>489.60786227699901</v>
      </c>
      <c r="AM126" s="59">
        <f t="shared" si="59"/>
        <v>775.05941600813526</v>
      </c>
      <c r="AN126" s="59">
        <f ca="1">AVERAGE(OFFSET($AM$3,0,0,'Données projet'!$E$10+1,1))-AVERAGE(OFFSET($H$3,0,0,'Données projet'!$E$10+1,1))</f>
        <v>453.05577105995508</v>
      </c>
      <c r="AO126" s="59">
        <f t="shared" si="90"/>
        <v>322.6839824496758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77.17307692307692</v>
      </c>
      <c r="AR126" s="16">
        <f>IF(ISNA(VLOOKUP(A126,'Données projet'!$A$61:$I$81,5,0)),0%,VLOOKUP(A126,'Données projet'!$A$61:$I$81,5,0)*VLOOKUP('Données projet'!$B$10,Paramètres!$A$1:$I$89,7,0))</f>
        <v>0.38700000000000001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144.70582556401243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144.70582556401243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67.85042374485532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4.8538461538461579</v>
      </c>
      <c r="BD126" s="12">
        <f>IF('Données projet'!$A$88&gt;35,BD125+BC126-BL125,IF(A126&lt;'Données projet'!$A$88,$BA$205^A126,IF(A126='Données projet'!$A$88,'Données projet'!$B$88,BD125+BC126-BL125)))</f>
        <v>194.4500000000001</v>
      </c>
      <c r="BE126" s="13">
        <f>BD126*VLOOKUP('Données projet'!$B$11,Paramètres!$A$1:$I$89,3,0)*VLOOKUP('Données projet'!$B$11,Paramètres!$A$1:$I$89,5,0)</f>
        <v>194.13888000000011</v>
      </c>
      <c r="BF126" s="13">
        <f t="shared" si="91"/>
        <v>48.453849650542686</v>
      </c>
      <c r="BG126" s="20">
        <f t="shared" si="61"/>
        <v>422.51567080802869</v>
      </c>
      <c r="BH126" s="59">
        <f t="shared" si="62"/>
        <v>707.96722453916482</v>
      </c>
      <c r="BI126" s="59">
        <f ca="1">AVERAGE(OFFSET($BH$3,0,0,'Données projet'!$E$11+1,1))-AVERAGE(OFFSET($H$3,0,0,'Données projet'!$E$11+1,1))</f>
        <v>411.38162678377478</v>
      </c>
      <c r="BJ126" s="59">
        <f t="shared" si="92"/>
        <v>177.89903563360403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25.046296918525861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25.046296918525861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67.85042374485532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212.00000000000009</v>
      </c>
      <c r="BZ126" s="13">
        <f>BY126*VLOOKUP('Données projet'!$B$12,Paramètres!$A$1:$I$89,3,0)*VLOOKUP('Données projet'!$B$12,Paramètres!$A$1:$I$89,5,0)</f>
        <v>221.58240000000012</v>
      </c>
      <c r="CA126" s="13">
        <f t="shared" si="93"/>
        <v>54.458668952651578</v>
      </c>
      <c r="CB126" s="20">
        <f t="shared" si="64"/>
        <v>480.77152842586838</v>
      </c>
      <c r="CC126" s="59">
        <f t="shared" si="65"/>
        <v>766.22308215700457</v>
      </c>
      <c r="CD126" s="59">
        <f ca="1">AVERAGE(OFFSET($CC$3,0,0,'Données projet'!$E$12+1,1))-AVERAGE(OFFSET($H$3,0,0,'Données projet'!$E$12+1,1))</f>
        <v>374.38550202939507</v>
      </c>
      <c r="CE126" s="59">
        <f t="shared" si="94"/>
        <v>324.37486924296718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11.330763322154647</v>
      </c>
      <c r="CL126" s="21">
        <f>EXP(-LN(2)/25)*CL125+(1-EXP(-LN(2)/25))/(LN(2)/25)*Calculateur!CG126*Calculateur!CI126*VLOOKUP('Données projet'!$B$12,Paramètres!$A$1:$I$89,3,0)*0.475*44/12</f>
        <v>8.8443843913463294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20.175147713500976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67.85042374485532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5.3066239316239274</v>
      </c>
      <c r="CT126" s="12">
        <f>IF('Données projet'!$A$140&gt;35,CT125+CS126-DB125,IF(A126&lt;'Données projet'!$A$140,$CQ$205^A126,IF(A126='Données projet'!$A$140,'Données projet'!$B$140,CT125+CS126-DB125)))</f>
        <v>267.68162393162351</v>
      </c>
      <c r="CU126" s="17">
        <f>CT126*VLOOKUP('Données projet'!$B$13,Paramètres!$A$1:$I$89,3,0)*VLOOKUP('Données projet'!$B$13,Paramètres!$A$1:$I$89,5,0)</f>
        <v>254.72583333333293</v>
      </c>
      <c r="CV126" s="13">
        <f t="shared" si="95"/>
        <v>61.596801349463618</v>
      </c>
      <c r="CW126" s="20">
        <f t="shared" si="67"/>
        <v>550.92858873920397</v>
      </c>
      <c r="CX126" s="59">
        <f t="shared" si="68"/>
        <v>836.38014247034016</v>
      </c>
      <c r="CY126" s="59">
        <f ca="1">AVERAGE(OFFSET($CX$3,0,0,'Données projet'!$E$13+1,1))-AVERAGE(OFFSET($H$3,0,0,'Données projet'!$E$13+1,1))</f>
        <v>392.81074187112989</v>
      </c>
      <c r="CZ126" s="59">
        <f t="shared" si="96"/>
        <v>236.19146849073687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30.802088765230739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30.802088765230739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67.85042374485532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5.3066239316239274</v>
      </c>
      <c r="DO126" s="12">
        <f>IF('Données projet'!$A$166&gt;35,DO125+DN126-DW125,IF(A126&lt;'Données projet'!$A$166,$DL$205^A126,IF(A126='Données projet'!$A$166,'Données projet'!$B$166,DO125+DN126-DW125)))</f>
        <v>267.68162393162351</v>
      </c>
      <c r="DP126" s="17">
        <f>DO126*VLOOKUP('Données projet'!$B$14,Paramètres!$A$1:$I$89,3,0)*VLOOKUP('Données projet'!$B$14,Paramètres!$A$1:$I$89,5,0)</f>
        <v>288.13249999999954</v>
      </c>
      <c r="DQ126" s="13">
        <f t="shared" si="97"/>
        <v>68.682765668484066</v>
      </c>
      <c r="DR126" s="20">
        <f t="shared" si="70"/>
        <v>621.45325437260897</v>
      </c>
      <c r="DS126" s="59">
        <f t="shared" si="71"/>
        <v>906.90480810374515</v>
      </c>
      <c r="DT126" s="59">
        <f ca="1">AVERAGE(OFFSET($DS$3,0,0,'Données projet'!$E$14+1,1))-AVERAGE(OFFSET($H$3,0,0,'Données projet'!$E$14+1,1))</f>
        <v>434.77799524785502</v>
      </c>
      <c r="DU126" s="59">
        <f t="shared" si="98"/>
        <v>259.85949838170006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34.841706963949534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34.841706963949534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67.85042374485532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5.3066239316239274</v>
      </c>
      <c r="EJ126" s="12">
        <f>IF('Données projet'!$A$192&gt;35,EJ125+EI126-ER125,IF(A126&lt;'Données projet'!$A$192,$EG$205^A126,IF(A126='Données projet'!$A$192,'Données projet'!$B$192,EJ125+EI126-ER125)))</f>
        <v>267.68162393162351</v>
      </c>
      <c r="EK126" s="17">
        <f>EJ126*VLOOKUP('Données projet'!$B$15,Paramètres!$A$1:$I$89,3,0)*VLOOKUP('Données projet'!$B$15,Paramètres!$A$1:$I$89,5,0)</f>
        <v>258.9016666666663</v>
      </c>
      <c r="EL126" s="13">
        <f t="shared" si="99"/>
        <v>62.488200023189847</v>
      </c>
      <c r="EM126" s="20">
        <f t="shared" si="73"/>
        <v>559.75401781816606</v>
      </c>
      <c r="EN126" s="59">
        <f t="shared" si="74"/>
        <v>845.20557154930225</v>
      </c>
      <c r="EO126" s="59">
        <f ca="1">AVERAGE(OFFSET($EN$3,0,0,'Données projet'!$E$15+1,1))-AVERAGE(OFFSET($H$3,0,0,'Données projet'!$E$15+1,1))</f>
        <v>398.06270423055565</v>
      </c>
      <c r="EP126" s="59">
        <f t="shared" si="100"/>
        <v>239.15364562040614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31.307041040070605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31.307041040070605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67.85042374485532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-1.7053025658242404E-13</v>
      </c>
      <c r="FF126" s="17">
        <f>FE126*VLOOKUP('Données projet'!$B$16,Paramètres!$A$1:$I$89,3,0)*VLOOKUP('Données projet'!$B$16,Paramètres!$A$1:$I$89,5,0)</f>
        <v>-1.0197709343628959E-13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334.13861979962491</v>
      </c>
      <c r="FK126" s="59">
        <f t="shared" si="102"/>
        <v>416.48635183664305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43.20408545824872</v>
      </c>
      <c r="FR126" s="21">
        <f>EXP(-LN(2)/25)*FR125+(1-EXP(-LN(2)/25))/(LN(2)/25)*Calculateur!FM126*Calculateur!FO126*VLOOKUP('Données projet'!$B$16,Paramètres!$A$1:$I$89,3,0)*0.475*44/12</f>
        <v>6.8971164110720267</v>
      </c>
      <c r="FS126" s="21">
        <f>EXP(-LN(2)/2)*FS125+(1-EXP(-LN(2)/2))/(LN(2)/2)*FM126*FP126*VLOOKUP('Données projet'!$B$16,Paramètres!$A$1:$I$89,3,0)*0.475*44/12</f>
        <v>3.3261742089874683E-9</v>
      </c>
      <c r="FT126" s="22">
        <f t="shared" si="78"/>
        <v>50.101201872646918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67.85042374485532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3.4106051316484809E-13</v>
      </c>
      <c r="GA126" s="17">
        <f>FZ126*VLOOKUP('Données projet'!$B$17,Paramètres!$A$1:$I$89,3,0)*VLOOKUP('Données projet'!$B$17,Paramètres!$A$1:$I$89,5,0)</f>
        <v>1.5961632016114892E-13</v>
      </c>
      <c r="GB126" s="13">
        <f t="shared" si="103"/>
        <v>2.2708641912150958E-12</v>
      </c>
      <c r="GC126" s="20">
        <f t="shared" si="79"/>
        <v>4.2330868906469593E-12</v>
      </c>
      <c r="GD126" s="59">
        <f t="shared" si="80"/>
        <v>285.45155373114039</v>
      </c>
      <c r="GE126" s="59">
        <f ca="1">AVERAGE(OFFSET($GD$3,0,0,'Données projet'!$E$17+1,1))-AVERAGE(OFFSET($H$3,0,0,'Données projet'!$E$17+1,1))</f>
        <v>317.79829681023142</v>
      </c>
      <c r="GF126" s="59">
        <f t="shared" si="104"/>
        <v>275.07716943523621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122.67910863854679</v>
      </c>
      <c r="GM126" s="21">
        <f>EXP(-LN(2)/25)*GM125+(1-EXP(-LN(2)/25))/(LN(2)/25)*Calculateur!GH126*Calculateur!GJ126*VLOOKUP('Données projet'!$B$17,Paramètres!$A$1:$I$89,3,0)*0.475*44/12</f>
        <v>26.664438803168782</v>
      </c>
      <c r="GN126" s="21">
        <f>EXP(-LN(2)/2)*GN125+(1-EXP(-LN(2)/2))/(LN(2)/2)*GH126*GK126*VLOOKUP('Données projet'!$B$17,Paramètres!$A$1:$I$89,3,0)*0.475*44/12</f>
        <v>4.3333283679985457E-2</v>
      </c>
      <c r="GO126" s="21">
        <f t="shared" si="81"/>
        <v>149.38688072539557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67.85042374485532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>
        <f>GU126*VLOOKUP('Données projet'!$B$18,Paramètres!$A$1:$I$89,3,0)*VLOOKUP('Données projet'!$B$18,Paramètres!$A$1:$I$89,5,0)</f>
        <v>0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336.21787234885699</v>
      </c>
      <c r="HA126" s="59">
        <f t="shared" si="106"/>
        <v>315.36156736899113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73.681493619737822</v>
      </c>
      <c r="HH126" s="21">
        <f>EXP(-LN(2)/25)*HH125+(1-EXP(-LN(2)/25))/(LN(2)/25)*Calculateur!HC126*Calculateur!HE126*VLOOKUP('Données projet'!$B$18,Paramètres!$A$1:$I$89,3,0)*0.475*44/12</f>
        <v>12.751481201393791</v>
      </c>
      <c r="HI126" s="21">
        <f>EXP(-LN(2)/2)*HI125+(1-EXP(-LN(2)/2))/(LN(2)/2)*HC126*HF126*VLOOKUP('Données projet'!$B$18,Paramètres!$A$1:$I$89,3,0)*0.475*44/12</f>
        <v>4.1970211393697553E-7</v>
      </c>
      <c r="HJ126" s="22">
        <f t="shared" si="84"/>
        <v>86.432975240833727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3.7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13.566666666666668</v>
      </c>
      <c r="H127" s="67">
        <f t="shared" si="56"/>
        <v>202.4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67.887714087149533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147.79647435897488</v>
      </c>
      <c r="O127" s="13">
        <f>N127*VLOOKUP('Données projet'!$B$9,Paramètres!$A$1:$I$89,3,0)*VLOOKUP('Données projet'!$B$9,Paramètres!$A$1:$I$89,5,0)</f>
        <v>133.72625000000048</v>
      </c>
      <c r="P127" s="13">
        <f t="shared" si="87"/>
        <v>34.855965018185749</v>
      </c>
      <c r="Q127" s="20">
        <f t="shared" si="107"/>
        <v>293.61402449000764</v>
      </c>
      <c r="R127" s="59">
        <f t="shared" si="55"/>
        <v>579.20230947622258</v>
      </c>
      <c r="S127" s="59">
        <f ca="1">AVERAGE(OFFSET($R$3,0,0,'Données projet'!$E$9+1,1))-AVERAGE(OFFSET($H$3,0,0,'Données projet'!$E$9+1,1))</f>
        <v>411.64357329340851</v>
      </c>
      <c r="T127" s="59">
        <f t="shared" si="88"/>
        <v>294.07942258675632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126.59011523106703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126.59011523106703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67.887714087149533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2.3349358974358978</v>
      </c>
      <c r="AI127" s="13">
        <f>IF('Données projet'!$A$62&gt;35,AI126+AH127-AQ126,IF(A127&lt;'Données projet'!$A$62,$AF$205^A127,IF(A127='Données projet'!$A$62,'Données projet'!$B$62,AI126+AH127-AQ126)))</f>
        <v>147.79647435897488</v>
      </c>
      <c r="AJ127" s="13">
        <f>AI127*VLOOKUP('Données projet'!$B$10,Paramètres!$A$1:$I$89,3,0)*VLOOKUP('Données projet'!$B$10,Paramètres!$A$1:$I$89,5,0)</f>
        <v>149.86562500000053</v>
      </c>
      <c r="AK127" s="13">
        <f t="shared" si="89"/>
        <v>38.54804682725306</v>
      </c>
      <c r="AL127" s="20">
        <f t="shared" si="58"/>
        <v>328.15381176580001</v>
      </c>
      <c r="AM127" s="59">
        <f t="shared" si="59"/>
        <v>613.74209675201496</v>
      </c>
      <c r="AN127" s="59">
        <f ca="1">AVERAGE(OFFSET($AM$3,0,0,'Données projet'!$E$10+1,1))-AVERAGE(OFFSET($H$3,0,0,'Données projet'!$E$10+1,1))</f>
        <v>453.05577105995508</v>
      </c>
      <c r="AO127" s="59">
        <f t="shared" si="90"/>
        <v>322.6839824496758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141.86823258654061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141.86823258654061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67.887714087149533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4.8538461538461579</v>
      </c>
      <c r="BD127" s="12">
        <f>IF('Données projet'!$A$88&gt;35,BD126+BC127-BL126,IF(A127&lt;'Données projet'!$A$88,$BA$205^A127,IF(A127='Données projet'!$A$88,'Données projet'!$B$88,BD126+BC127-BL126)))</f>
        <v>199.30384615384625</v>
      </c>
      <c r="BE127" s="13">
        <f>BD127*VLOOKUP('Données projet'!$B$11,Paramètres!$A$1:$I$89,3,0)*VLOOKUP('Données projet'!$B$11,Paramètres!$A$1:$I$89,5,0)</f>
        <v>198.98496000000011</v>
      </c>
      <c r="BF127" s="13">
        <f t="shared" si="91"/>
        <v>49.521026639642763</v>
      </c>
      <c r="BG127" s="20">
        <f t="shared" si="61"/>
        <v>432.81459339737802</v>
      </c>
      <c r="BH127" s="59">
        <f t="shared" si="62"/>
        <v>718.40287838359291</v>
      </c>
      <c r="BI127" s="59">
        <f ca="1">AVERAGE(OFFSET($BH$3,0,0,'Données projet'!$E$11+1,1))-AVERAGE(OFFSET($H$3,0,0,'Données projet'!$E$11+1,1))</f>
        <v>411.38162678377478</v>
      </c>
      <c r="BJ127" s="59">
        <f t="shared" si="92"/>
        <v>177.89903563360403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24.555154312686238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24.555154312686238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67.887714087149533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212.00000000000009</v>
      </c>
      <c r="BZ127" s="13">
        <f>BY127*VLOOKUP('Données projet'!$B$12,Paramètres!$A$1:$I$89,3,0)*VLOOKUP('Données projet'!$B$12,Paramètres!$A$1:$I$89,5,0)</f>
        <v>221.58240000000012</v>
      </c>
      <c r="CA127" s="13">
        <f t="shared" si="93"/>
        <v>54.458668952651578</v>
      </c>
      <c r="CB127" s="20">
        <f t="shared" si="64"/>
        <v>480.77152842586838</v>
      </c>
      <c r="CC127" s="59">
        <f t="shared" si="65"/>
        <v>766.35981341208333</v>
      </c>
      <c r="CD127" s="59">
        <f ca="1">AVERAGE(OFFSET($CC$3,0,0,'Données projet'!$E$12+1,1))-AVERAGE(OFFSET($H$3,0,0,'Données projet'!$E$12+1,1))</f>
        <v>374.38550202939507</v>
      </c>
      <c r="CE127" s="59">
        <f t="shared" si="94"/>
        <v>324.37486924296718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11.108573964490407</v>
      </c>
      <c r="CL127" s="21">
        <f>EXP(-LN(2)/25)*CL126+(1-EXP(-LN(2)/25))/(LN(2)/25)*Calculateur!CG127*Calculateur!CI127*VLOOKUP('Données projet'!$B$12,Paramètres!$A$1:$I$89,3,0)*0.475*44/12</f>
        <v>8.6025342350590037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19.711108199549411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67.887714087149533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5.3066239316239274</v>
      </c>
      <c r="CT127" s="12">
        <f>IF('Données projet'!$A$140&gt;35,CT126+CS127-DB126,IF(A127&lt;'Données projet'!$A$140,$CQ$205^A127,IF(A127='Données projet'!$A$140,'Données projet'!$B$140,CT126+CS127-DB126)))</f>
        <v>272.98824786324741</v>
      </c>
      <c r="CU127" s="17">
        <f>CT127*VLOOKUP('Données projet'!$B$13,Paramètres!$A$1:$I$89,3,0)*VLOOKUP('Données projet'!$B$13,Paramètres!$A$1:$I$89,5,0)</f>
        <v>259.77561666666622</v>
      </c>
      <c r="CV127" s="13">
        <f t="shared" si="95"/>
        <v>62.674546093913065</v>
      </c>
      <c r="CW127" s="20">
        <f t="shared" si="67"/>
        <v>561.60070014134226</v>
      </c>
      <c r="CX127" s="59">
        <f t="shared" si="68"/>
        <v>847.1889851275572</v>
      </c>
      <c r="CY127" s="59">
        <f ca="1">AVERAGE(OFFSET($CX$3,0,0,'Données projet'!$E$13+1,1))-AVERAGE(OFFSET($H$3,0,0,'Données projet'!$E$13+1,1))</f>
        <v>392.81074187112989</v>
      </c>
      <c r="CZ127" s="59">
        <f t="shared" si="96"/>
        <v>236.19146849073687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30.198078591963608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30.198078591963608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67.887714087149533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5.3066239316239274</v>
      </c>
      <c r="DO127" s="12">
        <f>IF('Données projet'!$A$166&gt;35,DO126+DN127-DW126,IF(A127&lt;'Données projet'!$A$166,$DL$205^A127,IF(A127='Données projet'!$A$166,'Données projet'!$B$166,DO126+DN127-DW126)))</f>
        <v>272.98824786324741</v>
      </c>
      <c r="DP127" s="17">
        <f>DO127*VLOOKUP('Données projet'!$B$14,Paramètres!$A$1:$I$89,3,0)*VLOOKUP('Données projet'!$B$14,Paramètres!$A$1:$I$89,5,0)</f>
        <v>293.84454999999946</v>
      </c>
      <c r="DQ127" s="13">
        <f t="shared" si="97"/>
        <v>69.884491863867197</v>
      </c>
      <c r="DR127" s="20">
        <f t="shared" si="70"/>
        <v>633.49474791290106</v>
      </c>
      <c r="DS127" s="59">
        <f t="shared" si="71"/>
        <v>919.08303289911601</v>
      </c>
      <c r="DT127" s="59">
        <f ca="1">AVERAGE(OFFSET($DS$3,0,0,'Données projet'!$E$14+1,1))-AVERAGE(OFFSET($H$3,0,0,'Données projet'!$E$14+1,1))</f>
        <v>434.77799524785502</v>
      </c>
      <c r="DU127" s="59">
        <f t="shared" si="98"/>
        <v>259.85949838170006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34.158482341729332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34.158482341729332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67.887714087149533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5.3066239316239274</v>
      </c>
      <c r="EJ127" s="12">
        <f>IF('Données projet'!$A$192&gt;35,EJ126+EI127-ER126,IF(A127&lt;'Données projet'!$A$192,$EG$205^A127,IF(A127='Données projet'!$A$192,'Données projet'!$B$192,EJ126+EI127-ER126)))</f>
        <v>272.98824786324741</v>
      </c>
      <c r="EK127" s="17">
        <f>EJ127*VLOOKUP('Données projet'!$B$15,Paramètres!$A$1:$I$89,3,0)*VLOOKUP('Données projet'!$B$15,Paramètres!$A$1:$I$89,5,0)</f>
        <v>264.03423333333291</v>
      </c>
      <c r="EL127" s="13">
        <f t="shared" si="99"/>
        <v>63.581541360559179</v>
      </c>
      <c r="EM127" s="20">
        <f t="shared" si="73"/>
        <v>570.59747425852868</v>
      </c>
      <c r="EN127" s="59">
        <f t="shared" si="74"/>
        <v>856.18575924474362</v>
      </c>
      <c r="EO127" s="59">
        <f ca="1">AVERAGE(OFFSET($EN$3,0,0,'Données projet'!$E$15+1,1))-AVERAGE(OFFSET($H$3,0,0,'Données projet'!$E$15+1,1))</f>
        <v>398.06270423055565</v>
      </c>
      <c r="EP127" s="59">
        <f t="shared" si="100"/>
        <v>239.15364562040614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30.693129060684338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30.693129060684338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67.887714087149533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-1.7053025658242404E-13</v>
      </c>
      <c r="FF127" s="17">
        <f>FE127*VLOOKUP('Données projet'!$B$16,Paramètres!$A$1:$I$89,3,0)*VLOOKUP('Données projet'!$B$16,Paramètres!$A$1:$I$89,5,0)</f>
        <v>-1.0197709343628959E-13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334.13861979962491</v>
      </c>
      <c r="FK127" s="59">
        <f t="shared" si="102"/>
        <v>416.48635183664305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42.356879694302556</v>
      </c>
      <c r="FR127" s="21">
        <f>EXP(-LN(2)/25)*FR126+(1-EXP(-LN(2)/25))/(LN(2)/25)*Calculateur!FM127*Calculateur!FO127*VLOOKUP('Données projet'!$B$16,Paramètres!$A$1:$I$89,3,0)*0.475*44/12</f>
        <v>6.7085144001076733</v>
      </c>
      <c r="FS127" s="21">
        <f>EXP(-LN(2)/2)*FS126+(1-EXP(-LN(2)/2))/(LN(2)/2)*FM127*FP127*VLOOKUP('Données projet'!$B$16,Paramètres!$A$1:$I$89,3,0)*0.475*44/12</f>
        <v>2.3519603385828395E-9</v>
      </c>
      <c r="FT127" s="22">
        <f t="shared" si="78"/>
        <v>49.065394096762191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67.887714087149533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3.4106051316484809E-13</v>
      </c>
      <c r="GA127" s="17">
        <f>FZ127*VLOOKUP('Données projet'!$B$17,Paramètres!$A$1:$I$89,3,0)*VLOOKUP('Données projet'!$B$17,Paramètres!$A$1:$I$89,5,0)</f>
        <v>1.5961632016114892E-13</v>
      </c>
      <c r="GB127" s="13">
        <f t="shared" si="103"/>
        <v>2.2708641912150958E-12</v>
      </c>
      <c r="GC127" s="20">
        <f t="shared" si="79"/>
        <v>4.2330868906469593E-12</v>
      </c>
      <c r="GD127" s="59">
        <f t="shared" si="80"/>
        <v>285.58828498621915</v>
      </c>
      <c r="GE127" s="59">
        <f ca="1">AVERAGE(OFFSET($GD$3,0,0,'Données projet'!$E$17+1,1))-AVERAGE(OFFSET($H$3,0,0,'Données projet'!$E$17+1,1))</f>
        <v>317.79829681023142</v>
      </c>
      <c r="GF127" s="59">
        <f t="shared" si="104"/>
        <v>275.07716943523621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120.27344614501263</v>
      </c>
      <c r="GM127" s="21">
        <f>EXP(-LN(2)/25)*GM126+(1-EXP(-LN(2)/25))/(LN(2)/25)*Calculateur!GH127*Calculateur!GJ127*VLOOKUP('Données projet'!$B$17,Paramètres!$A$1:$I$89,3,0)*0.475*44/12</f>
        <v>25.935298321874239</v>
      </c>
      <c r="GN127" s="21">
        <f>EXP(-LN(2)/2)*GN126+(1-EXP(-LN(2)/2))/(LN(2)/2)*GH127*GK127*VLOOKUP('Données projet'!$B$17,Paramètres!$A$1:$I$89,3,0)*0.475*44/12</f>
        <v>3.0641258741198069E-2</v>
      </c>
      <c r="GO127" s="21">
        <f t="shared" si="81"/>
        <v>146.23938572562804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67.887714087149533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>
        <f>GU127*VLOOKUP('Données projet'!$B$18,Paramètres!$A$1:$I$89,3,0)*VLOOKUP('Données projet'!$B$18,Paramètres!$A$1:$I$89,5,0)</f>
        <v>0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336.21787234885699</v>
      </c>
      <c r="HA127" s="59">
        <f t="shared" si="106"/>
        <v>315.36156736899113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72.236644471128287</v>
      </c>
      <c r="HH127" s="21">
        <f>EXP(-LN(2)/25)*HH126+(1-EXP(-LN(2)/25))/(LN(2)/25)*Calculateur!HC127*Calculateur!HE127*VLOOKUP('Données projet'!$B$18,Paramètres!$A$1:$I$89,3,0)*0.475*44/12</f>
        <v>12.402791277370424</v>
      </c>
      <c r="HI127" s="21">
        <f>EXP(-LN(2)/2)*HI126+(1-EXP(-LN(2)/2))/(LN(2)/2)*HC127*HF127*VLOOKUP('Données projet'!$B$18,Paramètres!$A$1:$I$89,3,0)*0.475*44/12</f>
        <v>2.9677421084316439E-7</v>
      </c>
      <c r="HJ127" s="22">
        <f t="shared" si="84"/>
        <v>84.63943604527293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3.7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13.566666666666668</v>
      </c>
      <c r="H128" s="67">
        <f t="shared" si="56"/>
        <v>202.4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67.924357525373637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150.13141025641079</v>
      </c>
      <c r="O128" s="13">
        <f>N128*VLOOKUP('Données projet'!$B$9,Paramètres!$A$1:$I$89,3,0)*VLOOKUP('Données projet'!$B$9,Paramètres!$A$1:$I$89,5,0)</f>
        <v>135.83890000000048</v>
      </c>
      <c r="P128" s="13">
        <f t="shared" si="87"/>
        <v>35.342088427890417</v>
      </c>
      <c r="Q128" s="20">
        <f t="shared" si="107"/>
        <v>298.14022151190994</v>
      </c>
      <c r="R128" s="59">
        <f t="shared" si="55"/>
        <v>583.86286577161331</v>
      </c>
      <c r="S128" s="59">
        <f ca="1">AVERAGE(OFFSET($R$3,0,0,'Données projet'!$E$9+1,1))-AVERAGE(OFFSET($H$3,0,0,'Données projet'!$E$9+1,1))</f>
        <v>411.64357329340851</v>
      </c>
      <c r="T128" s="59">
        <f t="shared" si="88"/>
        <v>294.07942258675632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124.10776028373201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124.10776028373201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67.924357525373637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2.3349358974358978</v>
      </c>
      <c r="AI128" s="13">
        <f>IF('Données projet'!$A$62&gt;35,AI127+AH128-AQ127,IF(A128&lt;'Données projet'!$A$62,$AF$205^A128,IF(A128='Données projet'!$A$62,'Données projet'!$B$62,AI127+AH128-AQ127)))</f>
        <v>150.13141025641079</v>
      </c>
      <c r="AJ128" s="13">
        <f>AI128*VLOOKUP('Données projet'!$B$10,Paramètres!$A$1:$I$89,3,0)*VLOOKUP('Données projet'!$B$10,Paramètres!$A$1:$I$89,5,0)</f>
        <v>152.23325000000054</v>
      </c>
      <c r="AK128" s="13">
        <f t="shared" si="89"/>
        <v>39.08566235307034</v>
      </c>
      <c r="AL128" s="20">
        <f t="shared" si="58"/>
        <v>333.21377234826514</v>
      </c>
      <c r="AM128" s="59">
        <f t="shared" si="59"/>
        <v>618.93641660796857</v>
      </c>
      <c r="AN128" s="59">
        <f ca="1">AVERAGE(OFFSET($AM$3,0,0,'Données projet'!$E$10+1,1))-AVERAGE(OFFSET($H$3,0,0,'Données projet'!$E$10+1,1))</f>
        <v>453.05577105995508</v>
      </c>
      <c r="AO128" s="59">
        <f t="shared" si="90"/>
        <v>322.6839824496758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139.0862830765962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139.0862830765962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67.924357525373637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4.8538461538461579</v>
      </c>
      <c r="BD128" s="12">
        <f>IF('Données projet'!$A$88&gt;35,BD127+BC128-BL127,IF(A128&lt;'Données projet'!$A$88,$BA$205^A128,IF(A128='Données projet'!$A$88,'Données projet'!$B$88,BD127+BC128-BL127)))</f>
        <v>204.1576923076924</v>
      </c>
      <c r="BE128" s="13">
        <f>BD128*VLOOKUP('Données projet'!$B$11,Paramètres!$A$1:$I$89,3,0)*VLOOKUP('Données projet'!$B$11,Paramètres!$A$1:$I$89,5,0)</f>
        <v>203.83104000000009</v>
      </c>
      <c r="BF128" s="13">
        <f t="shared" si="91"/>
        <v>50.585182357553549</v>
      </c>
      <c r="BG128" s="20">
        <f t="shared" si="61"/>
        <v>443.10825393940587</v>
      </c>
      <c r="BH128" s="59">
        <f t="shared" si="62"/>
        <v>728.83089819910924</v>
      </c>
      <c r="BI128" s="59">
        <f ca="1">AVERAGE(OFFSET($BH$3,0,0,'Données projet'!$E$11+1,1))-AVERAGE(OFFSET($H$3,0,0,'Données projet'!$E$11+1,1))</f>
        <v>411.38162678377478</v>
      </c>
      <c r="BJ128" s="59">
        <f t="shared" si="92"/>
        <v>177.89903563360403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24.073642713779719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24.073642713779719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67.924357525373637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212.00000000000009</v>
      </c>
      <c r="BZ128" s="13">
        <f>BY128*VLOOKUP('Données projet'!$B$12,Paramètres!$A$1:$I$89,3,0)*VLOOKUP('Données projet'!$B$12,Paramètres!$A$1:$I$89,5,0)</f>
        <v>221.58240000000012</v>
      </c>
      <c r="CA128" s="13">
        <f t="shared" si="93"/>
        <v>54.458668952651578</v>
      </c>
      <c r="CB128" s="20">
        <f t="shared" si="64"/>
        <v>480.77152842586838</v>
      </c>
      <c r="CC128" s="59">
        <f t="shared" si="65"/>
        <v>766.49417268557181</v>
      </c>
      <c r="CD128" s="59">
        <f ca="1">AVERAGE(OFFSET($CC$3,0,0,'Données projet'!$E$12+1,1))-AVERAGE(OFFSET($H$3,0,0,'Données projet'!$E$12+1,1))</f>
        <v>374.38550202939507</v>
      </c>
      <c r="CE128" s="59">
        <f t="shared" si="94"/>
        <v>324.37486924296718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10.890741604607838</v>
      </c>
      <c r="CL128" s="21">
        <f>EXP(-LN(2)/25)*CL127+(1-EXP(-LN(2)/25))/(LN(2)/25)*Calculateur!CG128*Calculateur!CI128*VLOOKUP('Données projet'!$B$12,Paramètres!$A$1:$I$89,3,0)*0.475*44/12</f>
        <v>8.3672974840137009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19.258039088621537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67.924357525373637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278.29487179487177</v>
      </c>
      <c r="CR128" s="12">
        <f>VLOOKUP(A128,'Données projet'!$A$139:$I$159,9,0)</f>
        <v>5.3066239316239274</v>
      </c>
      <c r="CS128" s="12">
        <f t="array" ref="CS128">INDEX(CR:CR,MIN(IF(ISNUMBER(CR128:CR324),ROW(CR128:CR324),"")))</f>
        <v>5.3066239316239274</v>
      </c>
      <c r="CT128" s="12">
        <f>IF('Données projet'!$A$140&gt;35,CT127+CS128-DB127,IF(A128&lt;'Données projet'!$A$140,$CQ$205^A128,IF(A128='Données projet'!$A$140,'Données projet'!$B$140,CT127+CS128-DB127)))</f>
        <v>278.29487179487131</v>
      </c>
      <c r="CU128" s="17">
        <f>CT128*VLOOKUP('Données projet'!$B$13,Paramètres!$A$1:$I$89,3,0)*VLOOKUP('Données projet'!$B$13,Paramètres!$A$1:$I$89,5,0)</f>
        <v>264.82539999999955</v>
      </c>
      <c r="CV128" s="13">
        <f t="shared" si="95"/>
        <v>63.749854817958173</v>
      </c>
      <c r="CW128" s="20">
        <f t="shared" si="67"/>
        <v>572.26856880794298</v>
      </c>
      <c r="CX128" s="59">
        <f t="shared" si="68"/>
        <v>857.99121306764641</v>
      </c>
      <c r="CY128" s="59">
        <f ca="1">AVERAGE(OFFSET($CX$3,0,0,'Données projet'!$E$13+1,1))-AVERAGE(OFFSET($H$3,0,0,'Données projet'!$E$13+1,1))</f>
        <v>392.81074187112989</v>
      </c>
      <c r="CZ128" s="59">
        <f t="shared" si="96"/>
        <v>236.19146849073687</v>
      </c>
      <c r="DA128" s="15">
        <f>IF(ISNA(VLOOKUP(A128,'Données projet'!$A$139:$I$159,3,0)),0,VLOOKUP(A128,'Données projet'!$A$139:$I$159,3,0))</f>
        <v>10</v>
      </c>
      <c r="DB128" s="15">
        <f>IF(ISNA(VLOOKUP(A128,'Données projet'!$A$139:$I$159,4,0)),0,VLOOKUP(A128,'Données projet'!$A$139:$I$159,4,0))</f>
        <v>48.160256410256409</v>
      </c>
      <c r="DC128" s="16">
        <f>IF(ISNA(VLOOKUP(A128,'Données projet'!$A$139:$I$159,5,0)),0%,VLOOKUP(A128,'Données projet'!$A$139:$I$159,5,0)*VLOOKUP('Données projet'!$B$13,Paramètres!$A$1:$I$89,7,0))</f>
        <v>0.30099999999999999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44.855455722867973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44.855455722867973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67.924357525373637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278.29487179487177</v>
      </c>
      <c r="DM128" s="12">
        <f>VLOOKUP(A128,'Données projet'!$A$165:$I$185,9,0)</f>
        <v>5.3066239316239274</v>
      </c>
      <c r="DN128" s="12">
        <f t="array" ref="DN128">INDEX(DM:DM,MIN(IF(ISNUMBER(DM128:DM324),ROW(DM128:DM324),"")))</f>
        <v>5.3066239316239274</v>
      </c>
      <c r="DO128" s="12">
        <f>IF('Données projet'!$A$166&gt;35,DO127+DN128-DW127,IF(A128&lt;'Données projet'!$A$166,$DL$205^A128,IF(A128='Données projet'!$A$166,'Données projet'!$B$166,DO127+DN128-DW127)))</f>
        <v>278.29487179487131</v>
      </c>
      <c r="DP128" s="17">
        <f>DO128*VLOOKUP('Données projet'!$B$14,Paramètres!$A$1:$I$89,3,0)*VLOOKUP('Données projet'!$B$14,Paramètres!$A$1:$I$89,5,0)</f>
        <v>299.55659999999949</v>
      </c>
      <c r="DQ128" s="13">
        <f t="shared" si="97"/>
        <v>71.083501804267385</v>
      </c>
      <c r="DR128" s="20">
        <f t="shared" si="70"/>
        <v>645.53151064243139</v>
      </c>
      <c r="DS128" s="59">
        <f t="shared" si="71"/>
        <v>931.25415490213481</v>
      </c>
      <c r="DT128" s="59">
        <f ca="1">AVERAGE(OFFSET($DS$3,0,0,'Données projet'!$E$14+1,1))-AVERAGE(OFFSET($H$3,0,0,'Données projet'!$E$14+1,1))</f>
        <v>434.77799524785502</v>
      </c>
      <c r="DU128" s="59">
        <f t="shared" si="98"/>
        <v>259.85949838170006</v>
      </c>
      <c r="DV128" s="15">
        <f>IF(ISNA(VLOOKUP(A128,'Données projet'!$A$165:$I$185,3,0)),0,VLOOKUP(A128,'Données projet'!$A$165:$I$185,3,0))</f>
        <v>10</v>
      </c>
      <c r="DW128" s="15">
        <f>IF(ISNA(VLOOKUP(A128,'Données projet'!$A$165:$I$185,4,0)),0,VLOOKUP(A128,'Données projet'!$A$165:$I$185,4,0))</f>
        <v>48.160256410256409</v>
      </c>
      <c r="DX128" s="16">
        <f>IF(ISNA(VLOOKUP(A128,'Données projet'!$A$165:$I$185,5,0)),0%,VLOOKUP(A128,'Données projet'!$A$165:$I$185,5,0)*VLOOKUP('Données projet'!$B$14,Paramètres!$A$1:$I$89,7,0))</f>
        <v>0.30099999999999999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50.73813844062115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50.73813844062115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67.924357525373637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>
        <f>VLOOKUP(A128,'Données projet'!$A$191:$I$211,2,0)</f>
        <v>278.29487179487177</v>
      </c>
      <c r="EH128" s="12">
        <f>VLOOKUP(A128,'Données projet'!$A$191:$I$211,9,0)</f>
        <v>5.3066239316239274</v>
      </c>
      <c r="EI128" s="12">
        <f t="array" ref="EI128">INDEX(EH:EH,MIN(IF(ISNUMBER(EH128:EH324),ROW(EH128:EH324),"")))</f>
        <v>5.3066239316239274</v>
      </c>
      <c r="EJ128" s="12">
        <f>IF('Données projet'!$A$192&gt;35,EJ127+EI128-ER127,IF(A128&lt;'Données projet'!$A$192,$EG$205^A128,IF(A128='Données projet'!$A$192,'Données projet'!$B$192,EJ127+EI128-ER127)))</f>
        <v>278.29487179487131</v>
      </c>
      <c r="EK128" s="17">
        <f>EJ128*VLOOKUP('Données projet'!$B$15,Paramètres!$A$1:$I$89,3,0)*VLOOKUP('Données projet'!$B$15,Paramètres!$A$1:$I$89,5,0)</f>
        <v>269.16679999999957</v>
      </c>
      <c r="EL128" s="13">
        <f t="shared" si="99"/>
        <v>64.672411424632728</v>
      </c>
      <c r="EM128" s="20">
        <f t="shared" si="73"/>
        <v>581.43662656456797</v>
      </c>
      <c r="EN128" s="59">
        <f t="shared" si="74"/>
        <v>867.15927082427129</v>
      </c>
      <c r="EO128" s="59">
        <f ca="1">AVERAGE(OFFSET($EN$3,0,0,'Données projet'!$E$15+1,1))-AVERAGE(OFFSET($H$3,0,0,'Données projet'!$E$15+1,1))</f>
        <v>398.06270423055565</v>
      </c>
      <c r="EP128" s="59">
        <f t="shared" si="100"/>
        <v>239.15364562040614</v>
      </c>
      <c r="EQ128" s="15">
        <f>IF(ISNA(VLOOKUP(A128,'Données projet'!$A$191:$I$211,3,0)),0,VLOOKUP(A128,'Données projet'!$A$191:$I$211,3,0))</f>
        <v>10</v>
      </c>
      <c r="ER128" s="15">
        <f>IF(ISNA(VLOOKUP(A128,'Données projet'!$A$191:$I$211,4,0)),0,VLOOKUP(A128,'Données projet'!$A$191:$I$211,4,0))</f>
        <v>48.160256410256409</v>
      </c>
      <c r="ES128" s="16">
        <f>IF(ISNA(VLOOKUP(A128,'Données projet'!$A$191:$I$211,5,0)),0%,VLOOKUP(A128,'Données projet'!$A$191:$I$211,5,0)*VLOOKUP('Données projet'!$B$15,Paramètres!$A$1:$I$89,7,0))</f>
        <v>0.30099999999999999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45.590791062587137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45.590791062587137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67.924357525373637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-1.7053025658242404E-13</v>
      </c>
      <c r="FF128" s="17">
        <f>FE128*VLOOKUP('Données projet'!$B$16,Paramètres!$A$1:$I$89,3,0)*VLOOKUP('Données projet'!$B$16,Paramètres!$A$1:$I$89,5,0)</f>
        <v>-1.0197709343628959E-13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334.13861979962491</v>
      </c>
      <c r="FK128" s="59">
        <f t="shared" si="102"/>
        <v>416.48635183664305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41.526287118642891</v>
      </c>
      <c r="FR128" s="21">
        <f>EXP(-LN(2)/25)*FR127+(1-EXP(-LN(2)/25))/(LN(2)/25)*Calculateur!FM128*Calculateur!FO128*VLOOKUP('Données projet'!$B$16,Paramètres!$A$1:$I$89,3,0)*0.475*44/12</f>
        <v>6.5250697210512891</v>
      </c>
      <c r="FS128" s="21">
        <f>EXP(-LN(2)/2)*FS127+(1-EXP(-LN(2)/2))/(LN(2)/2)*FM128*FP128*VLOOKUP('Données projet'!$B$16,Paramètres!$A$1:$I$89,3,0)*0.475*44/12</f>
        <v>1.6630871044937342E-9</v>
      </c>
      <c r="FT128" s="22">
        <f t="shared" si="78"/>
        <v>48.051356841357268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67.924357525373637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3.4106051316484809E-13</v>
      </c>
      <c r="GA128" s="17">
        <f>FZ128*VLOOKUP('Données projet'!$B$17,Paramètres!$A$1:$I$89,3,0)*VLOOKUP('Données projet'!$B$17,Paramètres!$A$1:$I$89,5,0)</f>
        <v>1.5961632016114892E-13</v>
      </c>
      <c r="GB128" s="13">
        <f t="shared" si="103"/>
        <v>2.2708641912150958E-12</v>
      </c>
      <c r="GC128" s="20">
        <f t="shared" si="79"/>
        <v>4.2330868906469593E-12</v>
      </c>
      <c r="GD128" s="59">
        <f t="shared" si="80"/>
        <v>285.72264425970758</v>
      </c>
      <c r="GE128" s="59">
        <f ca="1">AVERAGE(OFFSET($GD$3,0,0,'Données projet'!$E$17+1,1))-AVERAGE(OFFSET($H$3,0,0,'Données projet'!$E$17+1,1))</f>
        <v>317.79829681023142</v>
      </c>
      <c r="GF128" s="59">
        <f t="shared" si="104"/>
        <v>275.07716943523621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117.91495722566742</v>
      </c>
      <c r="GM128" s="21">
        <f>EXP(-LN(2)/25)*GM127+(1-EXP(-LN(2)/25))/(LN(2)/25)*Calculateur!GH128*Calculateur!GJ128*VLOOKUP('Données projet'!$B$17,Paramètres!$A$1:$I$89,3,0)*0.475*44/12</f>
        <v>25.226096225384524</v>
      </c>
      <c r="GN128" s="21">
        <f>EXP(-LN(2)/2)*GN127+(1-EXP(-LN(2)/2))/(LN(2)/2)*GH128*GK128*VLOOKUP('Données projet'!$B$17,Paramètres!$A$1:$I$89,3,0)*0.475*44/12</f>
        <v>2.1666641839992732E-2</v>
      </c>
      <c r="GO128" s="21">
        <f t="shared" si="81"/>
        <v>143.16272009289196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67.924357525373637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>
        <f>GU128*VLOOKUP('Données projet'!$B$18,Paramètres!$A$1:$I$89,3,0)*VLOOKUP('Données projet'!$B$18,Paramètres!$A$1:$I$89,5,0)</f>
        <v>0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336.21787234885699</v>
      </c>
      <c r="HA128" s="59">
        <f t="shared" si="106"/>
        <v>315.36156736899113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70.820127933052021</v>
      </c>
      <c r="HH128" s="21">
        <f>EXP(-LN(2)/25)*HH127+(1-EXP(-LN(2)/25))/(LN(2)/25)*Calculateur!HC128*Calculateur!HE128*VLOOKUP('Données projet'!$B$18,Paramètres!$A$1:$I$89,3,0)*0.475*44/12</f>
        <v>12.063636297656284</v>
      </c>
      <c r="HI128" s="21">
        <f>EXP(-LN(2)/2)*HI127+(1-EXP(-LN(2)/2))/(LN(2)/2)*HC128*HF128*VLOOKUP('Données projet'!$B$18,Paramètres!$A$1:$I$89,3,0)*0.475*44/12</f>
        <v>2.0985105696848777E-7</v>
      </c>
      <c r="HJ128" s="22">
        <f t="shared" si="84"/>
        <v>82.883764440559361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3.7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13.566666666666668</v>
      </c>
      <c r="H129" s="67">
        <f t="shared" si="56"/>
        <v>202.4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67.960365281867027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152.4663461538467</v>
      </c>
      <c r="O129" s="13">
        <f>N129*VLOOKUP('Données projet'!$B$9,Paramètres!$A$1:$I$89,3,0)*VLOOKUP('Données projet'!$B$9,Paramètres!$A$1:$I$89,5,0)</f>
        <v>137.95155000000048</v>
      </c>
      <c r="P129" s="13">
        <f t="shared" si="87"/>
        <v>35.827332555199952</v>
      </c>
      <c r="Q129" s="20">
        <f t="shared" si="107"/>
        <v>302.66488711697406</v>
      </c>
      <c r="R129" s="59">
        <f t="shared" si="55"/>
        <v>588.51955981715309</v>
      </c>
      <c r="S129" s="59">
        <f ca="1">AVERAGE(OFFSET($R$3,0,0,'Données projet'!$E$9+1,1))-AVERAGE(OFFSET($H$3,0,0,'Données projet'!$E$9+1,1))</f>
        <v>411.64357329340851</v>
      </c>
      <c r="T129" s="59">
        <f t="shared" si="88"/>
        <v>294.07942258675632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121.67408280282721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121.67408280282721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67.960365281867027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2.3349358974358978</v>
      </c>
      <c r="AI129" s="13">
        <f>IF('Données projet'!$A$62&gt;35,AI128+AH129-AQ128,IF(A129&lt;'Données projet'!$A$62,$AF$205^A129,IF(A129='Données projet'!$A$62,'Données projet'!$B$62,AI128+AH129-AQ128)))</f>
        <v>152.4663461538467</v>
      </c>
      <c r="AJ129" s="13">
        <f>AI129*VLOOKUP('Données projet'!$B$10,Paramètres!$A$1:$I$89,3,0)*VLOOKUP('Données projet'!$B$10,Paramètres!$A$1:$I$89,5,0)</f>
        <v>154.60087500000057</v>
      </c>
      <c r="AK129" s="13">
        <f t="shared" si="89"/>
        <v>39.622305459420097</v>
      </c>
      <c r="AL129" s="20">
        <f t="shared" si="58"/>
        <v>338.27203930015764</v>
      </c>
      <c r="AM129" s="59">
        <f t="shared" si="59"/>
        <v>624.12671200033674</v>
      </c>
      <c r="AN129" s="59">
        <f ca="1">AVERAGE(OFFSET($AM$3,0,0,'Données projet'!$E$10+1,1))-AVERAGE(OFFSET($H$3,0,0,'Données projet'!$E$10+1,1))</f>
        <v>453.05577105995508</v>
      </c>
      <c r="AO129" s="59">
        <f t="shared" si="90"/>
        <v>322.6839824496758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136.35888589972015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136.35888589972015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67.960365281867027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4.8538461538461579</v>
      </c>
      <c r="BD129" s="12">
        <f>IF('Données projet'!$A$88&gt;35,BD128+BC129-BL128,IF(A129&lt;'Données projet'!$A$88,$BA$205^A129,IF(A129='Données projet'!$A$88,'Données projet'!$B$88,BD128+BC129-BL128)))</f>
        <v>209.01153846153855</v>
      </c>
      <c r="BE129" s="13">
        <f>BD129*VLOOKUP('Données projet'!$B$11,Paramètres!$A$1:$I$89,3,0)*VLOOKUP('Données projet'!$B$11,Paramètres!$A$1:$I$89,5,0)</f>
        <v>208.67712000000012</v>
      </c>
      <c r="BF129" s="13">
        <f t="shared" si="91"/>
        <v>51.646396900441324</v>
      </c>
      <c r="BG129" s="20">
        <f t="shared" si="61"/>
        <v>453.39679193493549</v>
      </c>
      <c r="BH129" s="59">
        <f t="shared" si="62"/>
        <v>739.25146463511464</v>
      </c>
      <c r="BI129" s="59">
        <f ca="1">AVERAGE(OFFSET($BH$3,0,0,'Données projet'!$E$11+1,1))-AVERAGE(OFFSET($H$3,0,0,'Données projet'!$E$11+1,1))</f>
        <v>411.38162678377478</v>
      </c>
      <c r="BJ129" s="59">
        <f t="shared" si="92"/>
        <v>177.89903563360403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23.60157326363468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23.60157326363468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67.960365281867027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212.00000000000009</v>
      </c>
      <c r="BZ129" s="13">
        <f>BY129*VLOOKUP('Données projet'!$B$12,Paramètres!$A$1:$I$89,3,0)*VLOOKUP('Données projet'!$B$12,Paramètres!$A$1:$I$89,5,0)</f>
        <v>221.58240000000012</v>
      </c>
      <c r="CA129" s="13">
        <f t="shared" si="93"/>
        <v>54.458668952651578</v>
      </c>
      <c r="CB129" s="20">
        <f t="shared" si="64"/>
        <v>480.77152842586838</v>
      </c>
      <c r="CC129" s="59">
        <f t="shared" si="65"/>
        <v>766.62620112604748</v>
      </c>
      <c r="CD129" s="59">
        <f ca="1">AVERAGE(OFFSET($CC$3,0,0,'Données projet'!$E$12+1,1))-AVERAGE(OFFSET($H$3,0,0,'Données projet'!$E$12+1,1))</f>
        <v>374.38550202939507</v>
      </c>
      <c r="CE129" s="59">
        <f t="shared" si="94"/>
        <v>324.37486924296718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10.677180804437945</v>
      </c>
      <c r="CL129" s="21">
        <f>EXP(-LN(2)/25)*CL128+(1-EXP(-LN(2)/25))/(LN(2)/25)*Calculateur!CG129*Calculateur!CI129*VLOOKUP('Données projet'!$B$12,Paramètres!$A$1:$I$89,3,0)*0.475*44/12</f>
        <v>8.1384932942962944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18.815674098734242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67.960365281867027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5.2446581196581219</v>
      </c>
      <c r="CT129" s="12">
        <f>IF('Données projet'!$A$140&gt;35,CT128+CS129-DB128,IF(A129&lt;'Données projet'!$A$140,$CQ$205^A129,IF(A129='Données projet'!$A$140,'Données projet'!$B$140,CT128+CS129-DB128)))</f>
        <v>235.37927350427304</v>
      </c>
      <c r="CU129" s="17">
        <f>CT129*VLOOKUP('Données projet'!$B$13,Paramètres!$A$1:$I$89,3,0)*VLOOKUP('Données projet'!$B$13,Paramètres!$A$1:$I$89,5,0)</f>
        <v>223.98691666666625</v>
      </c>
      <c r="CV129" s="13">
        <f t="shared" si="95"/>
        <v>54.9805145106018</v>
      </c>
      <c r="CW129" s="20">
        <f t="shared" si="67"/>
        <v>485.86827596707514</v>
      </c>
      <c r="CX129" s="59">
        <f t="shared" si="68"/>
        <v>771.72294866725429</v>
      </c>
      <c r="CY129" s="59">
        <f ca="1">AVERAGE(OFFSET($CX$3,0,0,'Données projet'!$E$13+1,1))-AVERAGE(OFFSET($H$3,0,0,'Données projet'!$E$13+1,1))</f>
        <v>392.81074187112989</v>
      </c>
      <c r="CZ129" s="59">
        <f t="shared" si="96"/>
        <v>236.19146849073687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43.975867595269037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43.975867595269037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67.960365281867027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5.2446581196581219</v>
      </c>
      <c r="DO129" s="12">
        <f>IF('Données projet'!$A$166&gt;35,DO128+DN129-DW128,IF(A129&lt;'Données projet'!$A$166,$DL$205^A129,IF(A129='Données projet'!$A$166,'Données projet'!$B$166,DO128+DN129-DW128)))</f>
        <v>235.37927350427304</v>
      </c>
      <c r="DP129" s="17">
        <f>DO129*VLOOKUP('Données projet'!$B$14,Paramètres!$A$1:$I$89,3,0)*VLOOKUP('Données projet'!$B$14,Paramètres!$A$1:$I$89,5,0)</f>
        <v>253.36224999999948</v>
      </c>
      <c r="DQ129" s="13">
        <f t="shared" si="97"/>
        <v>61.305355338832562</v>
      </c>
      <c r="DR129" s="20">
        <f t="shared" si="70"/>
        <v>548.04607929846588</v>
      </c>
      <c r="DS129" s="59">
        <f t="shared" si="71"/>
        <v>833.90075199864498</v>
      </c>
      <c r="DT129" s="59">
        <f ca="1">AVERAGE(OFFSET($DS$3,0,0,'Données projet'!$E$14+1,1))-AVERAGE(OFFSET($H$3,0,0,'Données projet'!$E$14+1,1))</f>
        <v>434.77799524785502</v>
      </c>
      <c r="DU129" s="59">
        <f t="shared" si="98"/>
        <v>259.85949838170006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49.743194493009234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49.743194493009234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67.960365281867027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5.2446581196581219</v>
      </c>
      <c r="EJ129" s="12">
        <f>IF('Données projet'!$A$192&gt;35,EJ128+EI129-ER128,IF(A129&lt;'Données projet'!$A$192,$EG$205^A129,IF(A129='Données projet'!$A$192,'Données projet'!$B$192,EJ128+EI129-ER128)))</f>
        <v>235.37927350427304</v>
      </c>
      <c r="EK129" s="17">
        <f>EJ129*VLOOKUP('Données projet'!$B$15,Paramètres!$A$1:$I$89,3,0)*VLOOKUP('Données projet'!$B$15,Paramètres!$A$1:$I$89,5,0)</f>
        <v>227.65883333333289</v>
      </c>
      <c r="EL129" s="13">
        <f t="shared" si="99"/>
        <v>55.776165528866244</v>
      </c>
      <c r="EM129" s="20">
        <f t="shared" si="73"/>
        <v>493.6492896849968</v>
      </c>
      <c r="EN129" s="59">
        <f t="shared" si="74"/>
        <v>779.5039623851759</v>
      </c>
      <c r="EO129" s="59">
        <f ca="1">AVERAGE(OFFSET($EN$3,0,0,'Données projet'!$E$15+1,1))-AVERAGE(OFFSET($H$3,0,0,'Données projet'!$E$15+1,1))</f>
        <v>398.06270423055565</v>
      </c>
      <c r="EP129" s="59">
        <f t="shared" si="100"/>
        <v>239.15364562040614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44.696783457486575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44.696783457486575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67.960365281867027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-1.7053025658242404E-13</v>
      </c>
      <c r="FF129" s="17">
        <f>FE129*VLOOKUP('Données projet'!$B$16,Paramètres!$A$1:$I$89,3,0)*VLOOKUP('Données projet'!$B$16,Paramètres!$A$1:$I$89,5,0)</f>
        <v>-1.0197709343628959E-13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334.13861979962491</v>
      </c>
      <c r="FK129" s="59">
        <f t="shared" si="102"/>
        <v>416.48635183664305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40.711981956780463</v>
      </c>
      <c r="FR129" s="21">
        <f>EXP(-LN(2)/25)*FR128+(1-EXP(-LN(2)/25))/(LN(2)/25)*Calculateur!FM129*Calculateur!FO129*VLOOKUP('Données projet'!$B$16,Paramètres!$A$1:$I$89,3,0)*0.475*44/12</f>
        <v>6.3466413463906379</v>
      </c>
      <c r="FS129" s="21">
        <f>EXP(-LN(2)/2)*FS128+(1-EXP(-LN(2)/2))/(LN(2)/2)*FM129*FP129*VLOOKUP('Données projet'!$B$16,Paramètres!$A$1:$I$89,3,0)*0.475*44/12</f>
        <v>1.1759801692914198E-9</v>
      </c>
      <c r="FT129" s="22">
        <f t="shared" si="78"/>
        <v>47.05862330434708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67.960365281867027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3.4106051316484809E-13</v>
      </c>
      <c r="GA129" s="17">
        <f>FZ129*VLOOKUP('Données projet'!$B$17,Paramètres!$A$1:$I$89,3,0)*VLOOKUP('Données projet'!$B$17,Paramètres!$A$1:$I$89,5,0)</f>
        <v>1.5961632016114892E-13</v>
      </c>
      <c r="GB129" s="13">
        <f t="shared" si="103"/>
        <v>2.2708641912150958E-12</v>
      </c>
      <c r="GC129" s="20">
        <f t="shared" si="79"/>
        <v>4.2330868906469593E-12</v>
      </c>
      <c r="GD129" s="59">
        <f t="shared" si="80"/>
        <v>285.8546727001833</v>
      </c>
      <c r="GE129" s="59">
        <f ca="1">AVERAGE(OFFSET($GD$3,0,0,'Données projet'!$E$17+1,1))-AVERAGE(OFFSET($H$3,0,0,'Données projet'!$E$17+1,1))</f>
        <v>317.79829681023142</v>
      </c>
      <c r="GF129" s="59">
        <f t="shared" si="104"/>
        <v>275.07716943523621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115.60271683549438</v>
      </c>
      <c r="GM129" s="21">
        <f>EXP(-LN(2)/25)*GM128+(1-EXP(-LN(2)/25))/(LN(2)/25)*Calculateur!GH129*Calculateur!GJ129*VLOOKUP('Données projet'!$B$17,Paramètres!$A$1:$I$89,3,0)*0.475*44/12</f>
        <v>24.536287297518637</v>
      </c>
      <c r="GN129" s="21">
        <f>EXP(-LN(2)/2)*GN128+(1-EXP(-LN(2)/2))/(LN(2)/2)*GH129*GK129*VLOOKUP('Données projet'!$B$17,Paramètres!$A$1:$I$89,3,0)*0.475*44/12</f>
        <v>1.5320629370599036E-2</v>
      </c>
      <c r="GO129" s="21">
        <f t="shared" si="81"/>
        <v>140.1543247623836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67.960365281867027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>
        <f>GU129*VLOOKUP('Données projet'!$B$18,Paramètres!$A$1:$I$89,3,0)*VLOOKUP('Données projet'!$B$18,Paramètres!$A$1:$I$89,5,0)</f>
        <v>0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336.21787234885699</v>
      </c>
      <c r="HA129" s="59">
        <f t="shared" si="106"/>
        <v>315.36156736899113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69.431388420297651</v>
      </c>
      <c r="HH129" s="21">
        <f>EXP(-LN(2)/25)*HH128+(1-EXP(-LN(2)/25))/(LN(2)/25)*Calculateur!HC129*Calculateur!HE129*VLOOKUP('Données projet'!$B$18,Paramètres!$A$1:$I$89,3,0)*0.475*44/12</f>
        <v>11.733755528697813</v>
      </c>
      <c r="HI129" s="21">
        <f>EXP(-LN(2)/2)*HI128+(1-EXP(-LN(2)/2))/(LN(2)/2)*HC129*HF129*VLOOKUP('Données projet'!$B$18,Paramètres!$A$1:$I$89,3,0)*0.475*44/12</f>
        <v>1.483871054215822E-7</v>
      </c>
      <c r="HJ129" s="22">
        <f t="shared" si="84"/>
        <v>81.165144097382566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3.7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13.566666666666668</v>
      </c>
      <c r="H130" s="67">
        <f t="shared" si="56"/>
        <v>202.4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67.995748384286529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154.80128205128261</v>
      </c>
      <c r="O130" s="13">
        <f>N130*VLOOKUP('Données projet'!$B$9,Paramètres!$A$1:$I$89,3,0)*VLOOKUP('Données projet'!$B$9,Paramètres!$A$1:$I$89,5,0)</f>
        <v>140.06420000000051</v>
      </c>
      <c r="P130" s="13">
        <f t="shared" si="87"/>
        <v>36.311712421027522</v>
      </c>
      <c r="Q130" s="20">
        <f t="shared" si="107"/>
        <v>307.1880474666238</v>
      </c>
      <c r="R130" s="59">
        <f t="shared" si="55"/>
        <v>593.1724582090078</v>
      </c>
      <c r="S130" s="59">
        <f ca="1">AVERAGE(OFFSET($R$3,0,0,'Données projet'!$E$9+1,1))-AVERAGE(OFFSET($H$3,0,0,'Données projet'!$E$9+1,1))</f>
        <v>411.64357329340851</v>
      </c>
      <c r="T130" s="59">
        <f t="shared" si="88"/>
        <v>294.07942258675632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0.38700000000000001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138.61031359676292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138.61031359676292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67.995748384286529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154.80128205128204</v>
      </c>
      <c r="AG130" s="12">
        <f>VLOOKUP(A130,'Données projet'!$A$61:$I$81,9,0)</f>
        <v>2.3349358974358978</v>
      </c>
      <c r="AH130" s="12">
        <f t="array" ref="AH130">INDEX(AG:AG,MIN(IF(ISNUMBER(AG130:AG326),ROW(AG130:AG326),"")))</f>
        <v>2.3349358974358978</v>
      </c>
      <c r="AI130" s="13">
        <f>IF('Données projet'!$A$62&gt;35,AI129+AH130-AQ129,IF(A130&lt;'Données projet'!$A$62,$AF$205^A130,IF(A130='Données projet'!$A$62,'Données projet'!$B$62,AI129+AH130-AQ129)))</f>
        <v>154.80128205128261</v>
      </c>
      <c r="AJ130" s="13">
        <f>AI130*VLOOKUP('Données projet'!$B$10,Paramètres!$A$1:$I$89,3,0)*VLOOKUP('Données projet'!$B$10,Paramètres!$A$1:$I$89,5,0)</f>
        <v>156.96850000000057</v>
      </c>
      <c r="AK130" s="13">
        <f t="shared" si="89"/>
        <v>40.157992758290085</v>
      </c>
      <c r="AL130" s="20">
        <f t="shared" si="58"/>
        <v>343.32864155402285</v>
      </c>
      <c r="AM130" s="59">
        <f t="shared" si="59"/>
        <v>629.31305229640679</v>
      </c>
      <c r="AN130" s="59">
        <f ca="1">AVERAGE(OFFSET($AM$3,0,0,'Données projet'!$E$10+1,1))-AVERAGE(OFFSET($H$3,0,0,'Données projet'!$E$10+1,1))</f>
        <v>453.05577105995508</v>
      </c>
      <c r="AO130" s="59">
        <f t="shared" si="90"/>
        <v>322.6839824496758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49.916666666666671</v>
      </c>
      <c r="AR130" s="16">
        <f>IF(ISNA(VLOOKUP(A130,'Données projet'!$A$61:$I$81,5,0)),0%,VLOOKUP(A130,'Données projet'!$A$61:$I$81,5,0)*VLOOKUP('Données projet'!$B$10,Paramètres!$A$1:$I$89,7,0))</f>
        <v>0.38700000000000001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155.33914454809639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155.33914454809639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67.995748384286529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4.8538461538461579</v>
      </c>
      <c r="BD130" s="12">
        <f>IF('Données projet'!$A$88&gt;35,BD129+BC130-BL129,IF(A130&lt;'Données projet'!$A$88,$BA$205^A130,IF(A130='Données projet'!$A$88,'Données projet'!$B$88,BD129+BC130-BL129)))</f>
        <v>213.8653846153847</v>
      </c>
      <c r="BE130" s="13">
        <f>BD130*VLOOKUP('Données projet'!$B$11,Paramètres!$A$1:$I$89,3,0)*VLOOKUP('Données projet'!$B$11,Paramètres!$A$1:$I$89,5,0)</f>
        <v>213.52320000000012</v>
      </c>
      <c r="BF130" s="13">
        <f t="shared" si="91"/>
        <v>52.704746432088839</v>
      </c>
      <c r="BG130" s="20">
        <f t="shared" si="61"/>
        <v>463.68034003588826</v>
      </c>
      <c r="BH130" s="59">
        <f t="shared" si="62"/>
        <v>749.66475077827226</v>
      </c>
      <c r="BI130" s="59">
        <f ca="1">AVERAGE(OFFSET($BH$3,0,0,'Données projet'!$E$11+1,1))-AVERAGE(OFFSET($H$3,0,0,'Données projet'!$E$11+1,1))</f>
        <v>411.38162678377478</v>
      </c>
      <c r="BJ130" s="59">
        <f t="shared" si="92"/>
        <v>177.89903563360403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23.138760807473055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23.138760807473055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67.995748384286529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212.00000000000009</v>
      </c>
      <c r="BZ130" s="13">
        <f>BY130*VLOOKUP('Données projet'!$B$12,Paramètres!$A$1:$I$89,3,0)*VLOOKUP('Données projet'!$B$12,Paramètres!$A$1:$I$89,5,0)</f>
        <v>221.58240000000012</v>
      </c>
      <c r="CA130" s="13">
        <f t="shared" si="93"/>
        <v>54.458668952651578</v>
      </c>
      <c r="CB130" s="20">
        <f t="shared" si="64"/>
        <v>480.77152842586838</v>
      </c>
      <c r="CC130" s="59">
        <f t="shared" si="65"/>
        <v>766.75593916825233</v>
      </c>
      <c r="CD130" s="59">
        <f ca="1">AVERAGE(OFFSET($CC$3,0,0,'Données projet'!$E$12+1,1))-AVERAGE(OFFSET($H$3,0,0,'Données projet'!$E$12+1,1))</f>
        <v>374.38550202939507</v>
      </c>
      <c r="CE130" s="59">
        <f t="shared" si="94"/>
        <v>324.37486924296718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10.467807801300159</v>
      </c>
      <c r="CL130" s="21">
        <f>EXP(-LN(2)/25)*CL129+(1-EXP(-LN(2)/25))/(LN(2)/25)*Calculateur!CG130*Calculateur!CI130*VLOOKUP('Données projet'!$B$12,Paramètres!$A$1:$I$89,3,0)*0.475*44/12</f>
        <v>7.915945767179001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18.383753568479161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67.995748384286529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5.2446581196581219</v>
      </c>
      <c r="CT130" s="12">
        <f>IF('Données projet'!$A$140&gt;35,CT129+CS130-DB129,IF(A130&lt;'Données projet'!$A$140,$CQ$205^A130,IF(A130='Données projet'!$A$140,'Données projet'!$B$140,CT129+CS130-DB129)))</f>
        <v>240.62393162393116</v>
      </c>
      <c r="CU130" s="17">
        <f>CT130*VLOOKUP('Données projet'!$B$13,Paramètres!$A$1:$I$89,3,0)*VLOOKUP('Données projet'!$B$13,Paramètres!$A$1:$I$89,5,0)</f>
        <v>228.97773333333288</v>
      </c>
      <c r="CV130" s="13">
        <f t="shared" si="95"/>
        <v>56.061586304777492</v>
      </c>
      <c r="CW130" s="20">
        <f t="shared" si="67"/>
        <v>496.44348170304221</v>
      </c>
      <c r="CX130" s="59">
        <f t="shared" si="68"/>
        <v>782.4278924454261</v>
      </c>
      <c r="CY130" s="59">
        <f ca="1">AVERAGE(OFFSET($CX$3,0,0,'Données projet'!$E$13+1,1))-AVERAGE(OFFSET($H$3,0,0,'Données projet'!$E$13+1,1))</f>
        <v>392.81074187112989</v>
      </c>
      <c r="CZ130" s="59">
        <f t="shared" si="96"/>
        <v>236.19146849073687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43.113527654356531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43.113527654356531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67.995748384286529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5.2446581196581219</v>
      </c>
      <c r="DO130" s="12">
        <f>IF('Données projet'!$A$166&gt;35,DO129+DN130-DW129,IF(A130&lt;'Données projet'!$A$166,$DL$205^A130,IF(A130='Données projet'!$A$166,'Données projet'!$B$166,DO129+DN130-DW129)))</f>
        <v>240.62393162393116</v>
      </c>
      <c r="DP130" s="17">
        <f>DO130*VLOOKUP('Données projet'!$B$14,Paramètres!$A$1:$I$89,3,0)*VLOOKUP('Données projet'!$B$14,Paramètres!$A$1:$I$89,5,0)</f>
        <v>259.00759999999946</v>
      </c>
      <c r="DQ130" s="13">
        <f t="shared" si="97"/>
        <v>62.510791320628492</v>
      </c>
      <c r="DR130" s="20">
        <f t="shared" si="70"/>
        <v>559.97786488342695</v>
      </c>
      <c r="DS130" s="59">
        <f t="shared" si="71"/>
        <v>845.96227562581089</v>
      </c>
      <c r="DT130" s="59">
        <f ca="1">AVERAGE(OFFSET($DS$3,0,0,'Données projet'!$E$14+1,1))-AVERAGE(OFFSET($H$3,0,0,'Données projet'!$E$14+1,1))</f>
        <v>434.77799524785502</v>
      </c>
      <c r="DU130" s="59">
        <f t="shared" si="98"/>
        <v>259.85949838170006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48.767760789354099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48.767760789354099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67.995748384286529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5.2446581196581219</v>
      </c>
      <c r="EJ130" s="12">
        <f>IF('Données projet'!$A$192&gt;35,EJ129+EI130-ER129,IF(A130&lt;'Données projet'!$A$192,$EG$205^A130,IF(A130='Données projet'!$A$192,'Données projet'!$B$192,EJ129+EI130-ER129)))</f>
        <v>240.62393162393116</v>
      </c>
      <c r="EK130" s="17">
        <f>EJ130*VLOOKUP('Données projet'!$B$15,Paramètres!$A$1:$I$89,3,0)*VLOOKUP('Données projet'!$B$15,Paramètres!$A$1:$I$89,5,0)</f>
        <v>232.73146666666622</v>
      </c>
      <c r="EL130" s="13">
        <f t="shared" si="99"/>
        <v>56.872882063392389</v>
      </c>
      <c r="EM130" s="20">
        <f t="shared" si="73"/>
        <v>504.39424070485211</v>
      </c>
      <c r="EN130" s="59">
        <f t="shared" si="74"/>
        <v>790.37865144723605</v>
      </c>
      <c r="EO130" s="59">
        <f ca="1">AVERAGE(OFFSET($EN$3,0,0,'Données projet'!$E$15+1,1))-AVERAGE(OFFSET($H$3,0,0,'Données projet'!$E$15+1,1))</f>
        <v>398.06270423055565</v>
      </c>
      <c r="EP130" s="59">
        <f t="shared" si="100"/>
        <v>239.15364562040614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43.820306796231236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43.820306796231236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67.995748384286529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-1.7053025658242404E-13</v>
      </c>
      <c r="FF130" s="17">
        <f>FE130*VLOOKUP('Données projet'!$B$16,Paramètres!$A$1:$I$89,3,0)*VLOOKUP('Données projet'!$B$16,Paramètres!$A$1:$I$89,5,0)</f>
        <v>-1.0197709343628959E-13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334.13861979962491</v>
      </c>
      <c r="FK130" s="59">
        <f t="shared" si="102"/>
        <v>416.48635183664305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39.913644822465052</v>
      </c>
      <c r="FR130" s="21">
        <f>EXP(-LN(2)/25)*FR129+(1-EXP(-LN(2)/25))/(LN(2)/25)*Calculateur!FM130*Calculateur!FO130*VLOOKUP('Données projet'!$B$16,Paramètres!$A$1:$I$89,3,0)*0.475*44/12</f>
        <v>6.173092105018223</v>
      </c>
      <c r="FS130" s="21">
        <f>EXP(-LN(2)/2)*FS129+(1-EXP(-LN(2)/2))/(LN(2)/2)*FM130*FP130*VLOOKUP('Données projet'!$B$16,Paramètres!$A$1:$I$89,3,0)*0.475*44/12</f>
        <v>8.3154355224686708E-10</v>
      </c>
      <c r="FT130" s="22">
        <f t="shared" si="78"/>
        <v>46.086736928314814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67.995748384286529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3.4106051316484809E-13</v>
      </c>
      <c r="GA130" s="17">
        <f>FZ130*VLOOKUP('Données projet'!$B$17,Paramètres!$A$1:$I$89,3,0)*VLOOKUP('Données projet'!$B$17,Paramètres!$A$1:$I$89,5,0)</f>
        <v>1.5961632016114892E-13</v>
      </c>
      <c r="GB130" s="13">
        <f t="shared" si="103"/>
        <v>2.2708641912150958E-12</v>
      </c>
      <c r="GC130" s="20">
        <f t="shared" si="79"/>
        <v>4.2330868906469593E-12</v>
      </c>
      <c r="GD130" s="59">
        <f t="shared" si="80"/>
        <v>285.98441074238815</v>
      </c>
      <c r="GE130" s="59">
        <f ca="1">AVERAGE(OFFSET($GD$3,0,0,'Données projet'!$E$17+1,1))-AVERAGE(OFFSET($H$3,0,0,'Données projet'!$E$17+1,1))</f>
        <v>317.79829681023142</v>
      </c>
      <c r="GF130" s="59">
        <f t="shared" si="104"/>
        <v>275.07716943523621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113.33581806904525</v>
      </c>
      <c r="GM130" s="21">
        <f>EXP(-LN(2)/25)*GM129+(1-EXP(-LN(2)/25))/(LN(2)/25)*Calculateur!GH130*Calculateur!GJ130*VLOOKUP('Données projet'!$B$17,Paramètres!$A$1:$I$89,3,0)*0.475*44/12</f>
        <v>23.865341231060718</v>
      </c>
      <c r="GN130" s="21">
        <f>EXP(-LN(2)/2)*GN129+(1-EXP(-LN(2)/2))/(LN(2)/2)*GH130*GK130*VLOOKUP('Données projet'!$B$17,Paramètres!$A$1:$I$89,3,0)*0.475*44/12</f>
        <v>1.0833320919996368E-2</v>
      </c>
      <c r="GO130" s="21">
        <f t="shared" si="81"/>
        <v>137.21199262102596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67.995748384286529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>
        <f>GU130*VLOOKUP('Données projet'!$B$18,Paramètres!$A$1:$I$89,3,0)*VLOOKUP('Données projet'!$B$18,Paramètres!$A$1:$I$89,5,0)</f>
        <v>0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336.21787234885699</v>
      </c>
      <c r="HA130" s="59">
        <f t="shared" si="106"/>
        <v>315.36156736899113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68.069881242340941</v>
      </c>
      <c r="HH130" s="21">
        <f>EXP(-LN(2)/25)*HH129+(1-EXP(-LN(2)/25))/(LN(2)/25)*Calculateur!HC130*Calculateur!HE130*VLOOKUP('Données projet'!$B$18,Paramètres!$A$1:$I$89,3,0)*0.475*44/12</f>
        <v>11.412895366714187</v>
      </c>
      <c r="HI130" s="21">
        <f>EXP(-LN(2)/2)*HI129+(1-EXP(-LN(2)/2))/(LN(2)/2)*HC130*HF130*VLOOKUP('Données projet'!$B$18,Paramètres!$A$1:$I$89,3,0)*0.475*44/12</f>
        <v>1.0492552848424388E-7</v>
      </c>
      <c r="HJ130" s="22">
        <f t="shared" si="84"/>
        <v>79.482776713980655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3.7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13.566666666666668</v>
      </c>
      <c r="H131" s="67">
        <f t="shared" si="56"/>
        <v>202.4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68.030517668983819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106.39102564102619</v>
      </c>
      <c r="O131" s="13">
        <f>N131*VLOOKUP('Données projet'!$B$9,Paramètres!$A$1:$I$89,3,0)*VLOOKUP('Données projet'!$B$9,Paramètres!$A$1:$I$89,5,0)</f>
        <v>96.262600000000489</v>
      </c>
      <c r="P131" s="13">
        <f t="shared" si="87"/>
        <v>26.069649320395936</v>
      </c>
      <c r="Q131" s="20">
        <f t="shared" ref="Q131:Q153" si="108">(O131+P131)*0.475*44/12</f>
        <v>213.06200089969045</v>
      </c>
      <c r="R131" s="59">
        <f t="shared" ref="R131:R194" si="109">Q131+(I131+J131)*44/12</f>
        <v>499.17389901929778</v>
      </c>
      <c r="S131" s="59">
        <f ca="1">AVERAGE(OFFSET($R$3,0,0,'Données projet'!$E$9+1,1))-AVERAGE(OFFSET($H$3,0,0,'Données projet'!$E$9+1,1))</f>
        <v>411.64357329340851</v>
      </c>
      <c r="T131" s="59">
        <f t="shared" si="88"/>
        <v>294.07942258675632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135.89224989107367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135.89224989107367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68.030517668983819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1.5064102564102591</v>
      </c>
      <c r="AI131" s="13">
        <f>IF('Données projet'!$A$62&gt;35,AI130+AH131-AQ130,IF(A131&lt;'Données projet'!$A$62,$AF$205^A131,IF(A131='Données projet'!$A$62,'Données projet'!$B$62,AI130+AH131-AQ130)))</f>
        <v>106.39102564102619</v>
      </c>
      <c r="AJ131" s="13">
        <f>AI131*VLOOKUP('Données projet'!$B$10,Paramètres!$A$1:$I$89,3,0)*VLOOKUP('Données projet'!$B$10,Paramètres!$A$1:$I$89,5,0)</f>
        <v>107.88050000000057</v>
      </c>
      <c r="AK131" s="13">
        <f t="shared" si="89"/>
        <v>28.83104978583652</v>
      </c>
      <c r="AL131" s="20">
        <f t="shared" si="58"/>
        <v>238.10594921033294</v>
      </c>
      <c r="AM131" s="59">
        <f t="shared" si="59"/>
        <v>524.21784732994024</v>
      </c>
      <c r="AN131" s="59">
        <f ca="1">AVERAGE(OFFSET($AM$3,0,0,'Données projet'!$E$10+1,1))-AVERAGE(OFFSET($H$3,0,0,'Données projet'!$E$10+1,1))</f>
        <v>453.05577105995508</v>
      </c>
      <c r="AO131" s="59">
        <f t="shared" si="90"/>
        <v>322.6839824496758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152.29303867103084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152.29303867103084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68.030517668983819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4.8538461538461579</v>
      </c>
      <c r="BD131" s="12">
        <f>IF('Données projet'!$A$88&gt;35,BD130+BC131-BL130,IF(A131&lt;'Données projet'!$A$88,$BA$205^A131,IF(A131='Données projet'!$A$88,'Données projet'!$B$88,BD130+BC131-BL130)))</f>
        <v>218.71923076923085</v>
      </c>
      <c r="BE131" s="13">
        <f>BD131*VLOOKUP('Données projet'!$B$11,Paramètres!$A$1:$I$89,3,0)*VLOOKUP('Données projet'!$B$11,Paramètres!$A$1:$I$89,5,0)</f>
        <v>218.36928000000009</v>
      </c>
      <c r="BF131" s="13">
        <f t="shared" si="91"/>
        <v>53.760303461758468</v>
      </c>
      <c r="BG131" s="20">
        <f t="shared" si="61"/>
        <v>473.95902452922945</v>
      </c>
      <c r="BH131" s="59">
        <f t="shared" si="62"/>
        <v>760.07092264883681</v>
      </c>
      <c r="BI131" s="59">
        <f ca="1">AVERAGE(OFFSET($BH$3,0,0,'Données projet'!$E$11+1,1))-AVERAGE(OFFSET($H$3,0,0,'Données projet'!$E$11+1,1))</f>
        <v>411.38162678377478</v>
      </c>
      <c r="BJ131" s="59">
        <f t="shared" si="92"/>
        <v>177.89903563360403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22.685023821289032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22.685023821289032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68.030517668983819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212.00000000000009</v>
      </c>
      <c r="BZ131" s="13">
        <f>BY131*VLOOKUP('Données projet'!$B$12,Paramètres!$A$1:$I$89,3,0)*VLOOKUP('Données projet'!$B$12,Paramètres!$A$1:$I$89,5,0)</f>
        <v>221.58240000000012</v>
      </c>
      <c r="CA131" s="13">
        <f t="shared" si="93"/>
        <v>54.458668952651578</v>
      </c>
      <c r="CB131" s="20">
        <f t="shared" si="64"/>
        <v>480.77152842586838</v>
      </c>
      <c r="CC131" s="59">
        <f t="shared" si="65"/>
        <v>766.88342654547569</v>
      </c>
      <c r="CD131" s="59">
        <f ca="1">AVERAGE(OFFSET($CC$3,0,0,'Données projet'!$E$12+1,1))-AVERAGE(OFFSET($H$3,0,0,'Données projet'!$E$12+1,1))</f>
        <v>374.38550202939507</v>
      </c>
      <c r="CE131" s="59">
        <f t="shared" si="94"/>
        <v>324.37486924296718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10.262540475048981</v>
      </c>
      <c r="CL131" s="21">
        <f>EXP(-LN(2)/25)*CL130+(1-EXP(-LN(2)/25))/(LN(2)/25)*Calculateur!CG131*Calculateur!CI131*VLOOKUP('Données projet'!$B$12,Paramètres!$A$1:$I$89,3,0)*0.475*44/12</f>
        <v>7.6994838138939956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17.962024288942978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68.030517668983819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5.2446581196581219</v>
      </c>
      <c r="CT131" s="12">
        <f>IF('Données projet'!$A$140&gt;35,CT130+CS131-DB130,IF(A131&lt;'Données projet'!$A$140,$CQ$205^A131,IF(A131='Données projet'!$A$140,'Données projet'!$B$140,CT130+CS131-DB130)))</f>
        <v>245.86858974358927</v>
      </c>
      <c r="CU131" s="17">
        <f>CT131*VLOOKUP('Données projet'!$B$13,Paramètres!$A$1:$I$89,3,0)*VLOOKUP('Données projet'!$B$13,Paramètres!$A$1:$I$89,5,0)</f>
        <v>233.96854999999954</v>
      </c>
      <c r="CV131" s="13">
        <f t="shared" si="95"/>
        <v>57.139918598168187</v>
      </c>
      <c r="CW131" s="20">
        <f t="shared" si="67"/>
        <v>507.01391614180881</v>
      </c>
      <c r="CX131" s="59">
        <f t="shared" si="68"/>
        <v>793.12581426141617</v>
      </c>
      <c r="CY131" s="59">
        <f ca="1">AVERAGE(OFFSET($CX$3,0,0,'Données projet'!$E$13+1,1))-AVERAGE(OFFSET($H$3,0,0,'Données projet'!$E$13+1,1))</f>
        <v>392.81074187112989</v>
      </c>
      <c r="CZ131" s="59">
        <f t="shared" si="96"/>
        <v>236.19146849073687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42.268097673709889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42.268097673709889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68.030517668983819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5.2446581196581219</v>
      </c>
      <c r="DO131" s="12">
        <f>IF('Données projet'!$A$166&gt;35,DO130+DN131-DW130,IF(A131&lt;'Données projet'!$A$166,$DL$205^A131,IF(A131='Données projet'!$A$166,'Données projet'!$B$166,DO130+DN131-DW130)))</f>
        <v>245.86858974358927</v>
      </c>
      <c r="DP131" s="17">
        <f>DO131*VLOOKUP('Données projet'!$B$14,Paramètres!$A$1:$I$89,3,0)*VLOOKUP('Données projet'!$B$14,Paramètres!$A$1:$I$89,5,0)</f>
        <v>264.65294999999946</v>
      </c>
      <c r="DQ131" s="13">
        <f t="shared" si="97"/>
        <v>63.713172655326758</v>
      </c>
      <c r="DR131" s="20">
        <f t="shared" si="70"/>
        <v>571.90433029135977</v>
      </c>
      <c r="DS131" s="59">
        <f t="shared" si="71"/>
        <v>858.01622841096719</v>
      </c>
      <c r="DT131" s="59">
        <f ca="1">AVERAGE(OFFSET($DS$3,0,0,'Données projet'!$E$14+1,1))-AVERAGE(OFFSET($H$3,0,0,'Données projet'!$E$14+1,1))</f>
        <v>434.77799524785502</v>
      </c>
      <c r="DU131" s="59">
        <f t="shared" si="98"/>
        <v>259.85949838170006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47.811454745671831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47.811454745671831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68.030517668983819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5.2446581196581219</v>
      </c>
      <c r="EJ131" s="12">
        <f>IF('Données projet'!$A$192&gt;35,EJ130+EI131-ER130,IF(A131&lt;'Données projet'!$A$192,$EG$205^A131,IF(A131='Données projet'!$A$192,'Données projet'!$B$192,EJ130+EI131-ER130)))</f>
        <v>245.86858974358927</v>
      </c>
      <c r="EK131" s="17">
        <f>EJ131*VLOOKUP('Données projet'!$B$15,Paramètres!$A$1:$I$89,3,0)*VLOOKUP('Données projet'!$B$15,Paramètres!$A$1:$I$89,5,0)</f>
        <v>237.80409999999952</v>
      </c>
      <c r="EL131" s="13">
        <f t="shared" si="99"/>
        <v>57.966819452422889</v>
      </c>
      <c r="EM131" s="20">
        <f t="shared" si="73"/>
        <v>515.13435137963563</v>
      </c>
      <c r="EN131" s="59">
        <f t="shared" si="74"/>
        <v>801.24624949924305</v>
      </c>
      <c r="EO131" s="59">
        <f ca="1">AVERAGE(OFFSET($EN$3,0,0,'Données projet'!$E$15+1,1))-AVERAGE(OFFSET($H$3,0,0,'Données projet'!$E$15+1,1))</f>
        <v>398.06270423055565</v>
      </c>
      <c r="EP131" s="59">
        <f t="shared" si="100"/>
        <v>239.15364562040614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42.961017307705141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42.961017307705141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68.030517668983819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-1.7053025658242404E-13</v>
      </c>
      <c r="FF131" s="17">
        <f>FE131*VLOOKUP('Données projet'!$B$16,Paramètres!$A$1:$I$89,3,0)*VLOOKUP('Données projet'!$B$16,Paramètres!$A$1:$I$89,5,0)</f>
        <v>-1.0197709343628959E-13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334.13861979962491</v>
      </c>
      <c r="FK131" s="59">
        <f t="shared" si="102"/>
        <v>416.48635183664305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39.13096259241599</v>
      </c>
      <c r="FR131" s="21">
        <f>EXP(-LN(2)/25)*FR130+(1-EXP(-LN(2)/25))/(LN(2)/25)*Calculateur!FM131*Calculateur!FO131*VLOOKUP('Données projet'!$B$16,Paramètres!$A$1:$I$89,3,0)*0.475*44/12</f>
        <v>6.0042885767776948</v>
      </c>
      <c r="FS131" s="21">
        <f>EXP(-LN(2)/2)*FS130+(1-EXP(-LN(2)/2))/(LN(2)/2)*FM131*FP131*VLOOKUP('Données projet'!$B$16,Paramètres!$A$1:$I$89,3,0)*0.475*44/12</f>
        <v>5.8799008464570988E-10</v>
      </c>
      <c r="FT131" s="22">
        <f t="shared" si="78"/>
        <v>45.135251169781675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68.030517668983819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3.4106051316484809E-13</v>
      </c>
      <c r="GA131" s="17">
        <f>FZ131*VLOOKUP('Données projet'!$B$17,Paramètres!$A$1:$I$89,3,0)*VLOOKUP('Données projet'!$B$17,Paramètres!$A$1:$I$89,5,0)</f>
        <v>1.5961632016114892E-13</v>
      </c>
      <c r="GB131" s="13">
        <f t="shared" si="103"/>
        <v>2.2708641912150958E-12</v>
      </c>
      <c r="GC131" s="20">
        <f t="shared" si="79"/>
        <v>4.2330868906469593E-12</v>
      </c>
      <c r="GD131" s="59">
        <f t="shared" si="80"/>
        <v>286.11189811961157</v>
      </c>
      <c r="GE131" s="59">
        <f ca="1">AVERAGE(OFFSET($GD$3,0,0,'Données projet'!$E$17+1,1))-AVERAGE(OFFSET($H$3,0,0,'Données projet'!$E$17+1,1))</f>
        <v>317.79829681023142</v>
      </c>
      <c r="GF131" s="59">
        <f t="shared" si="104"/>
        <v>275.07716943523621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111.11337180473447</v>
      </c>
      <c r="GM131" s="21">
        <f>EXP(-LN(2)/25)*GM130+(1-EXP(-LN(2)/25))/(LN(2)/25)*Calculateur!GH131*Calculateur!GJ131*VLOOKUP('Données projet'!$B$17,Paramètres!$A$1:$I$89,3,0)*0.475*44/12</f>
        <v>23.212742220073611</v>
      </c>
      <c r="GN131" s="21">
        <f>EXP(-LN(2)/2)*GN130+(1-EXP(-LN(2)/2))/(LN(2)/2)*GH131*GK131*VLOOKUP('Données projet'!$B$17,Paramètres!$A$1:$I$89,3,0)*0.475*44/12</f>
        <v>7.6603146852995199E-3</v>
      </c>
      <c r="GO131" s="21">
        <f t="shared" si="81"/>
        <v>134.33377433949337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68.030517668983819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>
        <f>GU131*VLOOKUP('Données projet'!$B$18,Paramètres!$A$1:$I$89,3,0)*VLOOKUP('Données projet'!$B$18,Paramètres!$A$1:$I$89,5,0)</f>
        <v>0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336.21787234885699</v>
      </c>
      <c r="HA131" s="59">
        <f t="shared" si="106"/>
        <v>315.36156736899113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66.735072389706573</v>
      </c>
      <c r="HH131" s="21">
        <f>EXP(-LN(2)/25)*HH130+(1-EXP(-LN(2)/25))/(LN(2)/25)*Calculateur!HC131*Calculateur!HE131*VLOOKUP('Données projet'!$B$18,Paramètres!$A$1:$I$89,3,0)*0.475*44/12</f>
        <v>11.100809142733304</v>
      </c>
      <c r="HI131" s="21">
        <f>EXP(-LN(2)/2)*HI130+(1-EXP(-LN(2)/2))/(LN(2)/2)*HC131*HF131*VLOOKUP('Données projet'!$B$18,Paramètres!$A$1:$I$89,3,0)*0.475*44/12</f>
        <v>7.4193552710791098E-8</v>
      </c>
      <c r="HJ131" s="22">
        <f t="shared" si="84"/>
        <v>77.835881606633436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3.7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13.566666666666668</v>
      </c>
      <c r="H132" s="67">
        <f t="shared" ref="H132:H195" si="110">(B132+E132+F132)*44/12+(C132+D132)*0.475*44/12</f>
        <v>202.4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68.064683784324089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107.89743589743645</v>
      </c>
      <c r="O132" s="13">
        <f>N132*VLOOKUP('Données projet'!$B$9,Paramètres!$A$1:$I$89,3,0)*VLOOKUP('Données projet'!$B$9,Paramètres!$A$1:$I$89,5,0)</f>
        <v>97.625600000000489</v>
      </c>
      <c r="P132" s="13">
        <f t="shared" si="87"/>
        <v>26.395540798282454</v>
      </c>
      <c r="Q132" s="20">
        <f t="shared" si="108"/>
        <v>216.00348689034277</v>
      </c>
      <c r="R132" s="59">
        <f t="shared" si="109"/>
        <v>502.24066076619772</v>
      </c>
      <c r="S132" s="59">
        <f ca="1">AVERAGE(OFFSET($R$3,0,0,'Données projet'!$E$9+1,1))-AVERAGE(OFFSET($H$3,0,0,'Données projet'!$E$9+1,1))</f>
        <v>411.64357329340851</v>
      </c>
      <c r="T132" s="59">
        <f t="shared" si="88"/>
        <v>294.07942258675632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133.22748575679782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133.22748575679782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68.064683784324089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1.5064102564102591</v>
      </c>
      <c r="AI132" s="13">
        <f>IF('Données projet'!$A$62&gt;35,AI131+AH132-AQ131,IF(A132&lt;'Données projet'!$A$62,$AF$205^A132,IF(A132='Données projet'!$A$62,'Données projet'!$B$62,AI131+AH132-AQ131)))</f>
        <v>107.89743589743645</v>
      </c>
      <c r="AJ132" s="13">
        <f>AI132*VLOOKUP('Données projet'!$B$10,Paramètres!$A$1:$I$89,3,0)*VLOOKUP('Données projet'!$B$10,Paramètres!$A$1:$I$89,5,0)</f>
        <v>109.40800000000057</v>
      </c>
      <c r="AK132" s="13">
        <f t="shared" si="89"/>
        <v>29.191460979261141</v>
      </c>
      <c r="AL132" s="20">
        <f t="shared" ref="AL132:AL153" si="112">(AJ132+AK132)*0.475*44/12</f>
        <v>241.39406120554747</v>
      </c>
      <c r="AM132" s="59">
        <f t="shared" ref="AM132:AM195" si="113">AL132+(AD132+AE132)*44/12</f>
        <v>527.63123508140245</v>
      </c>
      <c r="AN132" s="59">
        <f ca="1">AVERAGE(OFFSET($AM$3,0,0,'Données projet'!$E$10+1,1))-AVERAGE(OFFSET($H$3,0,0,'Données projet'!$E$10+1,1))</f>
        <v>453.05577105995508</v>
      </c>
      <c r="AO132" s="59">
        <f t="shared" si="90"/>
        <v>322.6839824496758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149.30666507227343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149.30666507227343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68.064683784324089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4.8538461538461579</v>
      </c>
      <c r="BD132" s="12">
        <f>IF('Données projet'!$A$88&gt;35,BD131+BC132-BL131,IF(A132&lt;'Données projet'!$A$88,$BA$205^A132,IF(A132='Données projet'!$A$88,'Données projet'!$B$88,BD131+BC132-BL131)))</f>
        <v>223.573076923077</v>
      </c>
      <c r="BE132" s="13">
        <f>BD132*VLOOKUP('Données projet'!$B$11,Paramètres!$A$1:$I$89,3,0)*VLOOKUP('Données projet'!$B$11,Paramètres!$A$1:$I$89,5,0)</f>
        <v>223.21536000000009</v>
      </c>
      <c r="BF132" s="13">
        <f t="shared" si="91"/>
        <v>54.813137096694234</v>
      </c>
      <c r="BG132" s="20">
        <f t="shared" ref="BG132:BG153" si="115">(BE132+BF132)*0.475*44/12</f>
        <v>484.23296577674256</v>
      </c>
      <c r="BH132" s="59">
        <f t="shared" ref="BH132:BH195" si="116">BG132+(AY132+AZ132)*44/12</f>
        <v>770.47013965259748</v>
      </c>
      <c r="BI132" s="59">
        <f ca="1">AVERAGE(OFFSET($BH$3,0,0,'Données projet'!$E$11+1,1))-AVERAGE(OFFSET($H$3,0,0,'Données projet'!$E$11+1,1))</f>
        <v>411.38162678377478</v>
      </c>
      <c r="BJ132" s="59">
        <f t="shared" si="92"/>
        <v>177.89903563360403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22.240184340651844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22.240184340651844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68.064683784324089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212.00000000000009</v>
      </c>
      <c r="BZ132" s="13">
        <f>BY132*VLOOKUP('Données projet'!$B$12,Paramètres!$A$1:$I$89,3,0)*VLOOKUP('Données projet'!$B$12,Paramètres!$A$1:$I$89,5,0)</f>
        <v>221.58240000000012</v>
      </c>
      <c r="CA132" s="13">
        <f t="shared" si="93"/>
        <v>54.458668952651578</v>
      </c>
      <c r="CB132" s="20">
        <f t="shared" ref="CB132:CB153" si="118">(BZ132+CA132)*0.475*44/12</f>
        <v>480.77152842586838</v>
      </c>
      <c r="CC132" s="59">
        <f t="shared" ref="CC132:CC195" si="119">CB132+(BT132+BU132)*44/12</f>
        <v>767.00870230172336</v>
      </c>
      <c r="CD132" s="59">
        <f ca="1">AVERAGE(OFFSET($CC$3,0,0,'Données projet'!$E$12+1,1))-AVERAGE(OFFSET($H$3,0,0,'Données projet'!$E$12+1,1))</f>
        <v>374.38550202939507</v>
      </c>
      <c r="CE132" s="59">
        <f t="shared" si="94"/>
        <v>324.37486924296718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10.061298315864883</v>
      </c>
      <c r="CL132" s="21">
        <f>EXP(-LN(2)/25)*CL131+(1-EXP(-LN(2)/25))/(LN(2)/25)*Calculateur!CG132*Calculateur!CI132*VLOOKUP('Données projet'!$B$12,Paramètres!$A$1:$I$89,3,0)*0.475*44/12</f>
        <v>7.4889410241048076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17.550239339969693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68.064683784324089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5.2446581196581219</v>
      </c>
      <c r="CT132" s="12">
        <f>IF('Données projet'!$A$140&gt;35,CT131+CS132-DB131,IF(A132&lt;'Données projet'!$A$140,$CQ$205^A132,IF(A132='Données projet'!$A$140,'Données projet'!$B$140,CT131+CS132-DB131)))</f>
        <v>251.11324786324738</v>
      </c>
      <c r="CU132" s="17">
        <f>CT132*VLOOKUP('Données projet'!$B$13,Paramètres!$A$1:$I$89,3,0)*VLOOKUP('Données projet'!$B$13,Paramètres!$A$1:$I$89,5,0)</f>
        <v>238.95936666666623</v>
      </c>
      <c r="CV132" s="13">
        <f t="shared" si="95"/>
        <v>58.215576558543134</v>
      </c>
      <c r="CW132" s="20">
        <f t="shared" ref="CW132:CW153" si="121">(CU132+CV132)*0.475*44/12</f>
        <v>517.57969278390635</v>
      </c>
      <c r="CX132" s="59">
        <f t="shared" ref="CX132:CX195" si="122">CW132+(CO132+CP132)*44/12</f>
        <v>803.81686665976133</v>
      </c>
      <c r="CY132" s="59">
        <f ca="1">AVERAGE(OFFSET($CX$3,0,0,'Données projet'!$E$13+1,1))-AVERAGE(OFFSET($H$3,0,0,'Données projet'!$E$13+1,1))</f>
        <v>392.81074187112989</v>
      </c>
      <c r="CZ132" s="59">
        <f t="shared" si="96"/>
        <v>236.19146849073687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41.439246059322357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41.439246059322357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68.064683784324089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5.2446581196581219</v>
      </c>
      <c r="DO132" s="12">
        <f>IF('Données projet'!$A$166&gt;35,DO131+DN132-DW131,IF(A132&lt;'Données projet'!$A$166,$DL$205^A132,IF(A132='Données projet'!$A$166,'Données projet'!$B$166,DO131+DN132-DW131)))</f>
        <v>251.11324786324738</v>
      </c>
      <c r="DP132" s="17">
        <f>DO132*VLOOKUP('Données projet'!$B$14,Paramètres!$A$1:$I$89,3,0)*VLOOKUP('Données projet'!$B$14,Paramètres!$A$1:$I$89,5,0)</f>
        <v>270.29829999999947</v>
      </c>
      <c r="DQ132" s="13">
        <f t="shared" si="97"/>
        <v>64.912572007457499</v>
      </c>
      <c r="DR132" s="20">
        <f t="shared" ref="DR132:DR153" si="124">(DP132+DQ132)*0.475*44/12</f>
        <v>583.82560207965423</v>
      </c>
      <c r="DS132" s="59">
        <f t="shared" ref="DS132:DS195" si="125">DR132+(DJ132+DK132)*44/12</f>
        <v>870.06277595550921</v>
      </c>
      <c r="DT132" s="59">
        <f ca="1">AVERAGE(OFFSET($DS$3,0,0,'Données projet'!$E$14+1,1))-AVERAGE(OFFSET($H$3,0,0,'Données projet'!$E$14+1,1))</f>
        <v>434.77799524785502</v>
      </c>
      <c r="DU132" s="59">
        <f t="shared" si="98"/>
        <v>259.85949838170006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46.873901280217083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46.873901280217083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68.064683784324089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5.2446581196581219</v>
      </c>
      <c r="EJ132" s="12">
        <f>IF('Données projet'!$A$192&gt;35,EJ131+EI132-ER131,IF(A132&lt;'Données projet'!$A$192,$EG$205^A132,IF(A132='Données projet'!$A$192,'Données projet'!$B$192,EJ131+EI132-ER131)))</f>
        <v>251.11324786324738</v>
      </c>
      <c r="EK132" s="17">
        <f>EJ132*VLOOKUP('Données projet'!$B$15,Paramètres!$A$1:$I$89,3,0)*VLOOKUP('Données projet'!$B$15,Paramètres!$A$1:$I$89,5,0)</f>
        <v>242.87673333333288</v>
      </c>
      <c r="EL132" s="13">
        <f t="shared" si="99"/>
        <v>59.058043806802971</v>
      </c>
      <c r="EM132" s="20">
        <f t="shared" ref="EM132:EM153" si="127">(EK132+EL132)*0.475*44/12</f>
        <v>525.86973685240321</v>
      </c>
      <c r="EN132" s="59">
        <f t="shared" ref="EN132:EN195" si="128">EM132+(EE132+EF132)*44/12</f>
        <v>812.10691072825819</v>
      </c>
      <c r="EO132" s="59">
        <f ca="1">AVERAGE(OFFSET($EN$3,0,0,'Données projet'!$E$15+1,1))-AVERAGE(OFFSET($H$3,0,0,'Données projet'!$E$15+1,1))</f>
        <v>398.06270423055565</v>
      </c>
      <c r="EP132" s="59">
        <f t="shared" si="100"/>
        <v>239.15364562040614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42.118577961934207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42.118577961934207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68.064683784324089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-1.7053025658242404E-13</v>
      </c>
      <c r="FF132" s="17">
        <f>FE132*VLOOKUP('Données projet'!$B$16,Paramètres!$A$1:$I$89,3,0)*VLOOKUP('Données projet'!$B$16,Paramètres!$A$1:$I$89,5,0)</f>
        <v>-1.0197709343628959E-13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334.13861979962491</v>
      </c>
      <c r="FK132" s="59">
        <f t="shared" si="102"/>
        <v>416.48635183664305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38.363628283509172</v>
      </c>
      <c r="FR132" s="21">
        <f>EXP(-LN(2)/25)*FR131+(1-EXP(-LN(2)/25))/(LN(2)/25)*Calculateur!FM132*Calculateur!FO132*VLOOKUP('Données projet'!$B$16,Paramètres!$A$1:$I$89,3,0)*0.475*44/12</f>
        <v>5.8401009898938954</v>
      </c>
      <c r="FS132" s="21">
        <f>EXP(-LN(2)/2)*FS131+(1-EXP(-LN(2)/2))/(LN(2)/2)*FM132*FP132*VLOOKUP('Données projet'!$B$16,Paramètres!$A$1:$I$89,3,0)*0.475*44/12</f>
        <v>4.1577177612343354E-10</v>
      </c>
      <c r="FT132" s="22">
        <f t="shared" ref="FT132:FT153" si="132">SUM(FQ132:FS132)</f>
        <v>44.203729273818844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68.064683784324089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3.4106051316484809E-13</v>
      </c>
      <c r="GA132" s="17">
        <f>FZ132*VLOOKUP('Données projet'!$B$17,Paramètres!$A$1:$I$89,3,0)*VLOOKUP('Données projet'!$B$17,Paramètres!$A$1:$I$89,5,0)</f>
        <v>1.5961632016114892E-13</v>
      </c>
      <c r="GB132" s="13">
        <f t="shared" si="103"/>
        <v>2.2708641912150958E-12</v>
      </c>
      <c r="GC132" s="20">
        <f t="shared" ref="GC132:GC153" si="133">(GA132+GB132)*0.475*44/12</f>
        <v>4.2330868906469593E-12</v>
      </c>
      <c r="GD132" s="59">
        <f t="shared" ref="GD132:GD195" si="134">GC132+(FU132+FV132)*44/12</f>
        <v>286.23717387585918</v>
      </c>
      <c r="GE132" s="59">
        <f ca="1">AVERAGE(OFFSET($GD$3,0,0,'Données projet'!$E$17+1,1))-AVERAGE(OFFSET($H$3,0,0,'Données projet'!$E$17+1,1))</f>
        <v>317.79829681023142</v>
      </c>
      <c r="GF132" s="59">
        <f t="shared" si="104"/>
        <v>275.07716943523621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108.93450635610846</v>
      </c>
      <c r="GM132" s="21">
        <f>EXP(-LN(2)/25)*GM131+(1-EXP(-LN(2)/25))/(LN(2)/25)*Calculateur!GH132*Calculateur!GJ132*VLOOKUP('Données projet'!$B$17,Paramètres!$A$1:$I$89,3,0)*0.475*44/12</f>
        <v>22.577988563360638</v>
      </c>
      <c r="GN132" s="21">
        <f>EXP(-LN(2)/2)*GN131+(1-EXP(-LN(2)/2))/(LN(2)/2)*GH132*GK132*VLOOKUP('Données projet'!$B$17,Paramètres!$A$1:$I$89,3,0)*0.475*44/12</f>
        <v>5.4166604599981847E-3</v>
      </c>
      <c r="GO132" s="21">
        <f t="shared" ref="GO132:GO153" si="135">SUM(GL132:GN132)</f>
        <v>131.51791157992909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68.064683784324089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>
        <f>GU132*VLOOKUP('Données projet'!$B$18,Paramètres!$A$1:$I$89,3,0)*VLOOKUP('Données projet'!$B$18,Paramètres!$A$1:$I$89,5,0)</f>
        <v>0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336.21787234885699</v>
      </c>
      <c r="HA132" s="59">
        <f t="shared" si="106"/>
        <v>315.36156736899113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65.426438324519367</v>
      </c>
      <c r="HH132" s="21">
        <f>EXP(-LN(2)/25)*HH131+(1-EXP(-LN(2)/25))/(LN(2)/25)*Calculateur!HC132*Calculateur!HE132*VLOOKUP('Données projet'!$B$18,Paramètres!$A$1:$I$89,3,0)*0.475*44/12</f>
        <v>10.79725693295908</v>
      </c>
      <c r="HI132" s="21">
        <f>EXP(-LN(2)/2)*HI131+(1-EXP(-LN(2)/2))/(LN(2)/2)*HC132*HF132*VLOOKUP('Données projet'!$B$18,Paramètres!$A$1:$I$89,3,0)*0.475*44/12</f>
        <v>5.2462764242121942E-8</v>
      </c>
      <c r="HJ132" s="22">
        <f t="shared" ref="HJ132:HJ153" si="138">SUM(HG132:HI132)</f>
        <v>76.22369530994122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3.7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13.566666666666668</v>
      </c>
      <c r="H133" s="67">
        <f t="shared" si="110"/>
        <v>202.4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68.098257193947205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109.40384615384671</v>
      </c>
      <c r="O133" s="13">
        <f>N133*VLOOKUP('Données projet'!$B$9,Paramètres!$A$1:$I$89,3,0)*VLOOKUP('Données projet'!$B$9,Paramètres!$A$1:$I$89,5,0)</f>
        <v>98.988600000000503</v>
      </c>
      <c r="P133" s="13">
        <f t="shared" ref="P133:P196" si="141">EXP(-1.0587+0.8836*LN(O133)+0.284)</f>
        <v>26.720903075724102</v>
      </c>
      <c r="Q133" s="20">
        <f t="shared" si="108"/>
        <v>218.94405119022034</v>
      </c>
      <c r="R133" s="59">
        <f t="shared" si="109"/>
        <v>505.30432756802679</v>
      </c>
      <c r="S133" s="59">
        <f ca="1">AVERAGE(OFFSET($R$3,0,0,'Données projet'!$E$9+1,1))-AVERAGE(OFFSET($H$3,0,0,'Données projet'!$E$9+1,1))</f>
        <v>411.64357329340851</v>
      </c>
      <c r="T133" s="59">
        <f t="shared" ref="T133:T196" si="142">$T$3</f>
        <v>294.07942258675632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130.61497602184949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130.61497602184949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68.098257193947205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1.5064102564102591</v>
      </c>
      <c r="AI133" s="13">
        <f>IF('Données projet'!$A$62&gt;35,AI132+AH133-AQ132,IF(A133&lt;'Données projet'!$A$62,$AF$205^A133,IF(A133='Données projet'!$A$62,'Données projet'!$B$62,AI132+AH133-AQ132)))</f>
        <v>109.40384615384671</v>
      </c>
      <c r="AJ133" s="13">
        <f>AI133*VLOOKUP('Données projet'!$B$10,Paramètres!$A$1:$I$89,3,0)*VLOOKUP('Données projet'!$B$10,Paramètres!$A$1:$I$89,5,0)</f>
        <v>110.93550000000057</v>
      </c>
      <c r="AK133" s="13">
        <f t="shared" ref="AK133:AK153" si="143">EXP(-1.0587+0.8836*LN(AJ133)+0.284)</f>
        <v>29.551286917234709</v>
      </c>
      <c r="AL133" s="20">
        <f t="shared" si="112"/>
        <v>244.6811538808515</v>
      </c>
      <c r="AM133" s="59">
        <f t="shared" si="113"/>
        <v>531.0414302586579</v>
      </c>
      <c r="AN133" s="59">
        <f ca="1">AVERAGE(OFFSET($AM$3,0,0,'Données projet'!$E$10+1,1))-AVERAGE(OFFSET($H$3,0,0,'Données projet'!$E$10+1,1))</f>
        <v>453.05577105995508</v>
      </c>
      <c r="AO133" s="59">
        <f t="shared" ref="AO133:AO196" si="144">$AO$3</f>
        <v>322.6839824496758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146.37885243827961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146.37885243827961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68.098257193947205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4.8538461538461579</v>
      </c>
      <c r="BD133" s="12">
        <f>IF('Données projet'!$A$88&gt;35,BD132+BC133-BL132,IF(A133&lt;'Données projet'!$A$88,$BA$205^A133,IF(A133='Données projet'!$A$88,'Données projet'!$B$88,BD132+BC133-BL132)))</f>
        <v>228.42692307692315</v>
      </c>
      <c r="BE133" s="13">
        <f>BD133*VLOOKUP('Données projet'!$B$11,Paramètres!$A$1:$I$89,3,0)*VLOOKUP('Données projet'!$B$11,Paramètres!$A$1:$I$89,5,0)</f>
        <v>228.06144000000006</v>
      </c>
      <c r="BF133" s="13">
        <f t="shared" ref="BF133:BF153" si="145">EXP(-1.0587+0.8836*LN(BE133)+0.284)</f>
        <v>55.863313272077875</v>
      </c>
      <c r="BG133" s="20">
        <f t="shared" si="115"/>
        <v>494.50227861553572</v>
      </c>
      <c r="BH133" s="59">
        <f t="shared" si="116"/>
        <v>780.8625549933422</v>
      </c>
      <c r="BI133" s="59">
        <f ca="1">AVERAGE(OFFSET($BH$3,0,0,'Données projet'!$E$11+1,1))-AVERAGE(OFFSET($H$3,0,0,'Données projet'!$E$11+1,1))</f>
        <v>411.38162678377478</v>
      </c>
      <c r="BJ133" s="59">
        <f t="shared" ref="BJ133:BJ196" si="146">$BJ$3</f>
        <v>177.89903563360403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21.804067890904658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21.804067890904658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68.098257193947205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212.00000000000009</v>
      </c>
      <c r="BZ133" s="13">
        <f>BY133*VLOOKUP('Données projet'!$B$12,Paramètres!$A$1:$I$89,3,0)*VLOOKUP('Données projet'!$B$12,Paramètres!$A$1:$I$89,5,0)</f>
        <v>221.58240000000012</v>
      </c>
      <c r="CA133" s="13">
        <f t="shared" ref="CA133:CA153" si="147">EXP(-1.0587+0.8836*LN(BZ133)+0.284)</f>
        <v>54.458668952651578</v>
      </c>
      <c r="CB133" s="20">
        <f t="shared" si="118"/>
        <v>480.77152842586838</v>
      </c>
      <c r="CC133" s="59">
        <f t="shared" si="119"/>
        <v>767.13180480367487</v>
      </c>
      <c r="CD133" s="59">
        <f ca="1">AVERAGE(OFFSET($CC$3,0,0,'Données projet'!$E$12+1,1))-AVERAGE(OFFSET($H$3,0,0,'Données projet'!$E$12+1,1))</f>
        <v>374.38550202939507</v>
      </c>
      <c r="CE133" s="59">
        <f t="shared" ref="CE133:CE196" si="148">$CE$3</f>
        <v>324.37486924296718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9.8640023926767881</v>
      </c>
      <c r="CL133" s="21">
        <f>EXP(-LN(2)/25)*CL132+(1-EXP(-LN(2)/25))/(LN(2)/25)*Calculateur!CG133*Calculateur!CI133*VLOOKUP('Données projet'!$B$12,Paramètres!$A$1:$I$89,3,0)*0.475*44/12</f>
        <v>7.2841555379743692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17.148157930651159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68.098257193947205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5.2446581196581219</v>
      </c>
      <c r="CT133" s="12">
        <f>IF('Données projet'!$A$140&gt;35,CT132+CS133-DB132,IF(A133&lt;'Données projet'!$A$140,$CQ$205^A133,IF(A133='Données projet'!$A$140,'Données projet'!$B$140,CT132+CS133-DB132)))</f>
        <v>256.35790598290549</v>
      </c>
      <c r="CU133" s="17">
        <f>CT133*VLOOKUP('Données projet'!$B$13,Paramètres!$A$1:$I$89,3,0)*VLOOKUP('Données projet'!$B$13,Paramètres!$A$1:$I$89,5,0)</f>
        <v>243.95018333333286</v>
      </c>
      <c r="CV133" s="13">
        <f t="shared" ref="CV133:CV153" si="149">EXP(-1.0587+0.8836*LN(CU133)+0.284)</f>
        <v>59.288622475973931</v>
      </c>
      <c r="CW133" s="20">
        <f t="shared" si="121"/>
        <v>528.14092011787591</v>
      </c>
      <c r="CX133" s="59">
        <f t="shared" si="122"/>
        <v>814.50119649568228</v>
      </c>
      <c r="CY133" s="59">
        <f ca="1">AVERAGE(OFFSET($CX$3,0,0,'Données projet'!$E$13+1,1))-AVERAGE(OFFSET($H$3,0,0,'Données projet'!$E$13+1,1))</f>
        <v>392.81074187112989</v>
      </c>
      <c r="CZ133" s="59">
        <f t="shared" ref="CZ133:CZ196" si="150">$CZ$3</f>
        <v>236.19146849073687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40.626647719543399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40.626647719543399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68.098257193947205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5.2446581196581219</v>
      </c>
      <c r="DO133" s="12">
        <f>IF('Données projet'!$A$166&gt;35,DO132+DN133-DW132,IF(A133&lt;'Données projet'!$A$166,$DL$205^A133,IF(A133='Données projet'!$A$166,'Données projet'!$B$166,DO132+DN133-DW132)))</f>
        <v>256.35790598290549</v>
      </c>
      <c r="DP133" s="17">
        <f>DO133*VLOOKUP('Données projet'!$B$14,Paramètres!$A$1:$I$89,3,0)*VLOOKUP('Données projet'!$B$14,Paramètres!$A$1:$I$89,5,0)</f>
        <v>275.94364999999948</v>
      </c>
      <c r="DQ133" s="13">
        <f t="shared" ref="DQ133:DQ153" si="151">EXP(-1.0587+0.8836*LN(DP133)+0.284)</f>
        <v>66.10905883280887</v>
      </c>
      <c r="DR133" s="20">
        <f t="shared" si="124"/>
        <v>595.74180121714119</v>
      </c>
      <c r="DS133" s="59">
        <f t="shared" si="125"/>
        <v>882.10207759494756</v>
      </c>
      <c r="DT133" s="59">
        <f ca="1">AVERAGE(OFFSET($DS$3,0,0,'Données projet'!$E$14+1,1))-AVERAGE(OFFSET($H$3,0,0,'Données projet'!$E$14+1,1))</f>
        <v>434.77799524785502</v>
      </c>
      <c r="DU133" s="59">
        <f t="shared" ref="DU133:DU196" si="152">$DU$3</f>
        <v>259.85949838170006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45.954732666368756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45.954732666368756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68.098257193947205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5.2446581196581219</v>
      </c>
      <c r="EJ133" s="12">
        <f>IF('Données projet'!$A$192&gt;35,EJ132+EI133-ER132,IF(A133&lt;'Données projet'!$A$192,$EG$205^A133,IF(A133='Données projet'!$A$192,'Données projet'!$B$192,EJ132+EI133-ER132)))</f>
        <v>256.35790598290549</v>
      </c>
      <c r="EK133" s="17">
        <f>EJ133*VLOOKUP('Données projet'!$B$15,Paramètres!$A$1:$I$89,3,0)*VLOOKUP('Données projet'!$B$15,Paramètres!$A$1:$I$89,5,0)</f>
        <v>247.94936666666621</v>
      </c>
      <c r="EL133" s="13">
        <f t="shared" ref="EL133:EL153" si="153">EXP(-1.0587+0.8836*LN(EK133)+0.284)</f>
        <v>60.14661831803555</v>
      </c>
      <c r="EM133" s="20">
        <f t="shared" si="127"/>
        <v>536.60050718168884</v>
      </c>
      <c r="EN133" s="59">
        <f t="shared" si="128"/>
        <v>822.96078355949521</v>
      </c>
      <c r="EO133" s="59">
        <f ca="1">AVERAGE(OFFSET($EN$3,0,0,'Données projet'!$E$15+1,1))-AVERAGE(OFFSET($H$3,0,0,'Données projet'!$E$15+1,1))</f>
        <v>398.06270423055565</v>
      </c>
      <c r="EP133" s="59">
        <f t="shared" ref="EP133:EP196" si="154">$EP$3</f>
        <v>239.15364562040614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41.292658337896576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41.292658337896576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68.098257193947205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-1.7053025658242404E-13</v>
      </c>
      <c r="FF133" s="17">
        <f>FE133*VLOOKUP('Données projet'!$B$16,Paramètres!$A$1:$I$89,3,0)*VLOOKUP('Données projet'!$B$16,Paramètres!$A$1:$I$89,5,0)</f>
        <v>-1.0197709343628959E-13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334.13861979962491</v>
      </c>
      <c r="FK133" s="59">
        <f t="shared" ref="FK133:FK196" si="156">$FK$3</f>
        <v>416.48635183664305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37.6113409323723</v>
      </c>
      <c r="FR133" s="21">
        <f>EXP(-LN(2)/25)*FR132+(1-EXP(-LN(2)/25))/(LN(2)/25)*Calculateur!FM133*Calculateur!FO133*VLOOKUP('Données projet'!$B$16,Paramètres!$A$1:$I$89,3,0)*0.475*44/12</f>
        <v>5.6804031212076831</v>
      </c>
      <c r="FS133" s="21">
        <f>EXP(-LN(2)/2)*FS132+(1-EXP(-LN(2)/2))/(LN(2)/2)*FM133*FP133*VLOOKUP('Données projet'!$B$16,Paramètres!$A$1:$I$89,3,0)*0.475*44/12</f>
        <v>2.9399504232285494E-10</v>
      </c>
      <c r="FT133" s="22">
        <f t="shared" si="132"/>
        <v>43.291744053873977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68.098257193947205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3.4106051316484809E-13</v>
      </c>
      <c r="GA133" s="17">
        <f>FZ133*VLOOKUP('Données projet'!$B$17,Paramètres!$A$1:$I$89,3,0)*VLOOKUP('Données projet'!$B$17,Paramètres!$A$1:$I$89,5,0)</f>
        <v>1.5961632016114892E-13</v>
      </c>
      <c r="GB133" s="13">
        <f t="shared" ref="GB133:GB153" si="157">EXP(-1.0587+0.8836*LN(GA133)+0.284)</f>
        <v>2.2708641912150958E-12</v>
      </c>
      <c r="GC133" s="20">
        <f t="shared" si="133"/>
        <v>4.2330868906469593E-12</v>
      </c>
      <c r="GD133" s="59">
        <f t="shared" si="134"/>
        <v>286.36027637781064</v>
      </c>
      <c r="GE133" s="59">
        <f ca="1">AVERAGE(OFFSET($GD$3,0,0,'Données projet'!$E$17+1,1))-AVERAGE(OFFSET($H$3,0,0,'Données projet'!$E$17+1,1))</f>
        <v>317.79829681023142</v>
      </c>
      <c r="GF133" s="59">
        <f t="shared" ref="GF133:GF196" si="158">$GF$3</f>
        <v>275.07716943523621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106.79836712995329</v>
      </c>
      <c r="GM133" s="21">
        <f>EXP(-LN(2)/25)*GM132+(1-EXP(-LN(2)/25))/(LN(2)/25)*Calculateur!GH133*Calculateur!GJ133*VLOOKUP('Données projet'!$B$17,Paramètres!$A$1:$I$89,3,0)*0.475*44/12</f>
        <v>21.960592278770726</v>
      </c>
      <c r="GN133" s="21">
        <f>EXP(-LN(2)/2)*GN132+(1-EXP(-LN(2)/2))/(LN(2)/2)*GH133*GK133*VLOOKUP('Données projet'!$B$17,Paramètres!$A$1:$I$89,3,0)*0.475*44/12</f>
        <v>3.8301573426497604E-3</v>
      </c>
      <c r="GO133" s="21">
        <f t="shared" si="135"/>
        <v>128.76278956606669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68.098257193947205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>
        <f>GU133*VLOOKUP('Données projet'!$B$18,Paramètres!$A$1:$I$89,3,0)*VLOOKUP('Données projet'!$B$18,Paramètres!$A$1:$I$89,5,0)</f>
        <v>0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336.21787234885699</v>
      </c>
      <c r="HA133" s="59">
        <f t="shared" ref="HA133:HA196" si="160">$HA$3</f>
        <v>315.36156736899113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64.143465775162511</v>
      </c>
      <c r="HH133" s="21">
        <f>EXP(-LN(2)/25)*HH132+(1-EXP(-LN(2)/25))/(LN(2)/25)*Calculateur!HC133*Calculateur!HE133*VLOOKUP('Données projet'!$B$18,Paramètres!$A$1:$I$89,3,0)*0.475*44/12</f>
        <v>10.502005374324249</v>
      </c>
      <c r="HI133" s="21">
        <f>EXP(-LN(2)/2)*HI132+(1-EXP(-LN(2)/2))/(LN(2)/2)*HC133*HF133*VLOOKUP('Données projet'!$B$18,Paramètres!$A$1:$I$89,3,0)*0.475*44/12</f>
        <v>3.7096776355395549E-8</v>
      </c>
      <c r="HJ133" s="22">
        <f t="shared" si="138"/>
        <v>74.645471186583535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3.7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13.566666666666668</v>
      </c>
      <c r="H134" s="67">
        <f t="shared" si="110"/>
        <v>202.4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68.131248179972246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110.91025641025698</v>
      </c>
      <c r="O134" s="13">
        <f>N134*VLOOKUP('Données projet'!$B$9,Paramètres!$A$1:$I$89,3,0)*VLOOKUP('Données projet'!$B$9,Paramètres!$A$1:$I$89,5,0)</f>
        <v>100.3516000000005</v>
      </c>
      <c r="P134" s="13">
        <f t="shared" si="141"/>
        <v>27.045744281593826</v>
      </c>
      <c r="Q134" s="20">
        <f t="shared" si="108"/>
        <v>221.88370795711012</v>
      </c>
      <c r="R134" s="59">
        <f t="shared" si="109"/>
        <v>508.364951283675</v>
      </c>
      <c r="S134" s="59">
        <f ca="1">AVERAGE(OFFSET($R$3,0,0,'Données projet'!$E$9+1,1))-AVERAGE(OFFSET($H$3,0,0,'Données projet'!$E$9+1,1))</f>
        <v>411.64357329340851</v>
      </c>
      <c r="T134" s="59">
        <f t="shared" si="142"/>
        <v>294.07942258675632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0.38700000000000001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170.98582016742182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170.98582016742182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68.131248179972246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110.91025641025641</v>
      </c>
      <c r="AG134" s="12">
        <f>VLOOKUP(A134,'Données projet'!$A$61:$I$81,9,0)</f>
        <v>1.5064102564102591</v>
      </c>
      <c r="AH134" s="12">
        <f t="array" ref="AH134">INDEX(AG:AG,MIN(IF(ISNUMBER(AG134:AG330),ROW(AG134:AG330),"")))</f>
        <v>1.5064102564102591</v>
      </c>
      <c r="AI134" s="13">
        <f>IF('Données projet'!$A$62&gt;35,AI133+AH134-AQ133,IF(A134&lt;'Données projet'!$A$62,$AF$205^A134,IF(A134='Données projet'!$A$62,'Données projet'!$B$62,AI133+AH134-AQ133)))</f>
        <v>110.91025641025698</v>
      </c>
      <c r="AJ134" s="13">
        <f>AI134*VLOOKUP('Données projet'!$B$10,Paramètres!$A$1:$I$89,3,0)*VLOOKUP('Données projet'!$B$10,Paramètres!$A$1:$I$89,5,0)</f>
        <v>112.46300000000058</v>
      </c>
      <c r="AK134" s="13">
        <f t="shared" si="143"/>
        <v>29.910536589672557</v>
      </c>
      <c r="AL134" s="20">
        <f t="shared" si="112"/>
        <v>247.96724289368069</v>
      </c>
      <c r="AM134" s="59">
        <f t="shared" si="113"/>
        <v>534.44848622024551</v>
      </c>
      <c r="AN134" s="59">
        <f ca="1">AVERAGE(OFFSET($AM$3,0,0,'Données projet'!$E$10+1,1))-AVERAGE(OFFSET($H$3,0,0,'Données projet'!$E$10+1,1))</f>
        <v>453.05577105995508</v>
      </c>
      <c r="AO134" s="59">
        <f t="shared" si="144"/>
        <v>322.6839824496758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110.91025641025641</v>
      </c>
      <c r="AR134" s="16">
        <f>IF(ISNA(VLOOKUP(A134,'Données projet'!$A$61:$I$81,5,0)),0%,VLOOKUP(A134,'Données projet'!$A$61:$I$81,5,0)*VLOOKUP('Données projet'!$B$10,Paramètres!$A$1:$I$89,7,0))</f>
        <v>0.38700000000000001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191.62203984280035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191.62203984280035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68.131248179972246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4.8538461538461579</v>
      </c>
      <c r="BD134" s="12">
        <f>IF('Données projet'!$A$88&gt;35,BD133+BC134-BL133,IF(A134&lt;'Données projet'!$A$88,$BA$205^A134,IF(A134='Données projet'!$A$88,'Données projet'!$B$88,BD133+BC134-BL133)))</f>
        <v>233.28076923076929</v>
      </c>
      <c r="BE134" s="13">
        <f>BD134*VLOOKUP('Données projet'!$B$11,Paramètres!$A$1:$I$89,3,0)*VLOOKUP('Données projet'!$B$11,Paramètres!$A$1:$I$89,5,0)</f>
        <v>232.90752000000006</v>
      </c>
      <c r="BF134" s="13">
        <f t="shared" si="145"/>
        <v>56.910894960887845</v>
      </c>
      <c r="BG134" s="20">
        <f t="shared" si="115"/>
        <v>504.76707272354651</v>
      </c>
      <c r="BH134" s="59">
        <f t="shared" si="116"/>
        <v>791.24831605011138</v>
      </c>
      <c r="BI134" s="59">
        <f ca="1">AVERAGE(OFFSET($BH$3,0,0,'Données projet'!$E$11+1,1))-AVERAGE(OFFSET($H$3,0,0,'Données projet'!$E$11+1,1))</f>
        <v>411.38162678377478</v>
      </c>
      <c r="BJ134" s="59">
        <f t="shared" si="146"/>
        <v>177.89903563360403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21.376503418732248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21.376503418732248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68.131248179972246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212.00000000000009</v>
      </c>
      <c r="BZ134" s="13">
        <f>BY134*VLOOKUP('Données projet'!$B$12,Paramètres!$A$1:$I$89,3,0)*VLOOKUP('Données projet'!$B$12,Paramètres!$A$1:$I$89,5,0)</f>
        <v>221.58240000000012</v>
      </c>
      <c r="CA134" s="13">
        <f t="shared" si="147"/>
        <v>54.458668952651578</v>
      </c>
      <c r="CB134" s="20">
        <f t="shared" si="118"/>
        <v>480.77152842586838</v>
      </c>
      <c r="CC134" s="59">
        <f t="shared" si="119"/>
        <v>767.25277175243332</v>
      </c>
      <c r="CD134" s="59">
        <f ca="1">AVERAGE(OFFSET($CC$3,0,0,'Données projet'!$E$12+1,1))-AVERAGE(OFFSET($H$3,0,0,'Données projet'!$E$12+1,1))</f>
        <v>374.38550202939507</v>
      </c>
      <c r="CE134" s="59">
        <f t="shared" si="148"/>
        <v>324.37486924296718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9.6705753222037814</v>
      </c>
      <c r="CL134" s="21">
        <f>EXP(-LN(2)/25)*CL133+(1-EXP(-LN(2)/25))/(LN(2)/25)*Calculateur!CG134*Calculateur!CI134*VLOOKUP('Données projet'!$B$12,Paramètres!$A$1:$I$89,3,0)*0.475*44/12</f>
        <v>7.0849699217313686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16.755545243935149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68.131248179972246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5.2446581196581219</v>
      </c>
      <c r="CT134" s="12">
        <f>IF('Données projet'!$A$140&gt;35,CT133+CS134-DB133,IF(A134&lt;'Données projet'!$A$140,$CQ$205^A134,IF(A134='Données projet'!$A$140,'Données projet'!$B$140,CT133+CS134-DB133)))</f>
        <v>261.60256410256363</v>
      </c>
      <c r="CU134" s="17">
        <f>CT134*VLOOKUP('Données projet'!$B$13,Paramètres!$A$1:$I$89,3,0)*VLOOKUP('Données projet'!$B$13,Paramètres!$A$1:$I$89,5,0)</f>
        <v>248.94099999999958</v>
      </c>
      <c r="CV134" s="13">
        <f t="shared" si="149"/>
        <v>60.359115946139042</v>
      </c>
      <c r="CW134" s="20">
        <f t="shared" si="121"/>
        <v>538.69770193952468</v>
      </c>
      <c r="CX134" s="59">
        <f t="shared" si="122"/>
        <v>825.17894526608961</v>
      </c>
      <c r="CY134" s="59">
        <f ca="1">AVERAGE(OFFSET($CX$3,0,0,'Données projet'!$E$13+1,1))-AVERAGE(OFFSET($H$3,0,0,'Données projet'!$E$13+1,1))</f>
        <v>392.81074187112989</v>
      </c>
      <c r="CZ134" s="59">
        <f t="shared" si="150"/>
        <v>236.19146849073687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39.829983937571463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39.829983937571463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68.131248179972246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5.2446581196581219</v>
      </c>
      <c r="DO134" s="12">
        <f>IF('Données projet'!$A$166&gt;35,DO133+DN134-DW133,IF(A134&lt;'Données projet'!$A$166,$DL$205^A134,IF(A134='Données projet'!$A$166,'Données projet'!$B$166,DO133+DN134-DW133)))</f>
        <v>261.60256410256363</v>
      </c>
      <c r="DP134" s="17">
        <f>DO134*VLOOKUP('Données projet'!$B$14,Paramètres!$A$1:$I$89,3,0)*VLOOKUP('Données projet'!$B$14,Paramètres!$A$1:$I$89,5,0)</f>
        <v>281.58899999999949</v>
      </c>
      <c r="DQ134" s="13">
        <f t="shared" si="151"/>
        <v>67.302699582818846</v>
      </c>
      <c r="DR134" s="20">
        <f t="shared" si="124"/>
        <v>607.65304344007518</v>
      </c>
      <c r="DS134" s="59">
        <f t="shared" si="125"/>
        <v>894.13428676664012</v>
      </c>
      <c r="DT134" s="59">
        <f ca="1">AVERAGE(OFFSET($DS$3,0,0,'Données projet'!$E$14+1,1))-AVERAGE(OFFSET($H$3,0,0,'Données projet'!$E$14+1,1))</f>
        <v>434.77799524785502</v>
      </c>
      <c r="DU134" s="59">
        <f t="shared" si="152"/>
        <v>259.85949838170006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45.053588388400499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45.053588388400499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68.131248179972246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5.2446581196581219</v>
      </c>
      <c r="EJ134" s="12">
        <f>IF('Données projet'!$A$192&gt;35,EJ133+EI134-ER133,IF(A134&lt;'Données projet'!$A$192,$EG$205^A134,IF(A134='Données projet'!$A$192,'Données projet'!$B$192,EJ133+EI134-ER133)))</f>
        <v>261.60256410256363</v>
      </c>
      <c r="EK134" s="17">
        <f>EJ134*VLOOKUP('Données projet'!$B$15,Paramètres!$A$1:$I$89,3,0)*VLOOKUP('Données projet'!$B$15,Paramètres!$A$1:$I$89,5,0)</f>
        <v>253.02199999999957</v>
      </c>
      <c r="EL134" s="13">
        <f t="shared" si="153"/>
        <v>61.232603444238507</v>
      </c>
      <c r="EM134" s="20">
        <f t="shared" si="127"/>
        <v>547.32676766538123</v>
      </c>
      <c r="EN134" s="59">
        <f t="shared" si="128"/>
        <v>833.80801099194605</v>
      </c>
      <c r="EO134" s="59">
        <f ca="1">AVERAGE(OFFSET($EN$3,0,0,'Données projet'!$E$15+1,1))-AVERAGE(OFFSET($H$3,0,0,'Données projet'!$E$15+1,1))</f>
        <v>398.06270423055565</v>
      </c>
      <c r="EP134" s="59">
        <f t="shared" si="154"/>
        <v>239.15364562040614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40.482934493925093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40.482934493925093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68.131248179972246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-1.7053025658242404E-13</v>
      </c>
      <c r="FF134" s="17">
        <f>FE134*VLOOKUP('Données projet'!$B$16,Paramètres!$A$1:$I$89,3,0)*VLOOKUP('Données projet'!$B$16,Paramètres!$A$1:$I$89,5,0)</f>
        <v>-1.0197709343628959E-13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334.13861979962491</v>
      </c>
      <c r="FK134" s="59">
        <f t="shared" si="156"/>
        <v>416.48635183664305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36.87380547734125</v>
      </c>
      <c r="FR134" s="21">
        <f>EXP(-LN(2)/25)*FR133+(1-EXP(-LN(2)/25))/(LN(2)/25)*Calculateur!FM134*Calculateur!FO134*VLOOKUP('Données projet'!$B$16,Paramètres!$A$1:$I$89,3,0)*0.475*44/12</f>
        <v>5.5250721991388412</v>
      </c>
      <c r="FS134" s="21">
        <f>EXP(-LN(2)/2)*FS133+(1-EXP(-LN(2)/2))/(LN(2)/2)*FM134*FP134*VLOOKUP('Données projet'!$B$16,Paramètres!$A$1:$I$89,3,0)*0.475*44/12</f>
        <v>2.0788588806171677E-10</v>
      </c>
      <c r="FT134" s="22">
        <f t="shared" si="132"/>
        <v>42.398877676687974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68.131248179972246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3.4106051316484809E-13</v>
      </c>
      <c r="GA134" s="17">
        <f>FZ134*VLOOKUP('Données projet'!$B$17,Paramètres!$A$1:$I$89,3,0)*VLOOKUP('Données projet'!$B$17,Paramètres!$A$1:$I$89,5,0)</f>
        <v>1.5961632016114892E-13</v>
      </c>
      <c r="GB134" s="13">
        <f t="shared" si="157"/>
        <v>2.2708641912150958E-12</v>
      </c>
      <c r="GC134" s="20">
        <f t="shared" si="133"/>
        <v>4.2330868906469593E-12</v>
      </c>
      <c r="GD134" s="59">
        <f t="shared" si="134"/>
        <v>286.48124332656909</v>
      </c>
      <c r="GE134" s="59">
        <f ca="1">AVERAGE(OFFSET($GD$3,0,0,'Données projet'!$E$17+1,1))-AVERAGE(OFFSET($H$3,0,0,'Données projet'!$E$17+1,1))</f>
        <v>317.79829681023142</v>
      </c>
      <c r="GF134" s="59">
        <f t="shared" si="158"/>
        <v>275.07716943523621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104.70411629110676</v>
      </c>
      <c r="GM134" s="21">
        <f>EXP(-LN(2)/25)*GM133+(1-EXP(-LN(2)/25))/(LN(2)/25)*Calculateur!GH134*Calculateur!GJ134*VLOOKUP('Données projet'!$B$17,Paramètres!$A$1:$I$89,3,0)*0.475*44/12</f>
        <v>21.360078728050382</v>
      </c>
      <c r="GN134" s="21">
        <f>EXP(-LN(2)/2)*GN133+(1-EXP(-LN(2)/2))/(LN(2)/2)*GH134*GK134*VLOOKUP('Données projet'!$B$17,Paramètres!$A$1:$I$89,3,0)*0.475*44/12</f>
        <v>2.7083302299990928E-3</v>
      </c>
      <c r="GO134" s="21">
        <f t="shared" si="135"/>
        <v>126.06690334938713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68.131248179972246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>
        <f>GU134*VLOOKUP('Données projet'!$B$18,Paramètres!$A$1:$I$89,3,0)*VLOOKUP('Données projet'!$B$18,Paramètres!$A$1:$I$89,5,0)</f>
        <v>0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336.21787234885699</v>
      </c>
      <c r="HA134" s="59">
        <f t="shared" si="160"/>
        <v>315.36156736899113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62.885651534962555</v>
      </c>
      <c r="HH134" s="21">
        <f>EXP(-LN(2)/25)*HH133+(1-EXP(-LN(2)/25))/(LN(2)/25)*Calculateur!HC134*Calculateur!HE134*VLOOKUP('Données projet'!$B$18,Paramètres!$A$1:$I$89,3,0)*0.475*44/12</f>
        <v>10.214827485086891</v>
      </c>
      <c r="HI134" s="21">
        <f>EXP(-LN(2)/2)*HI133+(1-EXP(-LN(2)/2))/(LN(2)/2)*HC134*HF134*VLOOKUP('Données projet'!$B$18,Paramètres!$A$1:$I$89,3,0)*0.475*44/12</f>
        <v>2.6231382121060971E-8</v>
      </c>
      <c r="HJ134" s="22">
        <f t="shared" si="138"/>
        <v>73.100479046280824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3.7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13.566666666666668</v>
      </c>
      <c r="H135" s="67">
        <f t="shared" si="110"/>
        <v>202.4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68.163666846146555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5.1431925385259092E-13</v>
      </c>
      <c r="P135" s="13">
        <f t="shared" si="141"/>
        <v>6.3855359115685756E-12</v>
      </c>
      <c r="Q135" s="20">
        <f t="shared" si="108"/>
        <v>1.2017247746441865E-11</v>
      </c>
      <c r="R135" s="59">
        <f t="shared" si="109"/>
        <v>286.60011176921603</v>
      </c>
      <c r="S135" s="59">
        <f ca="1">AVERAGE(OFFSET($R$3,0,0,'Données projet'!$E$9+1,1))-AVERAGE(OFFSET($H$3,0,0,'Données projet'!$E$9+1,1))</f>
        <v>411.64357329340851</v>
      </c>
      <c r="T135" s="59">
        <f t="shared" si="142"/>
        <v>294.07942258675632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167.63289252499109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167.63289252499109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68.163666846146555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5.763922672485933E-13</v>
      </c>
      <c r="AK135" s="13">
        <f t="shared" si="143"/>
        <v>7.0619171555808457E-12</v>
      </c>
      <c r="AL135" s="20">
        <f t="shared" si="112"/>
        <v>1.3303388911427938E-11</v>
      </c>
      <c r="AM135" s="59">
        <f t="shared" si="113"/>
        <v>286.60011176921734</v>
      </c>
      <c r="AN135" s="59">
        <f ca="1">AVERAGE(OFFSET($AM$3,0,0,'Données projet'!$E$10+1,1))-AVERAGE(OFFSET($H$3,0,0,'Données projet'!$E$10+1,1))</f>
        <v>453.05577105995508</v>
      </c>
      <c r="AO135" s="59">
        <f t="shared" si="144"/>
        <v>322.6839824496758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187.8644485193866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187.8644485193866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68.163666846146555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>
        <f>VLOOKUP(A135,'Données projet'!$A$87:$I$107,2,0)</f>
        <v>238.13461538461539</v>
      </c>
      <c r="BB135" s="12">
        <f>VLOOKUP(A135,'Données projet'!$A$87:$I$107,9,0)</f>
        <v>4.8538461538461579</v>
      </c>
      <c r="BC135" s="12">
        <f t="array" ref="BC135">INDEX(BB:BB,MIN(IF(ISNUMBER(BB135:BB331),ROW(BB135:BB331),"")))</f>
        <v>4.8538461538461579</v>
      </c>
      <c r="BD135" s="12">
        <f>IF('Données projet'!$A$88&gt;35,BD134+BC135-BL134,IF(A135&lt;'Données projet'!$A$88,$BA$205^A135,IF(A135='Données projet'!$A$88,'Données projet'!$B$88,BD134+BC135-BL134)))</f>
        <v>238.13461538461544</v>
      </c>
      <c r="BE135" s="13">
        <f>BD135*VLOOKUP('Données projet'!$B$11,Paramètres!$A$1:$I$89,3,0)*VLOOKUP('Données projet'!$B$11,Paramètres!$A$1:$I$89,5,0)</f>
        <v>237.75360000000009</v>
      </c>
      <c r="BF135" s="13">
        <f t="shared" si="145"/>
        <v>57.955942365799132</v>
      </c>
      <c r="BG135" s="20">
        <f t="shared" si="115"/>
        <v>515.02745295376701</v>
      </c>
      <c r="BH135" s="59">
        <f t="shared" si="116"/>
        <v>801.6275647229711</v>
      </c>
      <c r="BI135" s="59">
        <f ca="1">AVERAGE(OFFSET($BH$3,0,0,'Données projet'!$E$11+1,1))-AVERAGE(OFFSET($H$3,0,0,'Données projet'!$E$11+1,1))</f>
        <v>411.38162678377478</v>
      </c>
      <c r="BJ135" s="59">
        <f t="shared" si="146"/>
        <v>177.89903563360403</v>
      </c>
      <c r="BK135" s="15">
        <f>IF(ISNA(VLOOKUP(A135,'Données projet'!$A$87:$I$107,3,0)),0,VLOOKUP(A135,'Données projet'!$A$87:$I$107,3,0))</f>
        <v>9</v>
      </c>
      <c r="BL135" s="15">
        <f>IF(ISNA(VLOOKUP(A135,'Données projet'!$A$87:$I$107,4,0)),0,VLOOKUP(A135,'Données projet'!$A$87:$I$107,4,0))</f>
        <v>34.128205128205131</v>
      </c>
      <c r="BM135" s="16">
        <f>IF(ISNA(VLOOKUP(A135,'Données projet'!$A$87:$I$107,5,0)),0%,VLOOKUP(A135,'Données projet'!$A$87:$I$107,5,0)*VLOOKUP('Données projet'!$B$11,Paramètres!$A$1:$I$89,7,0))</f>
        <v>0.30099999999999999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32.29519723781079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32.29519723781079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68.163666846146555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212.00000000000009</v>
      </c>
      <c r="BZ135" s="13">
        <f>BY135*VLOOKUP('Données projet'!$B$12,Paramètres!$A$1:$I$89,3,0)*VLOOKUP('Données projet'!$B$12,Paramètres!$A$1:$I$89,5,0)</f>
        <v>221.58240000000012</v>
      </c>
      <c r="CA135" s="13">
        <f t="shared" si="147"/>
        <v>54.458668952651578</v>
      </c>
      <c r="CB135" s="20">
        <f t="shared" si="118"/>
        <v>480.77152842586838</v>
      </c>
      <c r="CC135" s="59">
        <f t="shared" si="119"/>
        <v>767.37164019507236</v>
      </c>
      <c r="CD135" s="59">
        <f ca="1">AVERAGE(OFFSET($CC$3,0,0,'Données projet'!$E$12+1,1))-AVERAGE(OFFSET($H$3,0,0,'Données projet'!$E$12+1,1))</f>
        <v>374.38550202939507</v>
      </c>
      <c r="CE135" s="59">
        <f t="shared" si="148"/>
        <v>324.37486924296718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9.4809412386038865</v>
      </c>
      <c r="CL135" s="21">
        <f>EXP(-LN(2)/25)*CL134+(1-EXP(-LN(2)/25))/(LN(2)/25)*Calculateur!CG135*Calculateur!CI135*VLOOKUP('Données projet'!$B$12,Paramètres!$A$1:$I$89,3,0)*0.475*44/12</f>
        <v>6.8912310466392492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16.372172285243135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68.163666846146555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5.2446581196581219</v>
      </c>
      <c r="CT135" s="12">
        <f>IF('Données projet'!$A$140&gt;35,CT134+CS135-DB134,IF(A135&lt;'Données projet'!$A$140,$CQ$205^A135,IF(A135='Données projet'!$A$140,'Données projet'!$B$140,CT134+CS135-DB134)))</f>
        <v>266.84722222222177</v>
      </c>
      <c r="CU135" s="17">
        <f>CT135*VLOOKUP('Données projet'!$B$13,Paramètres!$A$1:$I$89,3,0)*VLOOKUP('Données projet'!$B$13,Paramètres!$A$1:$I$89,5,0)</f>
        <v>253.93181666666626</v>
      </c>
      <c r="CV135" s="13">
        <f t="shared" si="149"/>
        <v>61.427114038513189</v>
      </c>
      <c r="CW135" s="20">
        <f t="shared" si="121"/>
        <v>549.25013764485414</v>
      </c>
      <c r="CX135" s="59">
        <f t="shared" si="122"/>
        <v>835.85024941405823</v>
      </c>
      <c r="CY135" s="59">
        <f ca="1">AVERAGE(OFFSET($CX$3,0,0,'Données projet'!$E$13+1,1))-AVERAGE(OFFSET($H$3,0,0,'Données projet'!$E$13+1,1))</f>
        <v>392.81074187112989</v>
      </c>
      <c r="CZ135" s="59">
        <f t="shared" si="150"/>
        <v>236.19146849073687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39.048942246447062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39.048942246447062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68.163666846146555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5.2446581196581219</v>
      </c>
      <c r="DO135" s="12">
        <f>IF('Données projet'!$A$166&gt;35,DO134+DN135-DW134,IF(A135&lt;'Données projet'!$A$166,$DL$205^A135,IF(A135='Données projet'!$A$166,'Données projet'!$B$166,DO134+DN135-DW134)))</f>
        <v>266.84722222222177</v>
      </c>
      <c r="DP135" s="17">
        <f>DO135*VLOOKUP('Données projet'!$B$14,Paramètres!$A$1:$I$89,3,0)*VLOOKUP('Données projet'!$B$14,Paramètres!$A$1:$I$89,5,0)</f>
        <v>287.23434999999949</v>
      </c>
      <c r="DQ135" s="13">
        <f t="shared" si="151"/>
        <v>68.493557892112591</v>
      </c>
      <c r="DR135" s="20">
        <f t="shared" si="124"/>
        <v>619.55943957876173</v>
      </c>
      <c r="DS135" s="59">
        <f t="shared" si="125"/>
        <v>906.15955134796582</v>
      </c>
      <c r="DT135" s="59">
        <f ca="1">AVERAGE(OFFSET($DS$3,0,0,'Données projet'!$E$14+1,1))-AVERAGE(OFFSET($H$3,0,0,'Données projet'!$E$14+1,1))</f>
        <v>434.77799524785502</v>
      </c>
      <c r="DU135" s="59">
        <f t="shared" si="152"/>
        <v>259.85949838170006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44.170115000079463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44.170115000079463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68.163666846146555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5.2446581196581219</v>
      </c>
      <c r="EJ135" s="12">
        <f>IF('Données projet'!$A$192&gt;35,EJ134+EI135-ER134,IF(A135&lt;'Données projet'!$A$192,$EG$205^A135,IF(A135='Données projet'!$A$192,'Données projet'!$B$192,EJ134+EI135-ER134)))</f>
        <v>266.84722222222177</v>
      </c>
      <c r="EK135" s="17">
        <f>EJ135*VLOOKUP('Données projet'!$B$15,Paramètres!$A$1:$I$89,3,0)*VLOOKUP('Données projet'!$B$15,Paramètres!$A$1:$I$89,5,0)</f>
        <v>258.09463333333292</v>
      </c>
      <c r="EL135" s="13">
        <f t="shared" si="153"/>
        <v>62.316057080767997</v>
      </c>
      <c r="EM135" s="20">
        <f t="shared" si="127"/>
        <v>558.0486191378925</v>
      </c>
      <c r="EN135" s="59">
        <f t="shared" si="128"/>
        <v>844.64873090709648</v>
      </c>
      <c r="EO135" s="59">
        <f ca="1">AVERAGE(OFFSET($EN$3,0,0,'Données projet'!$E$15+1,1))-AVERAGE(OFFSET($H$3,0,0,'Données projet'!$E$15+1,1))</f>
        <v>398.06270423055565</v>
      </c>
      <c r="EP135" s="59">
        <f t="shared" si="154"/>
        <v>239.15364562040614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39.689088840651117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39.689088840651117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68.163666846146555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-1.7053025658242404E-13</v>
      </c>
      <c r="FF135" s="17">
        <f>FE135*VLOOKUP('Données projet'!$B$16,Paramètres!$A$1:$I$89,3,0)*VLOOKUP('Données projet'!$B$16,Paramètres!$A$1:$I$89,5,0)</f>
        <v>-1.0197709343628959E-13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334.13861979962491</v>
      </c>
      <c r="FK135" s="59">
        <f t="shared" si="156"/>
        <v>416.48635183664305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36.15073264273115</v>
      </c>
      <c r="FR135" s="21">
        <f>EXP(-LN(2)/25)*FR134+(1-EXP(-LN(2)/25))/(LN(2)/25)*Calculateur!FM135*Calculateur!FO135*VLOOKUP('Données projet'!$B$16,Paramètres!$A$1:$I$89,3,0)*0.475*44/12</f>
        <v>5.3739888093024701</v>
      </c>
      <c r="FS135" s="21">
        <f>EXP(-LN(2)/2)*FS134+(1-EXP(-LN(2)/2))/(LN(2)/2)*FM135*FP135*VLOOKUP('Données projet'!$B$16,Paramètres!$A$1:$I$89,3,0)*0.475*44/12</f>
        <v>1.4699752116142747E-10</v>
      </c>
      <c r="FT135" s="22">
        <f t="shared" si="132"/>
        <v>41.524721452180614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68.163666846146555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3.4106051316484809E-13</v>
      </c>
      <c r="GA135" s="17">
        <f>FZ135*VLOOKUP('Données projet'!$B$17,Paramètres!$A$1:$I$89,3,0)*VLOOKUP('Données projet'!$B$17,Paramètres!$A$1:$I$89,5,0)</f>
        <v>1.5961632016114892E-13</v>
      </c>
      <c r="GB135" s="13">
        <f t="shared" si="157"/>
        <v>2.2708641912150958E-12</v>
      </c>
      <c r="GC135" s="20">
        <f t="shared" si="133"/>
        <v>4.2330868906469593E-12</v>
      </c>
      <c r="GD135" s="59">
        <f t="shared" si="134"/>
        <v>286.60011176920824</v>
      </c>
      <c r="GE135" s="59">
        <f ca="1">AVERAGE(OFFSET($GD$3,0,0,'Données projet'!$E$17+1,1))-AVERAGE(OFFSET($H$3,0,0,'Données projet'!$E$17+1,1))</f>
        <v>317.79829681023142</v>
      </c>
      <c r="GF135" s="59">
        <f t="shared" si="158"/>
        <v>275.07716943523621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102.65093243384312</v>
      </c>
      <c r="GM135" s="21">
        <f>EXP(-LN(2)/25)*GM134+(1-EXP(-LN(2)/25))/(LN(2)/25)*Calculateur!GH135*Calculateur!GJ135*VLOOKUP('Données projet'!$B$17,Paramètres!$A$1:$I$89,3,0)*0.475*44/12</f>
        <v>20.775986251954123</v>
      </c>
      <c r="GN135" s="21">
        <f>EXP(-LN(2)/2)*GN134+(1-EXP(-LN(2)/2))/(LN(2)/2)*GH135*GK135*VLOOKUP('Données projet'!$B$17,Paramètres!$A$1:$I$89,3,0)*0.475*44/12</f>
        <v>1.9150786713248806E-3</v>
      </c>
      <c r="GO135" s="21">
        <f t="shared" si="135"/>
        <v>123.42883376446858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68.163666846146555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>
        <f>GU135*VLOOKUP('Données projet'!$B$18,Paramètres!$A$1:$I$89,3,0)*VLOOKUP('Données projet'!$B$18,Paramètres!$A$1:$I$89,5,0)</f>
        <v>0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336.21787234885699</v>
      </c>
      <c r="HA135" s="59">
        <f t="shared" si="160"/>
        <v>315.36156736899113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61.65250226482199</v>
      </c>
      <c r="HH135" s="21">
        <f>EXP(-LN(2)/25)*HH134+(1-EXP(-LN(2)/25))/(LN(2)/25)*Calculateur!HC135*Calculateur!HE135*VLOOKUP('Données projet'!$B$18,Paramètres!$A$1:$I$89,3,0)*0.475*44/12</f>
        <v>9.9355024903327589</v>
      </c>
      <c r="HI135" s="21">
        <f>EXP(-LN(2)/2)*HI134+(1-EXP(-LN(2)/2))/(LN(2)/2)*HC135*HF135*VLOOKUP('Données projet'!$B$18,Paramètres!$A$1:$I$89,3,0)*0.475*44/12</f>
        <v>1.8548388177697774E-8</v>
      </c>
      <c r="HJ135" s="22">
        <f t="shared" si="138"/>
        <v>71.588004773703133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3.7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13.566666666666668</v>
      </c>
      <c r="H136" s="67">
        <f t="shared" si="110"/>
        <v>202.4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68.19552312094001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5.1431925385259092E-13</v>
      </c>
      <c r="P136" s="13">
        <f t="shared" si="141"/>
        <v>6.3855359115685756E-12</v>
      </c>
      <c r="Q136" s="20">
        <f t="shared" si="108"/>
        <v>1.2017247746441865E-11</v>
      </c>
      <c r="R136" s="59">
        <f t="shared" si="109"/>
        <v>286.71691811012533</v>
      </c>
      <c r="S136" s="59">
        <f ca="1">AVERAGE(OFFSET($R$3,0,0,'Données projet'!$E$9+1,1))-AVERAGE(OFFSET($H$3,0,0,'Données projet'!$E$9+1,1))</f>
        <v>411.64357329340851</v>
      </c>
      <c r="T136" s="59">
        <f t="shared" si="142"/>
        <v>294.07942258675632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164.34571374854451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164.34571374854451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68.19552312094001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5.763922672485933E-13</v>
      </c>
      <c r="AK136" s="13">
        <f t="shared" si="143"/>
        <v>7.0619171555808457E-12</v>
      </c>
      <c r="AL136" s="20">
        <f t="shared" si="112"/>
        <v>1.3303388911427938E-11</v>
      </c>
      <c r="AM136" s="59">
        <f t="shared" si="113"/>
        <v>286.71691811012664</v>
      </c>
      <c r="AN136" s="59">
        <f ca="1">AVERAGE(OFFSET($AM$3,0,0,'Données projet'!$E$10+1,1))-AVERAGE(OFFSET($H$3,0,0,'Données projet'!$E$10+1,1))</f>
        <v>453.05577105995508</v>
      </c>
      <c r="AO136" s="59">
        <f t="shared" si="144"/>
        <v>322.6839824496758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184.18054126992061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184.18054126992061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68.19552312094001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4.9871794871794863</v>
      </c>
      <c r="BD136" s="12">
        <f>IF('Données projet'!$A$88&gt;35,BD135+BC136-BL135,IF(A136&lt;'Données projet'!$A$88,$BA$205^A136,IF(A136='Données projet'!$A$88,'Données projet'!$B$88,BD135+BC136-BL135)))</f>
        <v>208.99358974358978</v>
      </c>
      <c r="BE136" s="13">
        <f>BD136*VLOOKUP('Données projet'!$B$11,Paramètres!$A$1:$I$89,3,0)*VLOOKUP('Données projet'!$B$11,Paramètres!$A$1:$I$89,5,0)</f>
        <v>208.65920000000003</v>
      </c>
      <c r="BF136" s="13">
        <f t="shared" si="145"/>
        <v>51.642478028452871</v>
      </c>
      <c r="BG136" s="20">
        <f t="shared" si="115"/>
        <v>453.35875589955543</v>
      </c>
      <c r="BH136" s="59">
        <f t="shared" si="116"/>
        <v>740.07567400966877</v>
      </c>
      <c r="BI136" s="59">
        <f ca="1">AVERAGE(OFFSET($BH$3,0,0,'Données projet'!$E$11+1,1))-AVERAGE(OFFSET($H$3,0,0,'Données projet'!$E$11+1,1))</f>
        <v>411.38162678377478</v>
      </c>
      <c r="BJ136" s="59">
        <f t="shared" si="146"/>
        <v>177.89903563360403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31.661908118102605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31.661908118102605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68.19552312094001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212.00000000000009</v>
      </c>
      <c r="BZ136" s="13">
        <f>BY136*VLOOKUP('Données projet'!$B$12,Paramètres!$A$1:$I$89,3,0)*VLOOKUP('Données projet'!$B$12,Paramètres!$A$1:$I$89,5,0)</f>
        <v>221.58240000000012</v>
      </c>
      <c r="CA136" s="13">
        <f t="shared" si="147"/>
        <v>54.458668952651578</v>
      </c>
      <c r="CB136" s="20">
        <f t="shared" si="118"/>
        <v>480.77152842586838</v>
      </c>
      <c r="CC136" s="59">
        <f t="shared" si="119"/>
        <v>767.48844653598167</v>
      </c>
      <c r="CD136" s="59">
        <f ca="1">AVERAGE(OFFSET($CC$3,0,0,'Données projet'!$E$12+1,1))-AVERAGE(OFFSET($H$3,0,0,'Données projet'!$E$12+1,1))</f>
        <v>374.38550202939507</v>
      </c>
      <c r="CE136" s="59">
        <f t="shared" si="148"/>
        <v>324.37486924296718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9.2950257637180158</v>
      </c>
      <c r="CL136" s="21">
        <f>EXP(-LN(2)/25)*CL135+(1-EXP(-LN(2)/25))/(LN(2)/25)*Calculateur!CG136*Calculateur!CI136*VLOOKUP('Données projet'!$B$12,Paramètres!$A$1:$I$89,3,0)*0.475*44/12</f>
        <v>6.7027899712748082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15.997815734992823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68.19552312094001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5.2446581196581219</v>
      </c>
      <c r="CT136" s="12">
        <f>IF('Données projet'!$A$140&gt;35,CT135+CS136-DB135,IF(A136&lt;'Données projet'!$A$140,$CQ$205^A136,IF(A136='Données projet'!$A$140,'Données projet'!$B$140,CT135+CS136-DB135)))</f>
        <v>272.09188034187991</v>
      </c>
      <c r="CU136" s="17">
        <f>CT136*VLOOKUP('Données projet'!$B$13,Paramètres!$A$1:$I$89,3,0)*VLOOKUP('Données projet'!$B$13,Paramètres!$A$1:$I$89,5,0)</f>
        <v>258.92263333333295</v>
      </c>
      <c r="CV136" s="13">
        <f t="shared" si="149"/>
        <v>62.492671450961254</v>
      </c>
      <c r="CW136" s="20">
        <f t="shared" si="121"/>
        <v>559.79832249931235</v>
      </c>
      <c r="CX136" s="59">
        <f t="shared" si="122"/>
        <v>846.51524060942575</v>
      </c>
      <c r="CY136" s="59">
        <f ca="1">AVERAGE(OFFSET($CX$3,0,0,'Données projet'!$E$13+1,1))-AVERAGE(OFFSET($H$3,0,0,'Données projet'!$E$13+1,1))</f>
        <v>392.81074187112989</v>
      </c>
      <c r="CZ136" s="59">
        <f t="shared" si="150"/>
        <v>236.19146849073687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38.283216306497224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38.283216306497224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68.19552312094001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5.2446581196581219</v>
      </c>
      <c r="DO136" s="12">
        <f>IF('Données projet'!$A$166&gt;35,DO135+DN136-DW135,IF(A136&lt;'Données projet'!$A$166,$DL$205^A136,IF(A136='Données projet'!$A$166,'Données projet'!$B$166,DO135+DN136-DW135)))</f>
        <v>272.09188034187991</v>
      </c>
      <c r="DP136" s="17">
        <f>DO136*VLOOKUP('Données projet'!$B$14,Paramètres!$A$1:$I$89,3,0)*VLOOKUP('Données projet'!$B$14,Paramètres!$A$1:$I$89,5,0)</f>
        <v>292.8796999999995</v>
      </c>
      <c r="DQ136" s="13">
        <f t="shared" si="151"/>
        <v>69.68169475088024</v>
      </c>
      <c r="DR136" s="20">
        <f t="shared" si="124"/>
        <v>631.4610958577822</v>
      </c>
      <c r="DS136" s="59">
        <f t="shared" si="125"/>
        <v>918.17801396789559</v>
      </c>
      <c r="DT136" s="59">
        <f ca="1">AVERAGE(OFFSET($DS$3,0,0,'Données projet'!$E$14+1,1))-AVERAGE(OFFSET($H$3,0,0,'Données projet'!$E$14+1,1))</f>
        <v>434.77799524785502</v>
      </c>
      <c r="DU136" s="59">
        <f t="shared" si="152"/>
        <v>259.85949838170006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43.303965986037838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43.303965986037838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68.19552312094001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5.2446581196581219</v>
      </c>
      <c r="EJ136" s="12">
        <f>IF('Données projet'!$A$192&gt;35,EJ135+EI136-ER135,IF(A136&lt;'Données projet'!$A$192,$EG$205^A136,IF(A136='Données projet'!$A$192,'Données projet'!$B$192,EJ135+EI136-ER135)))</f>
        <v>272.09188034187991</v>
      </c>
      <c r="EK136" s="17">
        <f>EJ136*VLOOKUP('Données projet'!$B$15,Paramètres!$A$1:$I$89,3,0)*VLOOKUP('Données projet'!$B$15,Paramètres!$A$1:$I$89,5,0)</f>
        <v>263.16726666666625</v>
      </c>
      <c r="EL136" s="13">
        <f t="shared" si="153"/>
        <v>63.39703471704955</v>
      </c>
      <c r="EM136" s="20">
        <f t="shared" si="127"/>
        <v>568.76615824330497</v>
      </c>
      <c r="EN136" s="59">
        <f t="shared" si="128"/>
        <v>855.48307635341826</v>
      </c>
      <c r="EO136" s="59">
        <f ca="1">AVERAGE(OFFSET($EN$3,0,0,'Données projet'!$E$15+1,1))-AVERAGE(OFFSET($H$3,0,0,'Données projet'!$E$15+1,1))</f>
        <v>398.06270423055565</v>
      </c>
      <c r="EP136" s="59">
        <f t="shared" si="154"/>
        <v>239.15364562040614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38.910810016439804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38.910810016439804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68.19552312094001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-1.7053025658242404E-13</v>
      </c>
      <c r="FF136" s="17">
        <f>FE136*VLOOKUP('Données projet'!$B$16,Paramètres!$A$1:$I$89,3,0)*VLOOKUP('Données projet'!$B$16,Paramètres!$A$1:$I$89,5,0)</f>
        <v>-1.0197709343628959E-13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334.13861979962491</v>
      </c>
      <c r="FK136" s="59">
        <f t="shared" si="156"/>
        <v>416.48635183664305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35.44183882537687</v>
      </c>
      <c r="FR136" s="21">
        <f>EXP(-LN(2)/25)*FR135+(1-EXP(-LN(2)/25))/(LN(2)/25)*Calculateur!FM136*Calculateur!FO136*VLOOKUP('Données projet'!$B$16,Paramètres!$A$1:$I$89,3,0)*0.475*44/12</f>
        <v>5.227036802706305</v>
      </c>
      <c r="FS136" s="21">
        <f>EXP(-LN(2)/2)*FS135+(1-EXP(-LN(2)/2))/(LN(2)/2)*FM136*FP136*VLOOKUP('Données projet'!$B$16,Paramètres!$A$1:$I$89,3,0)*0.475*44/12</f>
        <v>1.0394294403085838E-10</v>
      </c>
      <c r="FT136" s="22">
        <f t="shared" si="132"/>
        <v>40.668875628187116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68.19552312094001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3.4106051316484809E-13</v>
      </c>
      <c r="GA136" s="17">
        <f>FZ136*VLOOKUP('Données projet'!$B$17,Paramètres!$A$1:$I$89,3,0)*VLOOKUP('Données projet'!$B$17,Paramètres!$A$1:$I$89,5,0)</f>
        <v>1.5961632016114892E-13</v>
      </c>
      <c r="GB136" s="13">
        <f t="shared" si="157"/>
        <v>2.2708641912150958E-12</v>
      </c>
      <c r="GC136" s="20">
        <f t="shared" si="133"/>
        <v>4.2330868906469593E-12</v>
      </c>
      <c r="GD136" s="59">
        <f t="shared" si="134"/>
        <v>286.71691811011755</v>
      </c>
      <c r="GE136" s="59">
        <f ca="1">AVERAGE(OFFSET($GD$3,0,0,'Données projet'!$E$17+1,1))-AVERAGE(OFFSET($H$3,0,0,'Données projet'!$E$17+1,1))</f>
        <v>317.79829681023142</v>
      </c>
      <c r="GF136" s="59">
        <f t="shared" si="158"/>
        <v>275.07716943523621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100.63801025970193</v>
      </c>
      <c r="GM136" s="21">
        <f>EXP(-LN(2)/25)*GM135+(1-EXP(-LN(2)/25))/(LN(2)/25)*Calculateur!GH136*Calculateur!GJ136*VLOOKUP('Données projet'!$B$17,Paramètres!$A$1:$I$89,3,0)*0.475*44/12</f>
        <v>20.207865815332806</v>
      </c>
      <c r="GN136" s="21">
        <f>EXP(-LN(2)/2)*GN135+(1-EXP(-LN(2)/2))/(LN(2)/2)*GH136*GK136*VLOOKUP('Données projet'!$B$17,Paramètres!$A$1:$I$89,3,0)*0.475*44/12</f>
        <v>1.3541651149995466E-3</v>
      </c>
      <c r="GO136" s="21">
        <f t="shared" si="135"/>
        <v>120.84723024014974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68.19552312094001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>
        <f>GU136*VLOOKUP('Données projet'!$B$18,Paramètres!$A$1:$I$89,3,0)*VLOOKUP('Données projet'!$B$18,Paramètres!$A$1:$I$89,5,0)</f>
        <v>0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336.21787234885699</v>
      </c>
      <c r="HA136" s="59">
        <f t="shared" si="160"/>
        <v>315.36156736899113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60.443534299722096</v>
      </c>
      <c r="HH136" s="21">
        <f>EXP(-LN(2)/25)*HH135+(1-EXP(-LN(2)/25))/(LN(2)/25)*Calculateur!HC136*Calculateur!HE136*VLOOKUP('Données projet'!$B$18,Paramètres!$A$1:$I$89,3,0)*0.475*44/12</f>
        <v>9.6638156522492409</v>
      </c>
      <c r="HI136" s="21">
        <f>EXP(-LN(2)/2)*HI135+(1-EXP(-LN(2)/2))/(LN(2)/2)*HC136*HF136*VLOOKUP('Données projet'!$B$18,Paramètres!$A$1:$I$89,3,0)*0.475*44/12</f>
        <v>1.3115691060530485E-8</v>
      </c>
      <c r="HJ136" s="22">
        <f t="shared" si="138"/>
        <v>70.107349965087039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3.7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13.566666666666668</v>
      </c>
      <c r="H137" s="67">
        <f t="shared" si="110"/>
        <v>202.4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68.226826760585766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5.1431925385259092E-13</v>
      </c>
      <c r="P137" s="13">
        <f t="shared" si="141"/>
        <v>6.3855359115685756E-12</v>
      </c>
      <c r="Q137" s="20">
        <f t="shared" si="108"/>
        <v>1.2017247746441865E-11</v>
      </c>
      <c r="R137" s="59">
        <f t="shared" si="109"/>
        <v>286.83169812215982</v>
      </c>
      <c r="S137" s="59">
        <f ca="1">AVERAGE(OFFSET($R$3,0,0,'Données projet'!$E$9+1,1))-AVERAGE(OFFSET($H$3,0,0,'Données projet'!$E$9+1,1))</f>
        <v>411.64357329340851</v>
      </c>
      <c r="T137" s="59">
        <f t="shared" si="142"/>
        <v>294.07942258675632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161.12299454292295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161.12299454292295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68.226826760585766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5.763922672485933E-13</v>
      </c>
      <c r="AK137" s="13">
        <f t="shared" si="143"/>
        <v>7.0619171555808457E-12</v>
      </c>
      <c r="AL137" s="20">
        <f t="shared" si="112"/>
        <v>1.3303388911427938E-11</v>
      </c>
      <c r="AM137" s="59">
        <f t="shared" si="113"/>
        <v>286.83169812216113</v>
      </c>
      <c r="AN137" s="59">
        <f ca="1">AVERAGE(OFFSET($AM$3,0,0,'Données projet'!$E$10+1,1))-AVERAGE(OFFSET($H$3,0,0,'Données projet'!$E$10+1,1))</f>
        <v>453.05577105995508</v>
      </c>
      <c r="AO137" s="59">
        <f t="shared" si="144"/>
        <v>322.6839824496758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180.56887319465508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180.56887319465508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68.226826760585766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4.9871794871794863</v>
      </c>
      <c r="BD137" s="12">
        <f>IF('Données projet'!$A$88&gt;35,BD136+BC137-BL136,IF(A137&lt;'Données projet'!$A$88,$BA$205^A137,IF(A137='Données projet'!$A$88,'Données projet'!$B$88,BD136+BC137-BL136)))</f>
        <v>213.98076923076925</v>
      </c>
      <c r="BE137" s="13">
        <f>BD137*VLOOKUP('Données projet'!$B$11,Paramètres!$A$1:$I$89,3,0)*VLOOKUP('Données projet'!$B$11,Paramètres!$A$1:$I$89,5,0)</f>
        <v>213.63840000000005</v>
      </c>
      <c r="BF137" s="13">
        <f t="shared" si="145"/>
        <v>52.729871035241274</v>
      </c>
      <c r="BG137" s="20">
        <f t="shared" si="115"/>
        <v>463.92473871971191</v>
      </c>
      <c r="BH137" s="59">
        <f t="shared" si="116"/>
        <v>750.7564368418598</v>
      </c>
      <c r="BI137" s="59">
        <f ca="1">AVERAGE(OFFSET($BH$3,0,0,'Données projet'!$E$11+1,1))-AVERAGE(OFFSET($H$3,0,0,'Données projet'!$E$11+1,1))</f>
        <v>411.38162678377478</v>
      </c>
      <c r="BJ137" s="59">
        <f t="shared" si="146"/>
        <v>177.89903563360403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31.041037411763678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31.041037411763678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68.226826760585766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212.00000000000009</v>
      </c>
      <c r="BZ137" s="13">
        <f>BY137*VLOOKUP('Données projet'!$B$12,Paramètres!$A$1:$I$89,3,0)*VLOOKUP('Données projet'!$B$12,Paramètres!$A$1:$I$89,5,0)</f>
        <v>221.58240000000012</v>
      </c>
      <c r="CA137" s="13">
        <f t="shared" si="147"/>
        <v>54.458668952651578</v>
      </c>
      <c r="CB137" s="20">
        <f t="shared" si="118"/>
        <v>480.77152842586838</v>
      </c>
      <c r="CC137" s="59">
        <f t="shared" si="119"/>
        <v>767.60322654801621</v>
      </c>
      <c r="CD137" s="59">
        <f ca="1">AVERAGE(OFFSET($CC$3,0,0,'Données projet'!$E$12+1,1))-AVERAGE(OFFSET($H$3,0,0,'Données projet'!$E$12+1,1))</f>
        <v>374.38550202939507</v>
      </c>
      <c r="CE137" s="59">
        <f t="shared" si="148"/>
        <v>324.37486924296718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9.1127559778974145</v>
      </c>
      <c r="CL137" s="21">
        <f>EXP(-LN(2)/25)*CL136+(1-EXP(-LN(2)/25))/(LN(2)/25)*Calculateur!CG137*Calculateur!CI137*VLOOKUP('Données projet'!$B$12,Paramètres!$A$1:$I$89,3,0)*0.475*44/12</f>
        <v>6.5195018270258931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15.632257804923308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68.226826760585766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5.2446581196581219</v>
      </c>
      <c r="CT137" s="12">
        <f>IF('Données projet'!$A$140&gt;35,CT136+CS137-DB136,IF(A137&lt;'Données projet'!$A$140,$CQ$205^A137,IF(A137='Données projet'!$A$140,'Données projet'!$B$140,CT136+CS137-DB136)))</f>
        <v>277.33653846153805</v>
      </c>
      <c r="CU137" s="17">
        <f>CT137*VLOOKUP('Données projet'!$B$13,Paramètres!$A$1:$I$89,3,0)*VLOOKUP('Données projet'!$B$13,Paramètres!$A$1:$I$89,5,0)</f>
        <v>263.91344999999961</v>
      </c>
      <c r="CV137" s="13">
        <f t="shared" si="149"/>
        <v>63.555840652075076</v>
      </c>
      <c r="CW137" s="20">
        <f t="shared" si="121"/>
        <v>570.34234788569677</v>
      </c>
      <c r="CX137" s="59">
        <f t="shared" si="122"/>
        <v>857.17404600784459</v>
      </c>
      <c r="CY137" s="59">
        <f ca="1">AVERAGE(OFFSET($CX$3,0,0,'Données projet'!$E$13+1,1))-AVERAGE(OFFSET($H$3,0,0,'Données projet'!$E$13+1,1))</f>
        <v>392.81074187112989</v>
      </c>
      <c r="CZ137" s="59">
        <f t="shared" si="150"/>
        <v>236.19146849073687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37.532505785183091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37.532505785183091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68.226826760585766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5.2446581196581219</v>
      </c>
      <c r="DO137" s="12">
        <f>IF('Données projet'!$A$166&gt;35,DO136+DN137-DW136,IF(A137&lt;'Données projet'!$A$166,$DL$205^A137,IF(A137='Données projet'!$A$166,'Données projet'!$B$166,DO136+DN137-DW136)))</f>
        <v>277.33653846153805</v>
      </c>
      <c r="DP137" s="17">
        <f>DO137*VLOOKUP('Données projet'!$B$14,Paramètres!$A$1:$I$89,3,0)*VLOOKUP('Données projet'!$B$14,Paramètres!$A$1:$I$89,5,0)</f>
        <v>298.52504999999957</v>
      </c>
      <c r="DQ137" s="13">
        <f t="shared" si="151"/>
        <v>70.867168663588373</v>
      </c>
      <c r="DR137" s="20">
        <f t="shared" si="124"/>
        <v>643.35811417241564</v>
      </c>
      <c r="DS137" s="59">
        <f t="shared" si="125"/>
        <v>930.18981229456347</v>
      </c>
      <c r="DT137" s="59">
        <f ca="1">AVERAGE(OFFSET($DS$3,0,0,'Données projet'!$E$14+1,1))-AVERAGE(OFFSET($H$3,0,0,'Données projet'!$E$14+1,1))</f>
        <v>434.77799524785502</v>
      </c>
      <c r="DU137" s="59">
        <f t="shared" si="152"/>
        <v>259.85949838170006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42.454801625862842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42.454801625862842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68.226826760585766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5.2446581196581219</v>
      </c>
      <c r="EJ137" s="12">
        <f>IF('Données projet'!$A$192&gt;35,EJ136+EI137-ER136,IF(A137&lt;'Données projet'!$A$192,$EG$205^A137,IF(A137='Données projet'!$A$192,'Données projet'!$B$192,EJ136+EI137-ER136)))</f>
        <v>277.33653846153805</v>
      </c>
      <c r="EK137" s="17">
        <f>EJ137*VLOOKUP('Données projet'!$B$15,Paramètres!$A$1:$I$89,3,0)*VLOOKUP('Données projet'!$B$15,Paramètres!$A$1:$I$89,5,0)</f>
        <v>268.23989999999964</v>
      </c>
      <c r="EL137" s="13">
        <f t="shared" si="153"/>
        <v>64.475589580974699</v>
      </c>
      <c r="EM137" s="20">
        <f t="shared" si="127"/>
        <v>579.47947768686356</v>
      </c>
      <c r="EN137" s="59">
        <f t="shared" si="128"/>
        <v>866.31117580901139</v>
      </c>
      <c r="EO137" s="59">
        <f ca="1">AVERAGE(OFFSET($EN$3,0,0,'Données projet'!$E$15+1,1))-AVERAGE(OFFSET($H$3,0,0,'Données projet'!$E$15+1,1))</f>
        <v>398.06270423055565</v>
      </c>
      <c r="EP137" s="59">
        <f t="shared" si="154"/>
        <v>239.15364562040614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38.147792765268065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38.147792765268065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68.226826760585766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-1.7053025658242404E-13</v>
      </c>
      <c r="FF137" s="17">
        <f>FE137*VLOOKUP('Données projet'!$B$16,Paramètres!$A$1:$I$89,3,0)*VLOOKUP('Données projet'!$B$16,Paramètres!$A$1:$I$89,5,0)</f>
        <v>-1.0197709343628959E-13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334.13861979962491</v>
      </c>
      <c r="FK137" s="59">
        <f t="shared" si="156"/>
        <v>416.48635183664305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34.746845983398373</v>
      </c>
      <c r="FR137" s="21">
        <f>EXP(-LN(2)/25)*FR136+(1-EXP(-LN(2)/25))/(LN(2)/25)*Calculateur!FM137*Calculateur!FO137*VLOOKUP('Données projet'!$B$16,Paramètres!$A$1:$I$89,3,0)*0.475*44/12</f>
        <v>5.0841032064583818</v>
      </c>
      <c r="FS137" s="21">
        <f>EXP(-LN(2)/2)*FS136+(1-EXP(-LN(2)/2))/(LN(2)/2)*FM137*FP137*VLOOKUP('Données projet'!$B$16,Paramètres!$A$1:$I$89,3,0)*0.475*44/12</f>
        <v>7.3498760580713735E-11</v>
      </c>
      <c r="FT137" s="22">
        <f t="shared" si="132"/>
        <v>39.830949189930251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68.226826760585766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3.4106051316484809E-13</v>
      </c>
      <c r="GA137" s="17">
        <f>FZ137*VLOOKUP('Données projet'!$B$17,Paramètres!$A$1:$I$89,3,0)*VLOOKUP('Données projet'!$B$17,Paramètres!$A$1:$I$89,5,0)</f>
        <v>1.5961632016114892E-13</v>
      </c>
      <c r="GB137" s="13">
        <f t="shared" si="157"/>
        <v>2.2708641912150958E-12</v>
      </c>
      <c r="GC137" s="20">
        <f t="shared" si="133"/>
        <v>4.2330868906469593E-12</v>
      </c>
      <c r="GD137" s="59">
        <f t="shared" si="134"/>
        <v>286.83169812215203</v>
      </c>
      <c r="GE137" s="59">
        <f ca="1">AVERAGE(OFFSET($GD$3,0,0,'Données projet'!$E$17+1,1))-AVERAGE(OFFSET($H$3,0,0,'Données projet'!$E$17+1,1))</f>
        <v>317.79829681023142</v>
      </c>
      <c r="GF137" s="59">
        <f t="shared" si="158"/>
        <v>275.07716943523621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98.66456026163435</v>
      </c>
      <c r="GM137" s="21">
        <f>EXP(-LN(2)/25)*GM136+(1-EXP(-LN(2)/25))/(LN(2)/25)*Calculateur!GH137*Calculateur!GJ137*VLOOKUP('Données projet'!$B$17,Paramètres!$A$1:$I$89,3,0)*0.475*44/12</f>
        <v>19.655280661927051</v>
      </c>
      <c r="GN137" s="21">
        <f>EXP(-LN(2)/2)*GN136+(1-EXP(-LN(2)/2))/(LN(2)/2)*GH137*GK137*VLOOKUP('Données projet'!$B$17,Paramètres!$A$1:$I$89,3,0)*0.475*44/12</f>
        <v>9.5753933566244042E-4</v>
      </c>
      <c r="GO137" s="21">
        <f t="shared" si="135"/>
        <v>118.32079846289706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68.226826760585766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>
        <f>GU137*VLOOKUP('Données projet'!$B$18,Paramètres!$A$1:$I$89,3,0)*VLOOKUP('Données projet'!$B$18,Paramètres!$A$1:$I$89,5,0)</f>
        <v>0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336.21787234885699</v>
      </c>
      <c r="HA137" s="59">
        <f t="shared" si="160"/>
        <v>315.36156736899113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59.25827345902016</v>
      </c>
      <c r="HH137" s="21">
        <f>EXP(-LN(2)/25)*HH136+(1-EXP(-LN(2)/25))/(LN(2)/25)*Calculateur!HC137*Calculateur!HE137*VLOOKUP('Données projet'!$B$18,Paramètres!$A$1:$I$89,3,0)*0.475*44/12</f>
        <v>9.3995581050405068</v>
      </c>
      <c r="HI137" s="21">
        <f>EXP(-LN(2)/2)*HI136+(1-EXP(-LN(2)/2))/(LN(2)/2)*HC137*HF137*VLOOKUP('Données projet'!$B$18,Paramètres!$A$1:$I$89,3,0)*0.475*44/12</f>
        <v>9.2741940888488872E-9</v>
      </c>
      <c r="HJ137" s="22">
        <f t="shared" si="138"/>
        <v>68.65783157333486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3.7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13.566666666666668</v>
      </c>
      <c r="H138" s="67">
        <f t="shared" si="110"/>
        <v>202.4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68.257587352068128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5.1431925385259092E-13</v>
      </c>
      <c r="P138" s="13">
        <f t="shared" si="141"/>
        <v>6.3855359115685756E-12</v>
      </c>
      <c r="Q138" s="20">
        <f t="shared" si="108"/>
        <v>1.2017247746441865E-11</v>
      </c>
      <c r="R138" s="59">
        <f t="shared" si="109"/>
        <v>286.94448695759513</v>
      </c>
      <c r="S138" s="59">
        <f ca="1">AVERAGE(OFFSET($R$3,0,0,'Données projet'!$E$9+1,1))-AVERAGE(OFFSET($H$3,0,0,'Données projet'!$E$9+1,1))</f>
        <v>411.64357329340851</v>
      </c>
      <c r="T138" s="59">
        <f t="shared" si="142"/>
        <v>294.07942258675632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157.96347089525904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157.96347089525904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68.257587352068128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5.763922672485933E-13</v>
      </c>
      <c r="AK138" s="13">
        <f t="shared" si="143"/>
        <v>7.0619171555808457E-12</v>
      </c>
      <c r="AL138" s="20">
        <f t="shared" si="112"/>
        <v>1.3303388911427938E-11</v>
      </c>
      <c r="AM138" s="59">
        <f t="shared" si="113"/>
        <v>286.94448695759644</v>
      </c>
      <c r="AN138" s="59">
        <f ca="1">AVERAGE(OFFSET($AM$3,0,0,'Données projet'!$E$10+1,1))-AVERAGE(OFFSET($H$3,0,0,'Données projet'!$E$10+1,1))</f>
        <v>453.05577105995508</v>
      </c>
      <c r="AO138" s="59">
        <f t="shared" si="144"/>
        <v>322.6839824496758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177.0280277274455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177.0280277274455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68.257587352068128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4.9871794871794863</v>
      </c>
      <c r="BD138" s="12">
        <f>IF('Données projet'!$A$88&gt;35,BD137+BC138-BL137,IF(A138&lt;'Données projet'!$A$88,$BA$205^A138,IF(A138='Données projet'!$A$88,'Données projet'!$B$88,BD137+BC138-BL137)))</f>
        <v>218.96794871794873</v>
      </c>
      <c r="BE138" s="13">
        <f>BD138*VLOOKUP('Données projet'!$B$11,Paramètres!$A$1:$I$89,3,0)*VLOOKUP('Données projet'!$B$11,Paramètres!$A$1:$I$89,5,0)</f>
        <v>218.61760000000004</v>
      </c>
      <c r="BF138" s="13">
        <f t="shared" si="145"/>
        <v>53.814317773255617</v>
      </c>
      <c r="BG138" s="20">
        <f t="shared" si="115"/>
        <v>474.48559012175355</v>
      </c>
      <c r="BH138" s="59">
        <f t="shared" si="116"/>
        <v>761.43007707933668</v>
      </c>
      <c r="BI138" s="59">
        <f ca="1">AVERAGE(OFFSET($BH$3,0,0,'Données projet'!$E$11+1,1))-AVERAGE(OFFSET($H$3,0,0,'Données projet'!$E$11+1,1))</f>
        <v>411.38162678377478</v>
      </c>
      <c r="BJ138" s="59">
        <f t="shared" si="146"/>
        <v>177.89903563360403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30.432341601282321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30.432341601282321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68.257587352068128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212.00000000000009</v>
      </c>
      <c r="BZ138" s="13">
        <f>BY138*VLOOKUP('Données projet'!$B$12,Paramètres!$A$1:$I$89,3,0)*VLOOKUP('Données projet'!$B$12,Paramètres!$A$1:$I$89,5,0)</f>
        <v>221.58240000000012</v>
      </c>
      <c r="CA138" s="13">
        <f t="shared" si="147"/>
        <v>54.458668952651578</v>
      </c>
      <c r="CB138" s="20">
        <f t="shared" si="118"/>
        <v>480.77152842586838</v>
      </c>
      <c r="CC138" s="59">
        <f t="shared" si="119"/>
        <v>767.71601538345158</v>
      </c>
      <c r="CD138" s="59">
        <f ca="1">AVERAGE(OFFSET($CC$3,0,0,'Données projet'!$E$12+1,1))-AVERAGE(OFFSET($H$3,0,0,'Données projet'!$E$12+1,1))</f>
        <v>374.38550202939507</v>
      </c>
      <c r="CE138" s="59">
        <f t="shared" si="148"/>
        <v>324.37486924296718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8.9340603914031629</v>
      </c>
      <c r="CL138" s="21">
        <f>EXP(-LN(2)/25)*CL137+(1-EXP(-LN(2)/25))/(LN(2)/25)*Calculateur!CG138*Calculateur!CI138*VLOOKUP('Données projet'!$B$12,Paramètres!$A$1:$I$89,3,0)*0.475*44/12</f>
        <v>6.3412257067201692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15.275286098123331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68.257587352068128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5.2446581196581219</v>
      </c>
      <c r="CT138" s="12">
        <f>IF('Données projet'!$A$140&gt;35,CT137+CS138-DB137,IF(A138&lt;'Données projet'!$A$140,$CQ$205^A138,IF(A138='Données projet'!$A$140,'Données projet'!$B$140,CT137+CS138-DB137)))</f>
        <v>282.5811965811962</v>
      </c>
      <c r="CU138" s="17">
        <f>CT138*VLOOKUP('Données projet'!$B$13,Paramètres!$A$1:$I$89,3,0)*VLOOKUP('Données projet'!$B$13,Paramètres!$A$1:$I$89,5,0)</f>
        <v>268.90426666666633</v>
      </c>
      <c r="CV138" s="13">
        <f t="shared" si="149"/>
        <v>64.616672012439665</v>
      </c>
      <c r="CW138" s="20">
        <f t="shared" si="121"/>
        <v>580.8823015327763</v>
      </c>
      <c r="CX138" s="59">
        <f t="shared" si="122"/>
        <v>867.82678849035938</v>
      </c>
      <c r="CY138" s="59">
        <f ca="1">AVERAGE(OFFSET($CX$3,0,0,'Données projet'!$E$13+1,1))-AVERAGE(OFFSET($H$3,0,0,'Données projet'!$E$13+1,1))</f>
        <v>392.81074187112989</v>
      </c>
      <c r="CZ138" s="59">
        <f t="shared" si="150"/>
        <v>236.19146849073687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36.796516239303728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36.796516239303728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68.257587352068128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5.2446581196581219</v>
      </c>
      <c r="DO138" s="12">
        <f>IF('Données projet'!$A$166&gt;35,DO137+DN138-DW137,IF(A138&lt;'Données projet'!$A$166,$DL$205^A138,IF(A138='Données projet'!$A$166,'Données projet'!$B$166,DO137+DN138-DW137)))</f>
        <v>282.5811965811962</v>
      </c>
      <c r="DP138" s="17">
        <f>DO138*VLOOKUP('Données projet'!$B$14,Paramètres!$A$1:$I$89,3,0)*VLOOKUP('Données projet'!$B$14,Paramètres!$A$1:$I$89,5,0)</f>
        <v>304.17039999999957</v>
      </c>
      <c r="DQ138" s="13">
        <f t="shared" si="151"/>
        <v>72.05003579534619</v>
      </c>
      <c r="DR138" s="20">
        <f t="shared" si="124"/>
        <v>655.25059234356047</v>
      </c>
      <c r="DS138" s="59">
        <f t="shared" si="125"/>
        <v>942.19507930114355</v>
      </c>
      <c r="DT138" s="59">
        <f ca="1">AVERAGE(OFFSET($DS$3,0,0,'Données projet'!$E$14+1,1))-AVERAGE(OFFSET($H$3,0,0,'Données projet'!$E$14+1,1))</f>
        <v>434.77799524785502</v>
      </c>
      <c r="DU138" s="59">
        <f t="shared" si="152"/>
        <v>259.85949838170006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41.622288860851761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41.622288860851761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68.257587352068128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5.2446581196581219</v>
      </c>
      <c r="EJ138" s="12">
        <f>IF('Données projet'!$A$192&gt;35,EJ137+EI138-ER137,IF(A138&lt;'Données projet'!$A$192,$EG$205^A138,IF(A138='Données projet'!$A$192,'Données projet'!$B$192,EJ137+EI138-ER137)))</f>
        <v>282.5811965811962</v>
      </c>
      <c r="EK138" s="17">
        <f>EJ138*VLOOKUP('Données projet'!$B$15,Paramètres!$A$1:$I$89,3,0)*VLOOKUP('Données projet'!$B$15,Paramètres!$A$1:$I$89,5,0)</f>
        <v>273.31253333333296</v>
      </c>
      <c r="EL138" s="13">
        <f t="shared" si="153"/>
        <v>65.55177277206684</v>
      </c>
      <c r="EM138" s="20">
        <f t="shared" si="127"/>
        <v>590.18866646690458</v>
      </c>
      <c r="EN138" s="59">
        <f t="shared" si="128"/>
        <v>877.13315342448777</v>
      </c>
      <c r="EO138" s="59">
        <f ca="1">AVERAGE(OFFSET($EN$3,0,0,'Données projet'!$E$15+1,1))-AVERAGE(OFFSET($H$3,0,0,'Données projet'!$E$15+1,1))</f>
        <v>398.06270423055565</v>
      </c>
      <c r="EP138" s="59">
        <f t="shared" si="154"/>
        <v>239.15364562040614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37.399737816997238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37.399737816997238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68.257587352068128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-1.7053025658242404E-13</v>
      </c>
      <c r="FF138" s="17">
        <f>FE138*VLOOKUP('Données projet'!$B$16,Paramètres!$A$1:$I$89,3,0)*VLOOKUP('Données projet'!$B$16,Paramètres!$A$1:$I$89,5,0)</f>
        <v>-1.0197709343628959E-13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334.13861979962491</v>
      </c>
      <c r="FK138" s="59">
        <f t="shared" si="156"/>
        <v>416.48635183664305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34.065481527147298</v>
      </c>
      <c r="FR138" s="21">
        <f>EXP(-LN(2)/25)*FR137+(1-EXP(-LN(2)/25))/(LN(2)/25)*Calculateur!FM138*Calculateur!FO138*VLOOKUP('Données projet'!$B$16,Paramètres!$A$1:$I$89,3,0)*0.475*44/12</f>
        <v>4.9450781369164094</v>
      </c>
      <c r="FS138" s="21">
        <f>EXP(-LN(2)/2)*FS137+(1-EXP(-LN(2)/2))/(LN(2)/2)*FM138*FP138*VLOOKUP('Données projet'!$B$16,Paramètres!$A$1:$I$89,3,0)*0.475*44/12</f>
        <v>5.1971472015429192E-11</v>
      </c>
      <c r="FT138" s="22">
        <f t="shared" si="132"/>
        <v>39.010559664115675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68.257587352068128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3.4106051316484809E-13</v>
      </c>
      <c r="GA138" s="17">
        <f>FZ138*VLOOKUP('Données projet'!$B$17,Paramètres!$A$1:$I$89,3,0)*VLOOKUP('Données projet'!$B$17,Paramètres!$A$1:$I$89,5,0)</f>
        <v>1.5961632016114892E-13</v>
      </c>
      <c r="GB138" s="13">
        <f t="shared" si="157"/>
        <v>2.2708641912150958E-12</v>
      </c>
      <c r="GC138" s="20">
        <f t="shared" si="133"/>
        <v>4.2330868906469593E-12</v>
      </c>
      <c r="GD138" s="59">
        <f t="shared" si="134"/>
        <v>286.94448695758734</v>
      </c>
      <c r="GE138" s="59">
        <f ca="1">AVERAGE(OFFSET($GD$3,0,0,'Données projet'!$E$17+1,1))-AVERAGE(OFFSET($H$3,0,0,'Données projet'!$E$17+1,1))</f>
        <v>317.79829681023142</v>
      </c>
      <c r="GF138" s="59">
        <f t="shared" si="158"/>
        <v>275.07716943523621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96.729808414343239</v>
      </c>
      <c r="GM138" s="21">
        <f>EXP(-LN(2)/25)*GM137+(1-EXP(-LN(2)/25))/(LN(2)/25)*Calculateur!GH138*Calculateur!GJ138*VLOOKUP('Données projet'!$B$17,Paramètres!$A$1:$I$89,3,0)*0.475*44/12</f>
        <v>19.117805978600369</v>
      </c>
      <c r="GN138" s="21">
        <f>EXP(-LN(2)/2)*GN137+(1-EXP(-LN(2)/2))/(LN(2)/2)*GH138*GK138*VLOOKUP('Données projet'!$B$17,Paramètres!$A$1:$I$89,3,0)*0.475*44/12</f>
        <v>6.7708255749977342E-4</v>
      </c>
      <c r="GO138" s="21">
        <f t="shared" si="135"/>
        <v>115.84829147550111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68.257587352068128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>
        <f>GU138*VLOOKUP('Données projet'!$B$18,Paramètres!$A$1:$I$89,3,0)*VLOOKUP('Données projet'!$B$18,Paramètres!$A$1:$I$89,5,0)</f>
        <v>0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336.21787234885699</v>
      </c>
      <c r="HA138" s="59">
        <f t="shared" si="160"/>
        <v>315.36156736899113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58.096254860466665</v>
      </c>
      <c r="HH138" s="21">
        <f>EXP(-LN(2)/25)*HH137+(1-EXP(-LN(2)/25))/(LN(2)/25)*Calculateur!HC138*Calculateur!HE138*VLOOKUP('Données projet'!$B$18,Paramètres!$A$1:$I$89,3,0)*0.475*44/12</f>
        <v>9.1425266943568957</v>
      </c>
      <c r="HI138" s="21">
        <f>EXP(-LN(2)/2)*HI137+(1-EXP(-LN(2)/2))/(LN(2)/2)*HC138*HF138*VLOOKUP('Données projet'!$B$18,Paramètres!$A$1:$I$89,3,0)*0.475*44/12</f>
        <v>6.5578455302652427E-9</v>
      </c>
      <c r="HJ138" s="22">
        <f t="shared" si="138"/>
        <v>67.238781561381401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3.7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13.566666666666668</v>
      </c>
      <c r="H139" s="67">
        <f t="shared" si="110"/>
        <v>202.4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68.287814316058657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5.1431925385259092E-13</v>
      </c>
      <c r="P139" s="13">
        <f t="shared" si="141"/>
        <v>6.3855359115685756E-12</v>
      </c>
      <c r="Q139" s="20">
        <f t="shared" si="108"/>
        <v>1.2017247746441865E-11</v>
      </c>
      <c r="R139" s="59">
        <f t="shared" si="109"/>
        <v>287.05531915889372</v>
      </c>
      <c r="S139" s="59">
        <f ca="1">AVERAGE(OFFSET($R$3,0,0,'Données projet'!$E$9+1,1))-AVERAGE(OFFSET($H$3,0,0,'Données projet'!$E$9+1,1))</f>
        <v>411.64357329340851</v>
      </c>
      <c r="T139" s="59">
        <f t="shared" si="142"/>
        <v>294.07942258675632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154.86590357920664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154.86590357920664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68.287814316058657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5.763922672485933E-13</v>
      </c>
      <c r="AK139" s="13">
        <f t="shared" si="143"/>
        <v>7.0619171555808457E-12</v>
      </c>
      <c r="AL139" s="20">
        <f t="shared" si="112"/>
        <v>1.3303388911427938E-11</v>
      </c>
      <c r="AM139" s="59">
        <f t="shared" si="113"/>
        <v>287.05531915889503</v>
      </c>
      <c r="AN139" s="59">
        <f ca="1">AVERAGE(OFFSET($AM$3,0,0,'Données projet'!$E$10+1,1))-AVERAGE(OFFSET($H$3,0,0,'Données projet'!$E$10+1,1))</f>
        <v>453.05577105995508</v>
      </c>
      <c r="AO139" s="59">
        <f t="shared" si="144"/>
        <v>322.6839824496758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173.55661608014543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173.55661608014543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68.287814316058657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4.9871794871794863</v>
      </c>
      <c r="BD139" s="12">
        <f>IF('Données projet'!$A$88&gt;35,BD138+BC139-BL138,IF(A139&lt;'Données projet'!$A$88,$BA$205^A139,IF(A139='Données projet'!$A$88,'Données projet'!$B$88,BD138+BC139-BL138)))</f>
        <v>223.9551282051282</v>
      </c>
      <c r="BE139" s="13">
        <f>BD139*VLOOKUP('Données projet'!$B$11,Paramètres!$A$1:$I$89,3,0)*VLOOKUP('Données projet'!$B$11,Paramètres!$A$1:$I$89,5,0)</f>
        <v>223.5968</v>
      </c>
      <c r="BF139" s="13">
        <f t="shared" si="145"/>
        <v>54.895893070984265</v>
      </c>
      <c r="BG139" s="20">
        <f t="shared" si="115"/>
        <v>485.04144043196425</v>
      </c>
      <c r="BH139" s="59">
        <f t="shared" si="116"/>
        <v>772.09675959084598</v>
      </c>
      <c r="BI139" s="59">
        <f ca="1">AVERAGE(OFFSET($BH$3,0,0,'Données projet'!$E$11+1,1))-AVERAGE(OFFSET($H$3,0,0,'Données projet'!$E$11+1,1))</f>
        <v>411.38162678377478</v>
      </c>
      <c r="BJ139" s="59">
        <f t="shared" si="146"/>
        <v>177.89903563360403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29.835581944376717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29.835581944376717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68.287814316058657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212.00000000000009</v>
      </c>
      <c r="BZ139" s="13">
        <f>BY139*VLOOKUP('Données projet'!$B$12,Paramètres!$A$1:$I$89,3,0)*VLOOKUP('Données projet'!$B$12,Paramètres!$A$1:$I$89,5,0)</f>
        <v>221.58240000000012</v>
      </c>
      <c r="CA139" s="13">
        <f t="shared" si="147"/>
        <v>54.458668952651578</v>
      </c>
      <c r="CB139" s="20">
        <f t="shared" si="118"/>
        <v>480.77152842586838</v>
      </c>
      <c r="CC139" s="59">
        <f t="shared" si="119"/>
        <v>767.82684758475011</v>
      </c>
      <c r="CD139" s="59">
        <f ca="1">AVERAGE(OFFSET($CC$3,0,0,'Données projet'!$E$12+1,1))-AVERAGE(OFFSET($H$3,0,0,'Données projet'!$E$12+1,1))</f>
        <v>374.38550202939507</v>
      </c>
      <c r="CE139" s="59">
        <f t="shared" si="148"/>
        <v>324.37486924296718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8.7588689163665183</v>
      </c>
      <c r="CL139" s="21">
        <f>EXP(-LN(2)/25)*CL138+(1-EXP(-LN(2)/25))/(LN(2)/25)*Calculateur!CG139*Calculateur!CI139*VLOOKUP('Données projet'!$B$12,Paramètres!$A$1:$I$89,3,0)*0.475*44/12</f>
        <v>6.1678245562993395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14.926693472665857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68.287814316058657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5.2446581196581219</v>
      </c>
      <c r="CT139" s="12">
        <f>IF('Données projet'!$A$140&gt;35,CT138+CS139-DB138,IF(A139&lt;'Données projet'!$A$140,$CQ$205^A139,IF(A139='Données projet'!$A$140,'Données projet'!$B$140,CT138+CS139-DB138)))</f>
        <v>287.82585470085434</v>
      </c>
      <c r="CU139" s="17">
        <f>CT139*VLOOKUP('Données projet'!$B$13,Paramètres!$A$1:$I$89,3,0)*VLOOKUP('Données projet'!$B$13,Paramètres!$A$1:$I$89,5,0)</f>
        <v>273.89508333333299</v>
      </c>
      <c r="CV139" s="13">
        <f t="shared" si="149"/>
        <v>65.67521392587814</v>
      </c>
      <c r="CW139" s="20">
        <f t="shared" si="121"/>
        <v>591.41826772645936</v>
      </c>
      <c r="CX139" s="59">
        <f t="shared" si="122"/>
        <v>878.47358688534109</v>
      </c>
      <c r="CY139" s="59">
        <f ca="1">AVERAGE(OFFSET($CX$3,0,0,'Données projet'!$E$13+1,1))-AVERAGE(OFFSET($H$3,0,0,'Données projet'!$E$13+1,1))</f>
        <v>392.81074187112989</v>
      </c>
      <c r="CZ139" s="59">
        <f t="shared" si="150"/>
        <v>236.19146849073687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36.074958999509761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36.074958999509761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68.287814316058657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5.2446581196581219</v>
      </c>
      <c r="DO139" s="12">
        <f>IF('Données projet'!$A$166&gt;35,DO138+DN139-DW138,IF(A139&lt;'Données projet'!$A$166,$DL$205^A139,IF(A139='Données projet'!$A$166,'Données projet'!$B$166,DO138+DN139-DW138)))</f>
        <v>287.82585470085434</v>
      </c>
      <c r="DP139" s="17">
        <f>DO139*VLOOKUP('Données projet'!$B$14,Paramètres!$A$1:$I$89,3,0)*VLOOKUP('Données projet'!$B$14,Paramètres!$A$1:$I$89,5,0)</f>
        <v>309.81574999999958</v>
      </c>
      <c r="DQ139" s="13">
        <f t="shared" si="151"/>
        <v>73.230350107099014</v>
      </c>
      <c r="DR139" s="20">
        <f t="shared" si="124"/>
        <v>667.13862435319663</v>
      </c>
      <c r="DS139" s="59">
        <f t="shared" si="125"/>
        <v>954.19394351207836</v>
      </c>
      <c r="DT139" s="59">
        <f ca="1">AVERAGE(OFFSET($DS$3,0,0,'Données projet'!$E$14+1,1))-AVERAGE(OFFSET($H$3,0,0,'Données projet'!$E$14+1,1))</f>
        <v>434.77799524785502</v>
      </c>
      <c r="DU139" s="59">
        <f t="shared" si="152"/>
        <v>259.85949838170006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40.806101163379893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40.806101163379893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68.287814316058657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5.2446581196581219</v>
      </c>
      <c r="EJ139" s="12">
        <f>IF('Données projet'!$A$192&gt;35,EJ138+EI139-ER138,IF(A139&lt;'Données projet'!$A$192,$EG$205^A139,IF(A139='Données projet'!$A$192,'Données projet'!$B$192,EJ138+EI139-ER138)))</f>
        <v>287.82585470085434</v>
      </c>
      <c r="EK139" s="17">
        <f>EJ139*VLOOKUP('Données projet'!$B$15,Paramètres!$A$1:$I$89,3,0)*VLOOKUP('Données projet'!$B$15,Paramètres!$A$1:$I$89,5,0)</f>
        <v>278.38516666666629</v>
      </c>
      <c r="EL139" s="13">
        <f t="shared" si="153"/>
        <v>66.625633384480764</v>
      </c>
      <c r="EM139" s="20">
        <f t="shared" si="127"/>
        <v>600.89381008908106</v>
      </c>
      <c r="EN139" s="59">
        <f t="shared" si="128"/>
        <v>887.94912924796279</v>
      </c>
      <c r="EO139" s="59">
        <f ca="1">AVERAGE(OFFSET($EN$3,0,0,'Données projet'!$E$15+1,1))-AVERAGE(OFFSET($H$3,0,0,'Données projet'!$E$15+1,1))</f>
        <v>398.06270423055565</v>
      </c>
      <c r="EP139" s="59">
        <f t="shared" si="154"/>
        <v>239.15364562040614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36.666351769993533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36.666351769993533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68.287814316058657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-1.7053025658242404E-13</v>
      </c>
      <c r="FF139" s="17">
        <f>FE139*VLOOKUP('Données projet'!$B$16,Paramètres!$A$1:$I$89,3,0)*VLOOKUP('Données projet'!$B$16,Paramètres!$A$1:$I$89,5,0)</f>
        <v>-1.0197709343628959E-13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334.13861979962491</v>
      </c>
      <c r="FK139" s="59">
        <f t="shared" si="156"/>
        <v>416.48635183664305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33.397478212292022</v>
      </c>
      <c r="FR139" s="21">
        <f>EXP(-LN(2)/25)*FR138+(1-EXP(-LN(2)/25))/(LN(2)/25)*Calculateur!FM139*Calculateur!FO139*VLOOKUP('Données projet'!$B$16,Paramètres!$A$1:$I$89,3,0)*0.475*44/12</f>
        <v>4.8098547152120732</v>
      </c>
      <c r="FS139" s="21">
        <f>EXP(-LN(2)/2)*FS138+(1-EXP(-LN(2)/2))/(LN(2)/2)*FM139*FP139*VLOOKUP('Données projet'!$B$16,Paramètres!$A$1:$I$89,3,0)*0.475*44/12</f>
        <v>3.6749380290356867E-11</v>
      </c>
      <c r="FT139" s="22">
        <f t="shared" si="132"/>
        <v>38.207332927540847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68.287814316058657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3.4106051316484809E-13</v>
      </c>
      <c r="GA139" s="17">
        <f>FZ139*VLOOKUP('Données projet'!$B$17,Paramètres!$A$1:$I$89,3,0)*VLOOKUP('Données projet'!$B$17,Paramètres!$A$1:$I$89,5,0)</f>
        <v>1.5961632016114892E-13</v>
      </c>
      <c r="GB139" s="13">
        <f t="shared" si="157"/>
        <v>2.2708641912150958E-12</v>
      </c>
      <c r="GC139" s="20">
        <f t="shared" si="133"/>
        <v>4.2330868906469593E-12</v>
      </c>
      <c r="GD139" s="59">
        <f t="shared" si="134"/>
        <v>287.05531915888594</v>
      </c>
      <c r="GE139" s="59">
        <f ca="1">AVERAGE(OFFSET($GD$3,0,0,'Données projet'!$E$17+1,1))-AVERAGE(OFFSET($H$3,0,0,'Données projet'!$E$17+1,1))</f>
        <v>317.79829681023142</v>
      </c>
      <c r="GF139" s="59">
        <f t="shared" si="158"/>
        <v>275.07716943523621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94.832995870695399</v>
      </c>
      <c r="GM139" s="21">
        <f>EXP(-LN(2)/25)*GM138+(1-EXP(-LN(2)/25))/(LN(2)/25)*Calculateur!GH139*Calculateur!GJ139*VLOOKUP('Données projet'!$B$17,Paramètres!$A$1:$I$89,3,0)*0.475*44/12</f>
        <v>18.595028568753822</v>
      </c>
      <c r="GN139" s="21">
        <f>EXP(-LN(2)/2)*GN138+(1-EXP(-LN(2)/2))/(LN(2)/2)*GH139*GK139*VLOOKUP('Données projet'!$B$17,Paramètres!$A$1:$I$89,3,0)*0.475*44/12</f>
        <v>4.7876966783122032E-4</v>
      </c>
      <c r="GO139" s="21">
        <f t="shared" si="135"/>
        <v>113.42850320911705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68.287814316058657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>
        <f>GU139*VLOOKUP('Données projet'!$B$18,Paramètres!$A$1:$I$89,3,0)*VLOOKUP('Données projet'!$B$18,Paramètres!$A$1:$I$89,5,0)</f>
        <v>0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336.21787234885699</v>
      </c>
      <c r="HA139" s="59">
        <f t="shared" si="160"/>
        <v>315.36156736899113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56.957022737869444</v>
      </c>
      <c r="HH139" s="21">
        <f>EXP(-LN(2)/25)*HH138+(1-EXP(-LN(2)/25))/(LN(2)/25)*Calculateur!HC139*Calculateur!HE139*VLOOKUP('Données projet'!$B$18,Paramètres!$A$1:$I$89,3,0)*0.475*44/12</f>
        <v>8.8925238211151232</v>
      </c>
      <c r="HI139" s="21">
        <f>EXP(-LN(2)/2)*HI138+(1-EXP(-LN(2)/2))/(LN(2)/2)*HC139*HF139*VLOOKUP('Données projet'!$B$18,Paramètres!$A$1:$I$89,3,0)*0.475*44/12</f>
        <v>4.6370970444244436E-9</v>
      </c>
      <c r="HJ139" s="22">
        <f t="shared" si="138"/>
        <v>65.849546563621672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3.7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13.566666666666668</v>
      </c>
      <c r="H140" s="67">
        <f t="shared" si="110"/>
        <v>202.4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68.317516909801299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5.1431925385259092E-13</v>
      </c>
      <c r="P140" s="13">
        <f t="shared" si="141"/>
        <v>6.3855359115685756E-12</v>
      </c>
      <c r="Q140" s="20">
        <f t="shared" si="108"/>
        <v>1.2017247746441865E-11</v>
      </c>
      <c r="R140" s="59">
        <f t="shared" si="109"/>
        <v>287.16422866928343</v>
      </c>
      <c r="S140" s="59">
        <f ca="1">AVERAGE(OFFSET($R$3,0,0,'Données projet'!$E$9+1,1))-AVERAGE(OFFSET($H$3,0,0,'Données projet'!$E$9+1,1))</f>
        <v>411.64357329340851</v>
      </c>
      <c r="T140" s="59">
        <f t="shared" si="142"/>
        <v>294.07942258675632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151.82907766889255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151.82907766889255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68.317516909801299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5.763922672485933E-13</v>
      </c>
      <c r="AK140" s="13">
        <f t="shared" si="143"/>
        <v>7.0619171555808457E-12</v>
      </c>
      <c r="AL140" s="20">
        <f t="shared" si="112"/>
        <v>1.3303388911427938E-11</v>
      </c>
      <c r="AM140" s="59">
        <f t="shared" si="113"/>
        <v>287.16422866928474</v>
      </c>
      <c r="AN140" s="59">
        <f ca="1">AVERAGE(OFFSET($AM$3,0,0,'Données projet'!$E$10+1,1))-AVERAGE(OFFSET($H$3,0,0,'Données projet'!$E$10+1,1))</f>
        <v>453.05577105995508</v>
      </c>
      <c r="AO140" s="59">
        <f t="shared" si="144"/>
        <v>322.6839824496758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170.15327669789687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170.15327669789687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68.317516909801299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4.9871794871794863</v>
      </c>
      <c r="BD140" s="12">
        <f>IF('Données projet'!$A$88&gt;35,BD139+BC140-BL139,IF(A140&lt;'Données projet'!$A$88,$BA$205^A140,IF(A140='Données projet'!$A$88,'Données projet'!$B$88,BD139+BC140-BL139)))</f>
        <v>228.94230769230768</v>
      </c>
      <c r="BE140" s="13">
        <f>BD140*VLOOKUP('Données projet'!$B$11,Paramètres!$A$1:$I$89,3,0)*VLOOKUP('Données projet'!$B$11,Paramètres!$A$1:$I$89,5,0)</f>
        <v>228.57600000000002</v>
      </c>
      <c r="BF140" s="13">
        <f t="shared" si="145"/>
        <v>55.974668233986492</v>
      </c>
      <c r="BG140" s="20">
        <f t="shared" si="115"/>
        <v>495.59241384085993</v>
      </c>
      <c r="BH140" s="59">
        <f t="shared" si="116"/>
        <v>782.75664251013131</v>
      </c>
      <c r="BI140" s="59">
        <f ca="1">AVERAGE(OFFSET($BH$3,0,0,'Données projet'!$E$11+1,1))-AVERAGE(OFFSET($H$3,0,0,'Données projet'!$E$11+1,1))</f>
        <v>411.38162678377478</v>
      </c>
      <c r="BJ140" s="59">
        <f t="shared" si="146"/>
        <v>177.89903563360403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29.250524380355582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29.250524380355582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68.317516909801299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212.00000000000009</v>
      </c>
      <c r="BZ140" s="13">
        <f>BY140*VLOOKUP('Données projet'!$B$12,Paramètres!$A$1:$I$89,3,0)*VLOOKUP('Données projet'!$B$12,Paramètres!$A$1:$I$89,5,0)</f>
        <v>221.58240000000012</v>
      </c>
      <c r="CA140" s="13">
        <f t="shared" si="147"/>
        <v>54.458668952651578</v>
      </c>
      <c r="CB140" s="20">
        <f t="shared" si="118"/>
        <v>480.77152842586838</v>
      </c>
      <c r="CC140" s="59">
        <f t="shared" si="119"/>
        <v>767.93575709513982</v>
      </c>
      <c r="CD140" s="59">
        <f ca="1">AVERAGE(OFFSET($CC$3,0,0,'Données projet'!$E$12+1,1))-AVERAGE(OFFSET($H$3,0,0,'Données projet'!$E$12+1,1))</f>
        <v>374.38550202939507</v>
      </c>
      <c r="CE140" s="59">
        <f t="shared" si="148"/>
        <v>324.37486924296718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8.5871128392990936</v>
      </c>
      <c r="CL140" s="21">
        <f>EXP(-LN(2)/25)*CL139+(1-EXP(-LN(2)/25))/(LN(2)/25)*Calculateur!CG140*Calculateur!CI140*VLOOKUP('Données projet'!$B$12,Paramètres!$A$1:$I$89,3,0)*0.475*44/12</f>
        <v>5.999165069455537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14.586277908754631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68.317516909801299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>
        <f>VLOOKUP(A140,'Données projet'!$A$139:$I$159,2,0)</f>
        <v>293.07051282051282</v>
      </c>
      <c r="CR140" s="12">
        <f>VLOOKUP(A140,'Données projet'!$A$139:$I$159,9,0)</f>
        <v>5.2446581196581219</v>
      </c>
      <c r="CS140" s="12">
        <f t="array" ref="CS140">INDEX(CR:CR,MIN(IF(ISNUMBER(CR140:CR336),ROW(CR140:CR336),"")))</f>
        <v>5.2446581196581219</v>
      </c>
      <c r="CT140" s="12">
        <f>IF('Données projet'!$A$140&gt;35,CT139+CS140-DB139,IF(A140&lt;'Données projet'!$A$140,$CQ$205^A140,IF(A140='Données projet'!$A$140,'Données projet'!$B$140,CT139+CS140-DB139)))</f>
        <v>293.07051282051248</v>
      </c>
      <c r="CU140" s="17">
        <f>CT140*VLOOKUP('Données projet'!$B$13,Paramètres!$A$1:$I$89,3,0)*VLOOKUP('Données projet'!$B$13,Paramètres!$A$1:$I$89,5,0)</f>
        <v>278.88589999999965</v>
      </c>
      <c r="CV140" s="13">
        <f t="shared" si="149"/>
        <v>66.731512921610161</v>
      </c>
      <c r="CW140" s="20">
        <f t="shared" si="121"/>
        <v>601.95032750513701</v>
      </c>
      <c r="CX140" s="59">
        <f t="shared" si="122"/>
        <v>889.11455617440845</v>
      </c>
      <c r="CY140" s="59">
        <f ca="1">AVERAGE(OFFSET($CX$3,0,0,'Données projet'!$E$13+1,1))-AVERAGE(OFFSET($H$3,0,0,'Données projet'!$E$13+1,1))</f>
        <v>392.81074187112989</v>
      </c>
      <c r="CZ140" s="59">
        <f t="shared" si="150"/>
        <v>236.19146849073687</v>
      </c>
      <c r="DA140" s="15">
        <f>IF(ISNA(VLOOKUP(A140,'Données projet'!$A$139:$I$159,3,0)),0,VLOOKUP(A140,'Données projet'!$A$139:$I$159,3,0))</f>
        <v>11</v>
      </c>
      <c r="DB140" s="15">
        <f>IF(ISNA(VLOOKUP(A140,'Données projet'!$A$139:$I$159,4,0)),0,VLOOKUP(A140,'Données projet'!$A$139:$I$159,4,0))</f>
        <v>51.160256410256409</v>
      </c>
      <c r="DC140" s="16">
        <f>IF(ISNA(VLOOKUP(A140,'Données projet'!$A$139:$I$159,5,0)),0%,VLOOKUP(A140,'Données projet'!$A$139:$I$159,5,0)*VLOOKUP('Données projet'!$B$13,Paramètres!$A$1:$I$89,7,0))</f>
        <v>0.30099999999999999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51.567019038851939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51.567019038851939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68.317516909801299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>
        <f>VLOOKUP(A140,'Données projet'!$A$165:$I$185,2,0)</f>
        <v>293.07051282051282</v>
      </c>
      <c r="DM140" s="12">
        <f>VLOOKUP(A140,'Données projet'!$A$165:$I$185,9,0)</f>
        <v>5.2446581196581219</v>
      </c>
      <c r="DN140" s="12">
        <f t="array" ref="DN140">INDEX(DM:DM,MIN(IF(ISNUMBER(DM140:DM336),ROW(DM140:DM336),"")))</f>
        <v>5.2446581196581219</v>
      </c>
      <c r="DO140" s="12">
        <f>IF('Données projet'!$A$166&gt;35,DO139+DN140-DW139,IF(A140&lt;'Données projet'!$A$166,$DL$205^A140,IF(A140='Données projet'!$A$166,'Données projet'!$B$166,DO139+DN140-DW139)))</f>
        <v>293.07051282051248</v>
      </c>
      <c r="DP140" s="17">
        <f>DO140*VLOOKUP('Données projet'!$B$14,Paramètres!$A$1:$I$89,3,0)*VLOOKUP('Données projet'!$B$14,Paramètres!$A$1:$I$89,5,0)</f>
        <v>315.46109999999959</v>
      </c>
      <c r="DQ140" s="13">
        <f t="shared" si="151"/>
        <v>74.408163480688174</v>
      </c>
      <c r="DR140" s="20">
        <f t="shared" si="124"/>
        <v>679.02230056219787</v>
      </c>
      <c r="DS140" s="59">
        <f t="shared" si="125"/>
        <v>966.18652923146931</v>
      </c>
      <c r="DT140" s="59">
        <f ca="1">AVERAGE(OFFSET($DS$3,0,0,'Données projet'!$E$14+1,1))-AVERAGE(OFFSET($H$3,0,0,'Données projet'!$E$14+1,1))</f>
        <v>434.77799524785502</v>
      </c>
      <c r="DU140" s="59">
        <f t="shared" si="152"/>
        <v>259.85949838170006</v>
      </c>
      <c r="DV140" s="15">
        <f>IF(ISNA(VLOOKUP(A140,'Données projet'!$A$165:$I$185,3,0)),0,VLOOKUP(A140,'Données projet'!$A$165:$I$185,3,0))</f>
        <v>11</v>
      </c>
      <c r="DW140" s="15">
        <f>IF(ISNA(VLOOKUP(A140,'Données projet'!$A$165:$I$185,4,0)),0,VLOOKUP(A140,'Données projet'!$A$165:$I$185,4,0))</f>
        <v>51.160256410256409</v>
      </c>
      <c r="DX140" s="16">
        <f>IF(ISNA(VLOOKUP(A140,'Données projet'!$A$165:$I$185,5,0)),0%,VLOOKUP(A140,'Données projet'!$A$165:$I$185,5,0)*VLOOKUP('Données projet'!$B$14,Paramètres!$A$1:$I$89,7,0))</f>
        <v>0.30099999999999999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58.329906781652198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58.329906781652198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68.317516909801299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>
        <f>VLOOKUP(A140,'Données projet'!$A$191:$I$211,2,0)</f>
        <v>293.07051282051282</v>
      </c>
      <c r="EH140" s="12">
        <f>VLOOKUP(A140,'Données projet'!$A$191:$I$211,9,0)</f>
        <v>5.2446581196581219</v>
      </c>
      <c r="EI140" s="12">
        <f t="array" ref="EI140">INDEX(EH:EH,MIN(IF(ISNUMBER(EH140:EH336),ROW(EH140:EH336),"")))</f>
        <v>5.2446581196581219</v>
      </c>
      <c r="EJ140" s="12">
        <f>IF('Données projet'!$A$192&gt;35,EJ139+EI140-ER139,IF(A140&lt;'Données projet'!$A$192,$EG$205^A140,IF(A140='Données projet'!$A$192,'Données projet'!$B$192,EJ139+EI140-ER139)))</f>
        <v>293.07051282051248</v>
      </c>
      <c r="EK140" s="17">
        <f>EJ140*VLOOKUP('Données projet'!$B$15,Paramètres!$A$1:$I$89,3,0)*VLOOKUP('Données projet'!$B$15,Paramètres!$A$1:$I$89,5,0)</f>
        <v>283.45779999999968</v>
      </c>
      <c r="EL140" s="13">
        <f t="shared" si="153"/>
        <v>67.697218620784142</v>
      </c>
      <c r="EM140" s="20">
        <f t="shared" si="127"/>
        <v>611.59499076453187</v>
      </c>
      <c r="EN140" s="59">
        <f t="shared" si="128"/>
        <v>898.75921943380331</v>
      </c>
      <c r="EO140" s="59">
        <f ca="1">AVERAGE(OFFSET($EN$3,0,0,'Données projet'!$E$15+1,1))-AVERAGE(OFFSET($H$3,0,0,'Données projet'!$E$15+1,1))</f>
        <v>398.06270423055565</v>
      </c>
      <c r="EP140" s="59">
        <f t="shared" si="154"/>
        <v>239.15364562040614</v>
      </c>
      <c r="EQ140" s="15">
        <f>IF(ISNA(VLOOKUP(A140,'Données projet'!$A$191:$I$211,3,0)),0,VLOOKUP(A140,'Données projet'!$A$191:$I$211,3,0))</f>
        <v>11</v>
      </c>
      <c r="ER140" s="15">
        <f>IF(ISNA(VLOOKUP(A140,'Données projet'!$A$191:$I$211,4,0)),0,VLOOKUP(A140,'Données projet'!$A$191:$I$211,4,0))</f>
        <v>51.160256410256409</v>
      </c>
      <c r="ES140" s="16">
        <f>IF(ISNA(VLOOKUP(A140,'Données projet'!$A$191:$I$211,5,0)),0%,VLOOKUP(A140,'Données projet'!$A$191:$I$211,5,0)*VLOOKUP('Données projet'!$B$15,Paramètres!$A$1:$I$89,7,0))</f>
        <v>0.30099999999999999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52.41238000670198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52.41238000670198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68.317516909801299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-1.7053025658242404E-13</v>
      </c>
      <c r="FF140" s="17">
        <f>FE140*VLOOKUP('Données projet'!$B$16,Paramètres!$A$1:$I$89,3,0)*VLOOKUP('Données projet'!$B$16,Paramètres!$A$1:$I$89,5,0)</f>
        <v>-1.0197709343628959E-13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334.13861979962491</v>
      </c>
      <c r="FK140" s="59">
        <f t="shared" si="156"/>
        <v>416.48635183664305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32.742574034999272</v>
      </c>
      <c r="FR140" s="21">
        <f>EXP(-LN(2)/25)*FR139+(1-EXP(-LN(2)/25))/(LN(2)/25)*Calculateur!FM140*Calculateur!FO140*VLOOKUP('Données projet'!$B$16,Paramètres!$A$1:$I$89,3,0)*0.475*44/12</f>
        <v>4.6783289850853329</v>
      </c>
      <c r="FS140" s="21">
        <f>EXP(-LN(2)/2)*FS139+(1-EXP(-LN(2)/2))/(LN(2)/2)*FM140*FP140*VLOOKUP('Données projet'!$B$16,Paramètres!$A$1:$I$89,3,0)*0.475*44/12</f>
        <v>2.5985736007714596E-11</v>
      </c>
      <c r="FT140" s="22">
        <f t="shared" si="132"/>
        <v>37.420903020110593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68.317516909801299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3.4106051316484809E-13</v>
      </c>
      <c r="GA140" s="17">
        <f>FZ140*VLOOKUP('Données projet'!$B$17,Paramètres!$A$1:$I$89,3,0)*VLOOKUP('Données projet'!$B$17,Paramètres!$A$1:$I$89,5,0)</f>
        <v>1.5961632016114892E-13</v>
      </c>
      <c r="GB140" s="13">
        <f t="shared" si="157"/>
        <v>2.2708641912150958E-12</v>
      </c>
      <c r="GC140" s="20">
        <f t="shared" si="133"/>
        <v>4.2330868906469593E-12</v>
      </c>
      <c r="GD140" s="59">
        <f t="shared" si="134"/>
        <v>287.16422866927564</v>
      </c>
      <c r="GE140" s="59">
        <f ca="1">AVERAGE(OFFSET($GD$3,0,0,'Données projet'!$E$17+1,1))-AVERAGE(OFFSET($H$3,0,0,'Données projet'!$E$17+1,1))</f>
        <v>317.79829681023142</v>
      </c>
      <c r="GF140" s="59">
        <f t="shared" si="158"/>
        <v>275.07716943523621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92.973378664087079</v>
      </c>
      <c r="GM140" s="21">
        <f>EXP(-LN(2)/25)*GM139+(1-EXP(-LN(2)/25))/(LN(2)/25)*Calculateur!GH140*Calculateur!GJ140*VLOOKUP('Données projet'!$B$17,Paramètres!$A$1:$I$89,3,0)*0.475*44/12</f>
        <v>18.086546534671196</v>
      </c>
      <c r="GN140" s="21">
        <f>EXP(-LN(2)/2)*GN139+(1-EXP(-LN(2)/2))/(LN(2)/2)*GH140*GK140*VLOOKUP('Données projet'!$B$17,Paramètres!$A$1:$I$89,3,0)*0.475*44/12</f>
        <v>3.3854127874988676E-4</v>
      </c>
      <c r="GO140" s="21">
        <f t="shared" si="135"/>
        <v>111.06026374003703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68.317516909801299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>
        <f>GU140*VLOOKUP('Données projet'!$B$18,Paramètres!$A$1:$I$89,3,0)*VLOOKUP('Données projet'!$B$18,Paramètres!$A$1:$I$89,5,0)</f>
        <v>0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336.21787234885699</v>
      </c>
      <c r="HA140" s="59">
        <f t="shared" si="160"/>
        <v>315.36156736899113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55.840130262333368</v>
      </c>
      <c r="HH140" s="21">
        <f>EXP(-LN(2)/25)*HH139+(1-EXP(-LN(2)/25))/(LN(2)/25)*Calculateur!HC140*Calculateur!HE140*VLOOKUP('Données projet'!$B$18,Paramètres!$A$1:$I$89,3,0)*0.475*44/12</f>
        <v>8.6493572895892257</v>
      </c>
      <c r="HI140" s="21">
        <f>EXP(-LN(2)/2)*HI139+(1-EXP(-LN(2)/2))/(LN(2)/2)*HC140*HF140*VLOOKUP('Données projet'!$B$18,Paramètres!$A$1:$I$89,3,0)*0.475*44/12</f>
        <v>3.2789227651326213E-9</v>
      </c>
      <c r="HJ140" s="22">
        <f t="shared" si="138"/>
        <v>64.489487555201521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3.7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13.566666666666668</v>
      </c>
      <c r="H141" s="67">
        <f t="shared" si="110"/>
        <v>202.4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68.346704229947562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5.1431925385259092E-13</v>
      </c>
      <c r="P141" s="13">
        <f t="shared" si="141"/>
        <v>6.3855359115685756E-12</v>
      </c>
      <c r="Q141" s="20">
        <f t="shared" si="108"/>
        <v>1.2017247746441865E-11</v>
      </c>
      <c r="R141" s="59">
        <f t="shared" si="109"/>
        <v>287.27124884315305</v>
      </c>
      <c r="S141" s="59">
        <f ca="1">AVERAGE(OFFSET($R$3,0,0,'Données projet'!$E$9+1,1))-AVERAGE(OFFSET($H$3,0,0,'Données projet'!$E$9+1,1))</f>
        <v>411.64357329340851</v>
      </c>
      <c r="T141" s="59">
        <f t="shared" si="142"/>
        <v>294.07942258675632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148.8518020623988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148.8518020623988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68.346704229947562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5.763922672485933E-13</v>
      </c>
      <c r="AK141" s="13">
        <f t="shared" si="143"/>
        <v>7.0619171555808457E-12</v>
      </c>
      <c r="AL141" s="20">
        <f t="shared" si="112"/>
        <v>1.3303388911427938E-11</v>
      </c>
      <c r="AM141" s="59">
        <f t="shared" si="113"/>
        <v>287.27124884315435</v>
      </c>
      <c r="AN141" s="59">
        <f ca="1">AVERAGE(OFFSET($AM$3,0,0,'Données projet'!$E$10+1,1))-AVERAGE(OFFSET($H$3,0,0,'Données projet'!$E$10+1,1))</f>
        <v>453.05577105995508</v>
      </c>
      <c r="AO141" s="59">
        <f t="shared" si="144"/>
        <v>322.6839824496758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166.81667472510216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166.81667472510216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68.346704229947562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4.9871794871794863</v>
      </c>
      <c r="BD141" s="12">
        <f>IF('Données projet'!$A$88&gt;35,BD140+BC141-BL140,IF(A141&lt;'Données projet'!$A$88,$BA$205^A141,IF(A141='Données projet'!$A$88,'Données projet'!$B$88,BD140+BC141-BL140)))</f>
        <v>233.92948717948715</v>
      </c>
      <c r="BE141" s="13">
        <f>BD141*VLOOKUP('Données projet'!$B$11,Paramètres!$A$1:$I$89,3,0)*VLOOKUP('Données projet'!$B$11,Paramètres!$A$1:$I$89,5,0)</f>
        <v>233.55519999999999</v>
      </c>
      <c r="BF141" s="13">
        <f t="shared" si="145"/>
        <v>57.050711283824114</v>
      </c>
      <c r="BG141" s="20">
        <f t="shared" si="115"/>
        <v>506.13862881932693</v>
      </c>
      <c r="BH141" s="59">
        <f t="shared" si="116"/>
        <v>793.40987766246803</v>
      </c>
      <c r="BI141" s="59">
        <f ca="1">AVERAGE(OFFSET($BH$3,0,0,'Données projet'!$E$11+1,1))-AVERAGE(OFFSET($H$3,0,0,'Données projet'!$E$11+1,1))</f>
        <v>411.38162678377478</v>
      </c>
      <c r="BJ141" s="59">
        <f t="shared" si="146"/>
        <v>177.89903563360403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28.676939438315024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28.676939438315024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68.346704229947562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212.00000000000009</v>
      </c>
      <c r="BZ141" s="13">
        <f>BY141*VLOOKUP('Données projet'!$B$12,Paramètres!$A$1:$I$89,3,0)*VLOOKUP('Données projet'!$B$12,Paramètres!$A$1:$I$89,5,0)</f>
        <v>221.58240000000012</v>
      </c>
      <c r="CA141" s="13">
        <f t="shared" si="147"/>
        <v>54.458668952651578</v>
      </c>
      <c r="CB141" s="20">
        <f t="shared" si="118"/>
        <v>480.77152842586838</v>
      </c>
      <c r="CC141" s="59">
        <f t="shared" si="119"/>
        <v>768.04277726900943</v>
      </c>
      <c r="CD141" s="59">
        <f ca="1">AVERAGE(OFFSET($CC$3,0,0,'Données projet'!$E$12+1,1))-AVERAGE(OFFSET($H$3,0,0,'Données projet'!$E$12+1,1))</f>
        <v>374.38550202939507</v>
      </c>
      <c r="CE141" s="59">
        <f t="shared" si="148"/>
        <v>324.37486924296718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8.4187247941420988</v>
      </c>
      <c r="CL141" s="21">
        <f>EXP(-LN(2)/25)*CL140+(1-EXP(-LN(2)/25))/(LN(2)/25)*Calculateur!CG141*Calculateur!CI141*VLOOKUP('Données projet'!$B$12,Paramètres!$A$1:$I$89,3,0)*0.475*44/12</f>
        <v>5.8351175851488959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14.253842379290994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68.346704229947562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5.1063034188034209</v>
      </c>
      <c r="CT141" s="12">
        <f>IF('Données projet'!$A$140&gt;35,CT140+CS141-DB140,IF(A141&lt;'Données projet'!$A$140,$CQ$205^A141,IF(A141='Données projet'!$A$140,'Données projet'!$B$140,CT140+CS141-DB140)))</f>
        <v>247.01655982905947</v>
      </c>
      <c r="CU141" s="17">
        <f>CT141*VLOOKUP('Données projet'!$B$13,Paramètres!$A$1:$I$89,3,0)*VLOOKUP('Données projet'!$B$13,Paramètres!$A$1:$I$89,5,0)</f>
        <v>235.06095833333299</v>
      </c>
      <c r="CV141" s="13">
        <f t="shared" si="149"/>
        <v>57.375588987703289</v>
      </c>
      <c r="CW141" s="20">
        <f t="shared" si="121"/>
        <v>509.32698658413818</v>
      </c>
      <c r="CX141" s="59">
        <f t="shared" si="122"/>
        <v>796.59823542727918</v>
      </c>
      <c r="CY141" s="59">
        <f ca="1">AVERAGE(OFFSET($CX$3,0,0,'Données projet'!$E$13+1,1))-AVERAGE(OFFSET($H$3,0,0,'Données projet'!$E$13+1,1))</f>
        <v>392.81074187112989</v>
      </c>
      <c r="CZ141" s="59">
        <f t="shared" si="150"/>
        <v>236.19146849073687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50.555821248275961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50.555821248275961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68.346704229947562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5.1063034188034209</v>
      </c>
      <c r="DO141" s="12">
        <f>IF('Données projet'!$A$166&gt;35,DO140+DN141-DW140,IF(A141&lt;'Données projet'!$A$166,$DL$205^A141,IF(A141='Données projet'!$A$166,'Données projet'!$B$166,DO140+DN141-DW140)))</f>
        <v>247.01655982905947</v>
      </c>
      <c r="DP141" s="17">
        <f>DO141*VLOOKUP('Données projet'!$B$14,Paramètres!$A$1:$I$89,3,0)*VLOOKUP('Données projet'!$B$14,Paramètres!$A$1:$I$89,5,0)</f>
        <v>265.88862499999959</v>
      </c>
      <c r="DQ141" s="13">
        <f t="shared" si="151"/>
        <v>63.97595406255607</v>
      </c>
      <c r="DR141" s="20">
        <f t="shared" si="124"/>
        <v>574.51414186728437</v>
      </c>
      <c r="DS141" s="59">
        <f t="shared" si="125"/>
        <v>861.78539071042542</v>
      </c>
      <c r="DT141" s="59">
        <f ca="1">AVERAGE(OFFSET($DS$3,0,0,'Données projet'!$E$14+1,1))-AVERAGE(OFFSET($H$3,0,0,'Données projet'!$E$14+1,1))</f>
        <v>434.77799524785502</v>
      </c>
      <c r="DU141" s="59">
        <f t="shared" si="152"/>
        <v>259.85949838170006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57.186092887394125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57.186092887394125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68.346704229947562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5.1063034188034209</v>
      </c>
      <c r="EJ141" s="12">
        <f>IF('Données projet'!$A$192&gt;35,EJ140+EI141-ER140,IF(A141&lt;'Données projet'!$A$192,$EG$205^A141,IF(A141='Données projet'!$A$192,'Données projet'!$B$192,EJ140+EI141-ER140)))</f>
        <v>247.01655982905947</v>
      </c>
      <c r="EK141" s="17">
        <f>EJ141*VLOOKUP('Données projet'!$B$15,Paramètres!$A$1:$I$89,3,0)*VLOOKUP('Données projet'!$B$15,Paramètres!$A$1:$I$89,5,0)</f>
        <v>238.91441666666631</v>
      </c>
      <c r="EL141" s="13">
        <f t="shared" si="153"/>
        <v>58.205900348154188</v>
      </c>
      <c r="EM141" s="20">
        <f t="shared" si="127"/>
        <v>517.4845521341457</v>
      </c>
      <c r="EN141" s="59">
        <f t="shared" si="128"/>
        <v>804.75580097728675</v>
      </c>
      <c r="EO141" s="59">
        <f ca="1">AVERAGE(OFFSET($EN$3,0,0,'Données projet'!$E$15+1,1))-AVERAGE(OFFSET($H$3,0,0,'Données projet'!$E$15+1,1))</f>
        <v>398.06270423055565</v>
      </c>
      <c r="EP141" s="59">
        <f t="shared" si="154"/>
        <v>239.15364562040614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51.384605203165741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51.384605203165741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68.346704229947562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-1.7053025658242404E-13</v>
      </c>
      <c r="FF141" s="17">
        <f>FE141*VLOOKUP('Données projet'!$B$16,Paramètres!$A$1:$I$89,3,0)*VLOOKUP('Données projet'!$B$16,Paramètres!$A$1:$I$89,5,0)</f>
        <v>-1.0197709343628959E-13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334.13861979962491</v>
      </c>
      <c r="FK141" s="59">
        <f t="shared" si="156"/>
        <v>416.48635183664305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32.100512129171129</v>
      </c>
      <c r="FR141" s="21">
        <f>EXP(-LN(2)/25)*FR140+(1-EXP(-LN(2)/25))/(LN(2)/25)*Calculateur!FM141*Calculateur!FO141*VLOOKUP('Données projet'!$B$16,Paramètres!$A$1:$I$89,3,0)*0.475*44/12</f>
        <v>4.550399832965546</v>
      </c>
      <c r="FS141" s="21">
        <f>EXP(-LN(2)/2)*FS140+(1-EXP(-LN(2)/2))/(LN(2)/2)*FM141*FP141*VLOOKUP('Données projet'!$B$16,Paramètres!$A$1:$I$89,3,0)*0.475*44/12</f>
        <v>1.8374690145178434E-11</v>
      </c>
      <c r="FT141" s="22">
        <f t="shared" si="132"/>
        <v>36.65091196215505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68.346704229947562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3.4106051316484809E-13</v>
      </c>
      <c r="GA141" s="17">
        <f>FZ141*VLOOKUP('Données projet'!$B$17,Paramètres!$A$1:$I$89,3,0)*VLOOKUP('Données projet'!$B$17,Paramètres!$A$1:$I$89,5,0)</f>
        <v>1.5961632016114892E-13</v>
      </c>
      <c r="GB141" s="13">
        <f t="shared" si="157"/>
        <v>2.2708641912150958E-12</v>
      </c>
      <c r="GC141" s="20">
        <f t="shared" si="133"/>
        <v>4.2330868906469593E-12</v>
      </c>
      <c r="GD141" s="59">
        <f t="shared" si="134"/>
        <v>287.27124884314526</v>
      </c>
      <c r="GE141" s="59">
        <f ca="1">AVERAGE(OFFSET($GD$3,0,0,'Données projet'!$E$17+1,1))-AVERAGE(OFFSET($H$3,0,0,'Données projet'!$E$17+1,1))</f>
        <v>317.79829681023142</v>
      </c>
      <c r="GF141" s="59">
        <f t="shared" si="158"/>
        <v>275.07716943523621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91.150227416645848</v>
      </c>
      <c r="GM141" s="21">
        <f>EXP(-LN(2)/25)*GM140+(1-EXP(-LN(2)/25))/(LN(2)/25)*Calculateur!GH141*Calculateur!GJ141*VLOOKUP('Données projet'!$B$17,Paramètres!$A$1:$I$89,3,0)*0.475*44/12</f>
        <v>17.591968968550468</v>
      </c>
      <c r="GN141" s="21">
        <f>EXP(-LN(2)/2)*GN140+(1-EXP(-LN(2)/2))/(LN(2)/2)*GH141*GK141*VLOOKUP('Données projet'!$B$17,Paramètres!$A$1:$I$89,3,0)*0.475*44/12</f>
        <v>2.3938483391561019E-4</v>
      </c>
      <c r="GO141" s="21">
        <f t="shared" si="135"/>
        <v>108.74243577003023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68.346704229947562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>
        <f>GU141*VLOOKUP('Données projet'!$B$18,Paramètres!$A$1:$I$89,3,0)*VLOOKUP('Données projet'!$B$18,Paramètres!$A$1:$I$89,5,0)</f>
        <v>0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336.21787234885699</v>
      </c>
      <c r="HA141" s="59">
        <f t="shared" si="160"/>
        <v>315.36156736899113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54.745139367005414</v>
      </c>
      <c r="HH141" s="21">
        <f>EXP(-LN(2)/25)*HH140+(1-EXP(-LN(2)/25))/(LN(2)/25)*Calculateur!HC141*Calculateur!HE141*VLOOKUP('Données projet'!$B$18,Paramètres!$A$1:$I$89,3,0)*0.475*44/12</f>
        <v>8.4128401596554774</v>
      </c>
      <c r="HI141" s="21">
        <f>EXP(-LN(2)/2)*HI140+(1-EXP(-LN(2)/2))/(LN(2)/2)*HC141*HF141*VLOOKUP('Données projet'!$B$18,Paramètres!$A$1:$I$89,3,0)*0.475*44/12</f>
        <v>2.3185485222122218E-9</v>
      </c>
      <c r="HJ141" s="22">
        <f t="shared" si="138"/>
        <v>63.157979528979446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3.7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13.566666666666668</v>
      </c>
      <c r="H142" s="67">
        <f t="shared" si="110"/>
        <v>202.4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68.375385215342362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5.1431925385259092E-13</v>
      </c>
      <c r="P142" s="13">
        <f t="shared" si="141"/>
        <v>6.3855359115685756E-12</v>
      </c>
      <c r="Q142" s="20">
        <f t="shared" si="108"/>
        <v>1.2017247746441865E-11</v>
      </c>
      <c r="R142" s="59">
        <f t="shared" si="109"/>
        <v>287.3764124562673</v>
      </c>
      <c r="S142" s="59">
        <f ca="1">AVERAGE(OFFSET($R$3,0,0,'Données projet'!$E$9+1,1))-AVERAGE(OFFSET($H$3,0,0,'Données projet'!$E$9+1,1))</f>
        <v>411.64357329340851</v>
      </c>
      <c r="T142" s="59">
        <f t="shared" si="142"/>
        <v>294.07942258675632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145.9329090145896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145.9329090145896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68.375385215342362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5.763922672485933E-13</v>
      </c>
      <c r="AK142" s="13">
        <f t="shared" si="143"/>
        <v>7.0619171555808457E-12</v>
      </c>
      <c r="AL142" s="20">
        <f t="shared" si="112"/>
        <v>1.3303388911427938E-11</v>
      </c>
      <c r="AM142" s="59">
        <f t="shared" si="113"/>
        <v>287.37641245626861</v>
      </c>
      <c r="AN142" s="59">
        <f ca="1">AVERAGE(OFFSET($AM$3,0,0,'Données projet'!$E$10+1,1))-AVERAGE(OFFSET($H$3,0,0,'Données projet'!$E$10+1,1))</f>
        <v>453.05577105995508</v>
      </c>
      <c r="AO142" s="59">
        <f t="shared" si="144"/>
        <v>322.6839824496758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163.54550148186769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163.54550148186769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68.375385215342362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4.9871794871794863</v>
      </c>
      <c r="BD142" s="12">
        <f>IF('Données projet'!$A$88&gt;35,BD141+BC142-BL141,IF(A142&lt;'Données projet'!$A$88,$BA$205^A142,IF(A142='Données projet'!$A$88,'Données projet'!$B$88,BD141+BC142-BL141)))</f>
        <v>238.91666666666663</v>
      </c>
      <c r="BE142" s="13">
        <f>BD142*VLOOKUP('Données projet'!$B$11,Paramètres!$A$1:$I$89,3,0)*VLOOKUP('Données projet'!$B$11,Paramètres!$A$1:$I$89,5,0)</f>
        <v>238.53439999999998</v>
      </c>
      <c r="BF142" s="13">
        <f t="shared" si="145"/>
        <v>58.124087176042543</v>
      </c>
      <c r="BG142" s="20">
        <f t="shared" si="115"/>
        <v>516.68019849827408</v>
      </c>
      <c r="BH142" s="59">
        <f t="shared" si="116"/>
        <v>804.05661095452933</v>
      </c>
      <c r="BI142" s="59">
        <f ca="1">AVERAGE(OFFSET($BH$3,0,0,'Données projet'!$E$11+1,1))-AVERAGE(OFFSET($H$3,0,0,'Données projet'!$E$11+1,1))</f>
        <v>411.38162678377478</v>
      </c>
      <c r="BJ142" s="59">
        <f t="shared" si="146"/>
        <v>177.89903563360403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28.11460214713561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28.11460214713561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68.375385215342362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212.00000000000009</v>
      </c>
      <c r="BZ142" s="13">
        <f>BY142*VLOOKUP('Données projet'!$B$12,Paramètres!$A$1:$I$89,3,0)*VLOOKUP('Données projet'!$B$12,Paramètres!$A$1:$I$89,5,0)</f>
        <v>221.58240000000012</v>
      </c>
      <c r="CA142" s="13">
        <f t="shared" si="147"/>
        <v>54.458668952651578</v>
      </c>
      <c r="CB142" s="20">
        <f t="shared" si="118"/>
        <v>480.77152842586838</v>
      </c>
      <c r="CC142" s="59">
        <f t="shared" si="119"/>
        <v>768.14794088212375</v>
      </c>
      <c r="CD142" s="59">
        <f ca="1">AVERAGE(OFFSET($CC$3,0,0,'Données projet'!$E$12+1,1))-AVERAGE(OFFSET($H$3,0,0,'Données projet'!$E$12+1,1))</f>
        <v>374.38550202939507</v>
      </c>
      <c r="CE142" s="59">
        <f t="shared" si="148"/>
        <v>324.37486924296718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8.2536387358440653</v>
      </c>
      <c r="CL142" s="21">
        <f>EXP(-LN(2)/25)*CL141+(1-EXP(-LN(2)/25))/(LN(2)/25)*Calculateur!CG142*Calculateur!CI142*VLOOKUP('Données projet'!$B$12,Paramètres!$A$1:$I$89,3,0)*0.475*44/12</f>
        <v>5.6755559879275017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13.929194723771566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68.375385215342362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5.1063034188034209</v>
      </c>
      <c r="CT142" s="12">
        <f>IF('Données projet'!$A$140&gt;35,CT141+CS142-DB141,IF(A142&lt;'Données projet'!$A$140,$CQ$205^A142,IF(A142='Données projet'!$A$140,'Données projet'!$B$140,CT141+CS142-DB141)))</f>
        <v>252.12286324786288</v>
      </c>
      <c r="CU142" s="17">
        <f>CT142*VLOOKUP('Données projet'!$B$13,Paramètres!$A$1:$I$89,3,0)*VLOOKUP('Données projet'!$B$13,Paramètres!$A$1:$I$89,5,0)</f>
        <v>239.9201166666663</v>
      </c>
      <c r="CV142" s="13">
        <f t="shared" si="149"/>
        <v>58.422342860916359</v>
      </c>
      <c r="CW142" s="20">
        <f t="shared" si="121"/>
        <v>519.6131170105399</v>
      </c>
      <c r="CX142" s="59">
        <f t="shared" si="122"/>
        <v>806.98952946679515</v>
      </c>
      <c r="CY142" s="59">
        <f ca="1">AVERAGE(OFFSET($CX$3,0,0,'Données projet'!$E$13+1,1))-AVERAGE(OFFSET($H$3,0,0,'Données projet'!$E$13+1,1))</f>
        <v>392.81074187112989</v>
      </c>
      <c r="CZ142" s="59">
        <f t="shared" si="150"/>
        <v>236.19146849073687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49.564452429603428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49.564452429603428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68.375385215342362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5.1063034188034209</v>
      </c>
      <c r="DO142" s="12">
        <f>IF('Données projet'!$A$166&gt;35,DO141+DN142-DW141,IF(A142&lt;'Données projet'!$A$166,$DL$205^A142,IF(A142='Données projet'!$A$166,'Données projet'!$B$166,DO141+DN142-DW141)))</f>
        <v>252.12286324786288</v>
      </c>
      <c r="DP142" s="17">
        <f>DO142*VLOOKUP('Données projet'!$B$14,Paramètres!$A$1:$I$89,3,0)*VLOOKUP('Données projet'!$B$14,Paramètres!$A$1:$I$89,5,0)</f>
        <v>271.38504999999958</v>
      </c>
      <c r="DQ142" s="13">
        <f t="shared" si="151"/>
        <v>65.143124263141459</v>
      </c>
      <c r="DR142" s="20">
        <f t="shared" si="124"/>
        <v>586.11990350830399</v>
      </c>
      <c r="DS142" s="59">
        <f t="shared" si="125"/>
        <v>873.49631596455924</v>
      </c>
      <c r="DT142" s="59">
        <f ca="1">AVERAGE(OFFSET($DS$3,0,0,'Données projet'!$E$14+1,1))-AVERAGE(OFFSET($H$3,0,0,'Données projet'!$E$14+1,1))</f>
        <v>434.77799524785502</v>
      </c>
      <c r="DU142" s="59">
        <f t="shared" si="152"/>
        <v>259.85949838170006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56.06470848594487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56.06470848594487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68.375385215342362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5.1063034188034209</v>
      </c>
      <c r="EJ142" s="12">
        <f>IF('Données projet'!$A$192&gt;35,EJ141+EI142-ER141,IF(A142&lt;'Données projet'!$A$192,$EG$205^A142,IF(A142='Données projet'!$A$192,'Données projet'!$B$192,EJ141+EI142-ER141)))</f>
        <v>252.12286324786288</v>
      </c>
      <c r="EK142" s="17">
        <f>EJ142*VLOOKUP('Données projet'!$B$15,Paramètres!$A$1:$I$89,3,0)*VLOOKUP('Données projet'!$B$15,Paramètres!$A$1:$I$89,5,0)</f>
        <v>243.85323333333301</v>
      </c>
      <c r="EL142" s="13">
        <f t="shared" si="153"/>
        <v>59.267802329610895</v>
      </c>
      <c r="EM142" s="20">
        <f t="shared" si="127"/>
        <v>527.93580377962724</v>
      </c>
      <c r="EN142" s="59">
        <f t="shared" si="128"/>
        <v>815.31221623588249</v>
      </c>
      <c r="EO142" s="59">
        <f ca="1">AVERAGE(OFFSET($EN$3,0,0,'Données projet'!$E$15+1,1))-AVERAGE(OFFSET($H$3,0,0,'Données projet'!$E$15+1,1))</f>
        <v>398.06270423055565</v>
      </c>
      <c r="EP142" s="59">
        <f t="shared" si="154"/>
        <v>239.15364562040614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50.376984436646119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50.376984436646119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68.375385215342362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-1.7053025658242404E-13</v>
      </c>
      <c r="FF142" s="17">
        <f>FE142*VLOOKUP('Données projet'!$B$16,Paramètres!$A$1:$I$89,3,0)*VLOOKUP('Données projet'!$B$16,Paramètres!$A$1:$I$89,5,0)</f>
        <v>-1.0197709343628959E-13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334.13861979962491</v>
      </c>
      <c r="FK142" s="59">
        <f t="shared" si="156"/>
        <v>416.48635183664305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31.471040665697178</v>
      </c>
      <c r="FR142" s="21">
        <f>EXP(-LN(2)/25)*FR141+(1-EXP(-LN(2)/25))/(LN(2)/25)*Calculateur!FM142*Calculateur!FO142*VLOOKUP('Données projet'!$B$16,Paramètres!$A$1:$I$89,3,0)*0.475*44/12</f>
        <v>4.4259689102379758</v>
      </c>
      <c r="FS142" s="21">
        <f>EXP(-LN(2)/2)*FS141+(1-EXP(-LN(2)/2))/(LN(2)/2)*FM142*FP142*VLOOKUP('Données projet'!$B$16,Paramètres!$A$1:$I$89,3,0)*0.475*44/12</f>
        <v>1.2992868003857298E-11</v>
      </c>
      <c r="FT142" s="22">
        <f t="shared" si="132"/>
        <v>35.897009575948147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68.375385215342362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3.4106051316484809E-13</v>
      </c>
      <c r="GA142" s="17">
        <f>FZ142*VLOOKUP('Données projet'!$B$17,Paramètres!$A$1:$I$89,3,0)*VLOOKUP('Données projet'!$B$17,Paramètres!$A$1:$I$89,5,0)</f>
        <v>1.5961632016114892E-13</v>
      </c>
      <c r="GB142" s="13">
        <f t="shared" si="157"/>
        <v>2.2708641912150958E-12</v>
      </c>
      <c r="GC142" s="20">
        <f t="shared" si="133"/>
        <v>4.2330868906469593E-12</v>
      </c>
      <c r="GD142" s="59">
        <f t="shared" si="134"/>
        <v>287.37641245625952</v>
      </c>
      <c r="GE142" s="59">
        <f ca="1">AVERAGE(OFFSET($GD$3,0,0,'Données projet'!$E$17+1,1))-AVERAGE(OFFSET($H$3,0,0,'Données projet'!$E$17+1,1))</f>
        <v>317.79829681023142</v>
      </c>
      <c r="GF142" s="59">
        <f t="shared" si="158"/>
        <v>275.07716943523621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89.36282705315449</v>
      </c>
      <c r="GM142" s="21">
        <f>EXP(-LN(2)/25)*GM141+(1-EXP(-LN(2)/25))/(LN(2)/25)*Calculateur!GH142*Calculateur!GJ142*VLOOKUP('Données projet'!$B$17,Paramètres!$A$1:$I$89,3,0)*0.475*44/12</f>
        <v>17.110915651984016</v>
      </c>
      <c r="GN142" s="21">
        <f>EXP(-LN(2)/2)*GN141+(1-EXP(-LN(2)/2))/(LN(2)/2)*GH142*GK142*VLOOKUP('Données projet'!$B$17,Paramètres!$A$1:$I$89,3,0)*0.475*44/12</f>
        <v>1.6927063937494341E-4</v>
      </c>
      <c r="GO142" s="21">
        <f t="shared" si="135"/>
        <v>106.47391197577788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68.375385215342362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>
        <f>GU142*VLOOKUP('Données projet'!$B$18,Paramètres!$A$1:$I$89,3,0)*VLOOKUP('Données projet'!$B$18,Paramètres!$A$1:$I$89,5,0)</f>
        <v>0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336.21787234885699</v>
      </c>
      <c r="HA142" s="59">
        <f t="shared" si="160"/>
        <v>315.36156736899113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53.671620575256341</v>
      </c>
      <c r="HH142" s="21">
        <f>EXP(-LN(2)/25)*HH141+(1-EXP(-LN(2)/25))/(LN(2)/25)*Calculateur!HC142*Calculateur!HE142*VLOOKUP('Données projet'!$B$18,Paramètres!$A$1:$I$89,3,0)*0.475*44/12</f>
        <v>8.1827906030776614</v>
      </c>
      <c r="HI142" s="21">
        <f>EXP(-LN(2)/2)*HI141+(1-EXP(-LN(2)/2))/(LN(2)/2)*HC142*HF142*VLOOKUP('Données projet'!$B$18,Paramètres!$A$1:$I$89,3,0)*0.475*44/12</f>
        <v>1.6394613825663107E-9</v>
      </c>
      <c r="HJ142" s="22">
        <f t="shared" si="138"/>
        <v>61.854411179973468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3.7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13.566666666666668</v>
      </c>
      <c r="H143" s="67">
        <f t="shared" si="110"/>
        <v>202.4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68.403568649761638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5.1431925385259092E-13</v>
      </c>
      <c r="P143" s="13">
        <f t="shared" si="141"/>
        <v>6.3855359115685756E-12</v>
      </c>
      <c r="Q143" s="20">
        <f t="shared" si="108"/>
        <v>1.2017247746441865E-11</v>
      </c>
      <c r="R143" s="59">
        <f t="shared" si="109"/>
        <v>287.4797517158047</v>
      </c>
      <c r="S143" s="59">
        <f ca="1">AVERAGE(OFFSET($R$3,0,0,'Données projet'!$E$9+1,1))-AVERAGE(OFFSET($H$3,0,0,'Données projet'!$E$9+1,1))</f>
        <v>411.64357329340851</v>
      </c>
      <c r="T143" s="59">
        <f t="shared" si="142"/>
        <v>294.07942258675632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143.07125367909896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143.07125367909896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68.403568649761638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5.763922672485933E-13</v>
      </c>
      <c r="AK143" s="13">
        <f t="shared" si="143"/>
        <v>7.0619171555808457E-12</v>
      </c>
      <c r="AL143" s="20">
        <f t="shared" si="112"/>
        <v>1.3303388911427938E-11</v>
      </c>
      <c r="AM143" s="59">
        <f t="shared" si="113"/>
        <v>287.479751715806</v>
      </c>
      <c r="AN143" s="59">
        <f ca="1">AVERAGE(OFFSET($AM$3,0,0,'Données projet'!$E$10+1,1))-AVERAGE(OFFSET($H$3,0,0,'Données projet'!$E$10+1,1))</f>
        <v>453.05577105995508</v>
      </c>
      <c r="AO143" s="59">
        <f t="shared" si="144"/>
        <v>322.6839824496758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160.33847395071439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160.33847395071439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68.403568649761638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4.9871794871794863</v>
      </c>
      <c r="BD143" s="12">
        <f>IF('Données projet'!$A$88&gt;35,BD142+BC143-BL142,IF(A143&lt;'Données projet'!$A$88,$BA$205^A143,IF(A143='Données projet'!$A$88,'Données projet'!$B$88,BD142+BC143-BL142)))</f>
        <v>243.9038461538461</v>
      </c>
      <c r="BE143" s="13">
        <f>BD143*VLOOKUP('Données projet'!$B$11,Paramètres!$A$1:$I$89,3,0)*VLOOKUP('Données projet'!$B$11,Paramètres!$A$1:$I$89,5,0)</f>
        <v>243.51359999999997</v>
      </c>
      <c r="BF143" s="13">
        <f t="shared" si="145"/>
        <v>59.194857999438</v>
      </c>
      <c r="BG143" s="20">
        <f t="shared" si="115"/>
        <v>527.21723101568784</v>
      </c>
      <c r="BH143" s="59">
        <f t="shared" si="116"/>
        <v>814.6969827314806</v>
      </c>
      <c r="BI143" s="59">
        <f ca="1">AVERAGE(OFFSET($BH$3,0,0,'Données projet'!$E$11+1,1))-AVERAGE(OFFSET($H$3,0,0,'Données projet'!$E$11+1,1))</f>
        <v>411.38162678377478</v>
      </c>
      <c r="BJ143" s="59">
        <f t="shared" si="146"/>
        <v>177.89903563360403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27.563291947244345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27.563291947244345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68.403568649761638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212.00000000000009</v>
      </c>
      <c r="BZ143" s="13">
        <f>BY143*VLOOKUP('Données projet'!$B$12,Paramètres!$A$1:$I$89,3,0)*VLOOKUP('Données projet'!$B$12,Paramètres!$A$1:$I$89,5,0)</f>
        <v>221.58240000000012</v>
      </c>
      <c r="CA143" s="13">
        <f t="shared" si="147"/>
        <v>54.458668952651578</v>
      </c>
      <c r="CB143" s="20">
        <f t="shared" si="118"/>
        <v>480.77152842586838</v>
      </c>
      <c r="CC143" s="59">
        <f t="shared" si="119"/>
        <v>768.25128014166103</v>
      </c>
      <c r="CD143" s="59">
        <f ca="1">AVERAGE(OFFSET($CC$3,0,0,'Données projet'!$E$12+1,1))-AVERAGE(OFFSET($H$3,0,0,'Données projet'!$E$12+1,1))</f>
        <v>374.38550202939507</v>
      </c>
      <c r="CE143" s="59">
        <f t="shared" si="148"/>
        <v>324.37486924296718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8.0917899144567045</v>
      </c>
      <c r="CL143" s="21">
        <f>EXP(-LN(2)/25)*CL142+(1-EXP(-LN(2)/25))/(LN(2)/25)*Calculateur!CG143*Calculateur!CI143*VLOOKUP('Données projet'!$B$12,Paramètres!$A$1:$I$89,3,0)*0.475*44/12</f>
        <v>5.5203576109731065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13.612147525429812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68.403568649761638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5.1063034188034209</v>
      </c>
      <c r="CT143" s="12">
        <f>IF('Données projet'!$A$140&gt;35,CT142+CS143-DB142,IF(A143&lt;'Données projet'!$A$140,$CQ$205^A143,IF(A143='Données projet'!$A$140,'Données projet'!$B$140,CT142+CS143-DB142)))</f>
        <v>257.22916666666629</v>
      </c>
      <c r="CU143" s="17">
        <f>CT143*VLOOKUP('Données projet'!$B$13,Paramètres!$A$1:$I$89,3,0)*VLOOKUP('Données projet'!$B$13,Paramètres!$A$1:$I$89,5,0)</f>
        <v>244.77927499999961</v>
      </c>
      <c r="CV143" s="13">
        <f t="shared" si="149"/>
        <v>59.466631764852885</v>
      </c>
      <c r="CW143" s="20">
        <f t="shared" si="121"/>
        <v>529.89495428211808</v>
      </c>
      <c r="CX143" s="59">
        <f t="shared" si="122"/>
        <v>817.37470599791072</v>
      </c>
      <c r="CY143" s="59">
        <f ca="1">AVERAGE(OFFSET($CX$3,0,0,'Données projet'!$E$13+1,1))-AVERAGE(OFFSET($H$3,0,0,'Données projet'!$E$13+1,1))</f>
        <v>392.81074187112989</v>
      </c>
      <c r="CZ143" s="59">
        <f t="shared" si="150"/>
        <v>236.19146849073687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48.592523748789787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48.592523748789787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68.403568649761638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5.1063034188034209</v>
      </c>
      <c r="DO143" s="12">
        <f>IF('Données projet'!$A$166&gt;35,DO142+DN143-DW142,IF(A143&lt;'Données projet'!$A$166,$DL$205^A143,IF(A143='Données projet'!$A$166,'Données projet'!$B$166,DO142+DN143-DW142)))</f>
        <v>257.22916666666629</v>
      </c>
      <c r="DP143" s="17">
        <f>DO143*VLOOKUP('Données projet'!$B$14,Paramètres!$A$1:$I$89,3,0)*VLOOKUP('Données projet'!$B$14,Paramètres!$A$1:$I$89,5,0)</f>
        <v>276.88147499999957</v>
      </c>
      <c r="DQ143" s="13">
        <f t="shared" si="151"/>
        <v>66.30754592965539</v>
      </c>
      <c r="DR143" s="20">
        <f t="shared" si="124"/>
        <v>597.72087811914889</v>
      </c>
      <c r="DS143" s="59">
        <f t="shared" si="125"/>
        <v>885.20062983494154</v>
      </c>
      <c r="DT143" s="59">
        <f ca="1">AVERAGE(OFFSET($DS$3,0,0,'Données projet'!$E$14+1,1))-AVERAGE(OFFSET($H$3,0,0,'Données projet'!$E$14+1,1))</f>
        <v>434.77799524785502</v>
      </c>
      <c r="DU143" s="59">
        <f t="shared" si="152"/>
        <v>259.85949838170006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54.965313748631083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54.965313748631083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68.403568649761638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5.1063034188034209</v>
      </c>
      <c r="EJ143" s="12">
        <f>IF('Données projet'!$A$192&gt;35,EJ142+EI143-ER142,IF(A143&lt;'Données projet'!$A$192,$EG$205^A143,IF(A143='Données projet'!$A$192,'Données projet'!$B$192,EJ142+EI143-ER142)))</f>
        <v>257.22916666666629</v>
      </c>
      <c r="EK143" s="17">
        <f>EJ143*VLOOKUP('Données projet'!$B$15,Paramètres!$A$1:$I$89,3,0)*VLOOKUP('Données projet'!$B$15,Paramètres!$A$1:$I$89,5,0)</f>
        <v>248.79204999999965</v>
      </c>
      <c r="EL143" s="13">
        <f t="shared" si="153"/>
        <v>60.327203669965584</v>
      </c>
      <c r="EM143" s="20">
        <f t="shared" si="127"/>
        <v>538.38270014185616</v>
      </c>
      <c r="EN143" s="59">
        <f t="shared" si="128"/>
        <v>825.86245185764892</v>
      </c>
      <c r="EO143" s="59">
        <f ca="1">AVERAGE(OFFSET($EN$3,0,0,'Données projet'!$E$15+1,1))-AVERAGE(OFFSET($H$3,0,0,'Données projet'!$E$15+1,1))</f>
        <v>398.06270423055565</v>
      </c>
      <c r="EP143" s="59">
        <f t="shared" si="154"/>
        <v>239.15364562040614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49.389122498769964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49.389122498769964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68.403568649761638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-1.7053025658242404E-13</v>
      </c>
      <c r="FF143" s="17">
        <f>FE143*VLOOKUP('Données projet'!$B$16,Paramètres!$A$1:$I$89,3,0)*VLOOKUP('Données projet'!$B$16,Paramètres!$A$1:$I$89,5,0)</f>
        <v>-1.0197709343628959E-13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334.13861979962491</v>
      </c>
      <c r="FK143" s="59">
        <f t="shared" si="156"/>
        <v>416.48635183664305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30.85391275368227</v>
      </c>
      <c r="FR143" s="21">
        <f>EXP(-LN(2)/25)*FR142+(1-EXP(-LN(2)/25))/(LN(2)/25)*Calculateur!FM143*Calculateur!FO143*VLOOKUP('Données projet'!$B$16,Paramètres!$A$1:$I$89,3,0)*0.475*44/12</f>
        <v>4.3049405576359288</v>
      </c>
      <c r="FS143" s="21">
        <f>EXP(-LN(2)/2)*FS142+(1-EXP(-LN(2)/2))/(LN(2)/2)*FM143*FP143*VLOOKUP('Données projet'!$B$16,Paramètres!$A$1:$I$89,3,0)*0.475*44/12</f>
        <v>9.1873450725892168E-12</v>
      </c>
      <c r="FT143" s="22">
        <f t="shared" si="132"/>
        <v>35.158853311327384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68.403568649761638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3.4106051316484809E-13</v>
      </c>
      <c r="GA143" s="17">
        <f>FZ143*VLOOKUP('Données projet'!$B$17,Paramètres!$A$1:$I$89,3,0)*VLOOKUP('Données projet'!$B$17,Paramètres!$A$1:$I$89,5,0)</f>
        <v>1.5961632016114892E-13</v>
      </c>
      <c r="GB143" s="13">
        <f t="shared" si="157"/>
        <v>2.2708641912150958E-12</v>
      </c>
      <c r="GC143" s="20">
        <f t="shared" si="133"/>
        <v>4.2330868906469593E-12</v>
      </c>
      <c r="GD143" s="59">
        <f t="shared" si="134"/>
        <v>287.47975171579691</v>
      </c>
      <c r="GE143" s="59">
        <f ca="1">AVERAGE(OFFSET($GD$3,0,0,'Données projet'!$E$17+1,1))-AVERAGE(OFFSET($H$3,0,0,'Données projet'!$E$17+1,1))</f>
        <v>317.79829681023142</v>
      </c>
      <c r="GF143" s="59">
        <f t="shared" si="158"/>
        <v>275.07716943523621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87.610476520584612</v>
      </c>
      <c r="GM143" s="21">
        <f>EXP(-LN(2)/25)*GM142+(1-EXP(-LN(2)/25))/(LN(2)/25)*Calculateur!GH143*Calculateur!GJ143*VLOOKUP('Données projet'!$B$17,Paramètres!$A$1:$I$89,3,0)*0.475*44/12</f>
        <v>16.643016763656565</v>
      </c>
      <c r="GN143" s="21">
        <f>EXP(-LN(2)/2)*GN142+(1-EXP(-LN(2)/2))/(LN(2)/2)*GH143*GK143*VLOOKUP('Données projet'!$B$17,Paramètres!$A$1:$I$89,3,0)*0.475*44/12</f>
        <v>1.1969241695780511E-4</v>
      </c>
      <c r="GO143" s="21">
        <f t="shared" si="135"/>
        <v>104.25361297665813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68.403568649761638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>
        <f>GU143*VLOOKUP('Données projet'!$B$18,Paramètres!$A$1:$I$89,3,0)*VLOOKUP('Données projet'!$B$18,Paramètres!$A$1:$I$89,5,0)</f>
        <v>0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336.21787234885699</v>
      </c>
      <c r="HA143" s="59">
        <f t="shared" si="160"/>
        <v>315.36156736899113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52.619152832231656</v>
      </c>
      <c r="HH143" s="21">
        <f>EXP(-LN(2)/25)*HH142+(1-EXP(-LN(2)/25))/(LN(2)/25)*Calculateur!HC143*Calculateur!HE143*VLOOKUP('Données projet'!$B$18,Paramètres!$A$1:$I$89,3,0)*0.475*44/12</f>
        <v>7.9590317637222467</v>
      </c>
      <c r="HI143" s="21">
        <f>EXP(-LN(2)/2)*HI142+(1-EXP(-LN(2)/2))/(LN(2)/2)*HC143*HF143*VLOOKUP('Données projet'!$B$18,Paramètres!$A$1:$I$89,3,0)*0.475*44/12</f>
        <v>1.1592742611061109E-9</v>
      </c>
      <c r="HJ143" s="22">
        <f t="shared" si="138"/>
        <v>60.578184597113172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3.7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13.566666666666668</v>
      </c>
      <c r="H144" s="67">
        <f t="shared" si="110"/>
        <v>202.4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68.43126316460247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5.1431925385259092E-13</v>
      </c>
      <c r="P144" s="13">
        <f t="shared" si="141"/>
        <v>6.3855359115685756E-12</v>
      </c>
      <c r="Q144" s="20">
        <f t="shared" si="108"/>
        <v>1.2017247746441865E-11</v>
      </c>
      <c r="R144" s="59">
        <f t="shared" si="109"/>
        <v>287.58129827022105</v>
      </c>
      <c r="S144" s="59">
        <f ca="1">AVERAGE(OFFSET($R$3,0,0,'Données projet'!$E$9+1,1))-AVERAGE(OFFSET($H$3,0,0,'Données projet'!$E$9+1,1))</f>
        <v>411.64357329340851</v>
      </c>
      <c r="T144" s="59">
        <f t="shared" si="142"/>
        <v>294.07942258675632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140.26571365929988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140.26571365929988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68.43126316460247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5.763922672485933E-13</v>
      </c>
      <c r="AK144" s="13">
        <f t="shared" si="143"/>
        <v>7.0619171555808457E-12</v>
      </c>
      <c r="AL144" s="20">
        <f t="shared" si="112"/>
        <v>1.3303388911427938E-11</v>
      </c>
      <c r="AM144" s="59">
        <f t="shared" si="113"/>
        <v>287.58129827022236</v>
      </c>
      <c r="AN144" s="59">
        <f ca="1">AVERAGE(OFFSET($AM$3,0,0,'Données projet'!$E$10+1,1))-AVERAGE(OFFSET($H$3,0,0,'Données projet'!$E$10+1,1))</f>
        <v>453.05577105995508</v>
      </c>
      <c r="AO144" s="59">
        <f t="shared" si="144"/>
        <v>322.6839824496758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157.19433427335335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157.19433427335335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68.43126316460247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4.9871794871794863</v>
      </c>
      <c r="BD144" s="12">
        <f>IF('Données projet'!$A$88&gt;35,BD143+BC144-BL143,IF(A144&lt;'Données projet'!$A$88,$BA$205^A144,IF(A144='Données projet'!$A$88,'Données projet'!$B$88,BD143+BC144-BL143)))</f>
        <v>248.89102564102558</v>
      </c>
      <c r="BE144" s="13">
        <f>BD144*VLOOKUP('Données projet'!$B$11,Paramètres!$A$1:$I$89,3,0)*VLOOKUP('Données projet'!$B$11,Paramètres!$A$1:$I$89,5,0)</f>
        <v>248.49279999999996</v>
      </c>
      <c r="BF144" s="13">
        <f t="shared" si="145"/>
        <v>60.263083158565919</v>
      </c>
      <c r="BG144" s="20">
        <f t="shared" si="115"/>
        <v>537.74982983450229</v>
      </c>
      <c r="BH144" s="59">
        <f t="shared" si="116"/>
        <v>825.3311281047113</v>
      </c>
      <c r="BI144" s="59">
        <f ca="1">AVERAGE(OFFSET($BH$3,0,0,'Données projet'!$E$11+1,1))-AVERAGE(OFFSET($H$3,0,0,'Données projet'!$E$11+1,1))</f>
        <v>411.38162678377478</v>
      </c>
      <c r="BJ144" s="59">
        <f t="shared" si="146"/>
        <v>177.89903563360403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27.022792604106929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27.022792604106929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68.43126316460247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212.00000000000009</v>
      </c>
      <c r="BZ144" s="13">
        <f>BY144*VLOOKUP('Données projet'!$B$12,Paramètres!$A$1:$I$89,3,0)*VLOOKUP('Données projet'!$B$12,Paramètres!$A$1:$I$89,5,0)</f>
        <v>221.58240000000012</v>
      </c>
      <c r="CA144" s="13">
        <f t="shared" si="147"/>
        <v>54.458668952651578</v>
      </c>
      <c r="CB144" s="20">
        <f t="shared" si="118"/>
        <v>480.77152842586838</v>
      </c>
      <c r="CC144" s="59">
        <f t="shared" si="119"/>
        <v>768.3528266960775</v>
      </c>
      <c r="CD144" s="59">
        <f ca="1">AVERAGE(OFFSET($CC$3,0,0,'Données projet'!$E$12+1,1))-AVERAGE(OFFSET($H$3,0,0,'Données projet'!$E$12+1,1))</f>
        <v>374.38550202939507</v>
      </c>
      <c r="CE144" s="59">
        <f t="shared" si="148"/>
        <v>324.37486924296718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7.9331148497387156</v>
      </c>
      <c r="CL144" s="21">
        <f>EXP(-LN(2)/25)*CL143+(1-EXP(-LN(2)/25))/(LN(2)/25)*Calculateur!CG144*Calculateur!CI144*VLOOKUP('Données projet'!$B$12,Paramètres!$A$1:$I$89,3,0)*0.475*44/12</f>
        <v>5.369403141798057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13.302517991536773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68.43126316460247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5.1063034188034209</v>
      </c>
      <c r="CT144" s="12">
        <f>IF('Données projet'!$A$140&gt;35,CT143+CS144-DB143,IF(A144&lt;'Données projet'!$A$140,$CQ$205^A144,IF(A144='Données projet'!$A$140,'Données projet'!$B$140,CT143+CS144-DB143)))</f>
        <v>262.33547008546969</v>
      </c>
      <c r="CU144" s="17">
        <f>CT144*VLOOKUP('Données projet'!$B$13,Paramètres!$A$1:$I$89,3,0)*VLOOKUP('Données projet'!$B$13,Paramètres!$A$1:$I$89,5,0)</f>
        <v>249.63843333333296</v>
      </c>
      <c r="CV144" s="13">
        <f t="shared" si="149"/>
        <v>60.508510271988001</v>
      </c>
      <c r="CW144" s="20">
        <f t="shared" si="121"/>
        <v>540.17259344593401</v>
      </c>
      <c r="CX144" s="59">
        <f t="shared" si="122"/>
        <v>827.75389171614302</v>
      </c>
      <c r="CY144" s="59">
        <f ca="1">AVERAGE(OFFSET($CX$3,0,0,'Données projet'!$E$13+1,1))-AVERAGE(OFFSET($H$3,0,0,'Données projet'!$E$13+1,1))</f>
        <v>392.81074187112989</v>
      </c>
      <c r="CZ144" s="59">
        <f t="shared" si="150"/>
        <v>236.19146849073687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47.639653996588947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47.639653996588947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68.43126316460247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5.1063034188034209</v>
      </c>
      <c r="DO144" s="12">
        <f>IF('Données projet'!$A$166&gt;35,DO143+DN144-DW143,IF(A144&lt;'Données projet'!$A$166,$DL$205^A144,IF(A144='Données projet'!$A$166,'Données projet'!$B$166,DO143+DN144-DW143)))</f>
        <v>262.33547008546969</v>
      </c>
      <c r="DP144" s="17">
        <f>DO144*VLOOKUP('Données projet'!$B$14,Paramètres!$A$1:$I$89,3,0)*VLOOKUP('Données projet'!$B$14,Paramètres!$A$1:$I$89,5,0)</f>
        <v>282.37789999999956</v>
      </c>
      <c r="DQ144" s="13">
        <f t="shared" si="151"/>
        <v>67.469279912473937</v>
      </c>
      <c r="DR144" s="20">
        <f t="shared" si="124"/>
        <v>609.31717168089131</v>
      </c>
      <c r="DS144" s="59">
        <f t="shared" si="125"/>
        <v>896.89846995110042</v>
      </c>
      <c r="DT144" s="59">
        <f ca="1">AVERAGE(OFFSET($DS$3,0,0,'Données projet'!$E$14+1,1))-AVERAGE(OFFSET($H$3,0,0,'Données projet'!$E$14+1,1))</f>
        <v>434.77799524785502</v>
      </c>
      <c r="DU144" s="59">
        <f t="shared" si="152"/>
        <v>259.85949838170006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53.887477471551442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53.887477471551442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68.43126316460247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5.1063034188034209</v>
      </c>
      <c r="EJ144" s="12">
        <f>IF('Données projet'!$A$192&gt;35,EJ143+EI144-ER143,IF(A144&lt;'Données projet'!$A$192,$EG$205^A144,IF(A144='Données projet'!$A$192,'Données projet'!$B$192,EJ143+EI144-ER143)))</f>
        <v>262.33547008546969</v>
      </c>
      <c r="EK144" s="17">
        <f>EJ144*VLOOKUP('Données projet'!$B$15,Paramètres!$A$1:$I$89,3,0)*VLOOKUP('Données projet'!$B$15,Paramètres!$A$1:$I$89,5,0)</f>
        <v>253.73086666666632</v>
      </c>
      <c r="EL144" s="13">
        <f t="shared" si="153"/>
        <v>61.38415973143946</v>
      </c>
      <c r="EM144" s="20">
        <f t="shared" si="127"/>
        <v>548.82533764336756</v>
      </c>
      <c r="EN144" s="59">
        <f t="shared" si="128"/>
        <v>836.40663591357657</v>
      </c>
      <c r="EO144" s="59">
        <f ca="1">AVERAGE(OFFSET($EN$3,0,0,'Données projet'!$E$15+1,1))-AVERAGE(OFFSET($H$3,0,0,'Données projet'!$E$15+1,1))</f>
        <v>398.06270423055565</v>
      </c>
      <c r="EP144" s="59">
        <f t="shared" si="154"/>
        <v>239.15364562040614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48.420631930959274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48.420631930959274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68.43126316460247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-1.7053025658242404E-13</v>
      </c>
      <c r="FF144" s="17">
        <f>FE144*VLOOKUP('Données projet'!$B$16,Paramètres!$A$1:$I$89,3,0)*VLOOKUP('Données projet'!$B$16,Paramètres!$A$1:$I$89,5,0)</f>
        <v>-1.0197709343628959E-13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334.13861979962491</v>
      </c>
      <c r="FK144" s="59">
        <f t="shared" si="156"/>
        <v>416.48635183664305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30.248886343611115</v>
      </c>
      <c r="FR144" s="21">
        <f>EXP(-LN(2)/25)*FR143+(1-EXP(-LN(2)/25))/(LN(2)/25)*Calculateur!FM144*Calculateur!FO144*VLOOKUP('Données projet'!$B$16,Paramètres!$A$1:$I$89,3,0)*0.475*44/12</f>
        <v>4.1872217317003892</v>
      </c>
      <c r="FS144" s="21">
        <f>EXP(-LN(2)/2)*FS143+(1-EXP(-LN(2)/2))/(LN(2)/2)*FM144*FP144*VLOOKUP('Données projet'!$B$16,Paramètres!$A$1:$I$89,3,0)*0.475*44/12</f>
        <v>6.496434001928649E-12</v>
      </c>
      <c r="FT144" s="22">
        <f t="shared" si="132"/>
        <v>34.436108075317996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68.43126316460247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3.4106051316484809E-13</v>
      </c>
      <c r="GA144" s="17">
        <f>FZ144*VLOOKUP('Données projet'!$B$17,Paramètres!$A$1:$I$89,3,0)*VLOOKUP('Données projet'!$B$17,Paramètres!$A$1:$I$89,5,0)</f>
        <v>1.5961632016114892E-13</v>
      </c>
      <c r="GB144" s="13">
        <f t="shared" si="157"/>
        <v>2.2708641912150958E-12</v>
      </c>
      <c r="GC144" s="20">
        <f t="shared" si="133"/>
        <v>4.2330868906469593E-12</v>
      </c>
      <c r="GD144" s="59">
        <f t="shared" si="134"/>
        <v>287.58129827021327</v>
      </c>
      <c r="GE144" s="59">
        <f ca="1">AVERAGE(OFFSET($GD$3,0,0,'Données projet'!$E$17+1,1))-AVERAGE(OFFSET($H$3,0,0,'Données projet'!$E$17+1,1))</f>
        <v>317.79829681023142</v>
      </c>
      <c r="GF144" s="59">
        <f t="shared" si="158"/>
        <v>275.07716943523621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85.892488513130147</v>
      </c>
      <c r="GM144" s="21">
        <f>EXP(-LN(2)/25)*GM143+(1-EXP(-LN(2)/25))/(LN(2)/25)*Calculateur!GH144*Calculateur!GJ144*VLOOKUP('Données projet'!$B$17,Paramètres!$A$1:$I$89,3,0)*0.475*44/12</f>
        <v>16.187912595036163</v>
      </c>
      <c r="GN144" s="21">
        <f>EXP(-LN(2)/2)*GN143+(1-EXP(-LN(2)/2))/(LN(2)/2)*GH144*GK144*VLOOKUP('Données projet'!$B$17,Paramètres!$A$1:$I$89,3,0)*0.475*44/12</f>
        <v>8.4635319687471718E-5</v>
      </c>
      <c r="GO144" s="21">
        <f t="shared" si="135"/>
        <v>102.08048574348599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68.43126316460247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>
        <f>GU144*VLOOKUP('Données projet'!$B$18,Paramètres!$A$1:$I$89,3,0)*VLOOKUP('Données projet'!$B$18,Paramètres!$A$1:$I$89,5,0)</f>
        <v>0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336.21787234885699</v>
      </c>
      <c r="HA144" s="59">
        <f t="shared" si="160"/>
        <v>315.36156736899113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51.587323339705748</v>
      </c>
      <c r="HH144" s="21">
        <f>EXP(-LN(2)/25)*HH143+(1-EXP(-LN(2)/25))/(LN(2)/25)*Calculateur!HC144*Calculateur!HE144*VLOOKUP('Données projet'!$B$18,Paramètres!$A$1:$I$89,3,0)*0.475*44/12</f>
        <v>7.7413916215959722</v>
      </c>
      <c r="HI144" s="21">
        <f>EXP(-LN(2)/2)*HI143+(1-EXP(-LN(2)/2))/(LN(2)/2)*HC144*HF144*VLOOKUP('Données projet'!$B$18,Paramètres!$A$1:$I$89,3,0)*0.475*44/12</f>
        <v>8.1973069128315534E-10</v>
      </c>
      <c r="HJ144" s="22">
        <f t="shared" si="138"/>
        <v>59.328714962121452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3.7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13.566666666666668</v>
      </c>
      <c r="H145" s="67">
        <f t="shared" si="110"/>
        <v>202.4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68.458477241526467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5.1431925385259092E-13</v>
      </c>
      <c r="P145" s="13">
        <f t="shared" si="141"/>
        <v>6.3855359115685756E-12</v>
      </c>
      <c r="Q145" s="20">
        <f t="shared" si="108"/>
        <v>1.2017247746441865E-11</v>
      </c>
      <c r="R145" s="59">
        <f t="shared" si="109"/>
        <v>287.68108321894238</v>
      </c>
      <c r="S145" s="59">
        <f ca="1">AVERAGE(OFFSET($R$3,0,0,'Données projet'!$E$9+1,1))-AVERAGE(OFFSET($H$3,0,0,'Données projet'!$E$9+1,1))</f>
        <v>411.64357329340851</v>
      </c>
      <c r="T145" s="59">
        <f t="shared" si="142"/>
        <v>294.07942258675632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137.51518856807863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137.51518856807863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68.458477241526467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5.763922672485933E-13</v>
      </c>
      <c r="AK145" s="13">
        <f t="shared" si="143"/>
        <v>7.0619171555808457E-12</v>
      </c>
      <c r="AL145" s="20">
        <f t="shared" si="112"/>
        <v>1.3303388911427938E-11</v>
      </c>
      <c r="AM145" s="59">
        <f t="shared" si="113"/>
        <v>287.68108321894368</v>
      </c>
      <c r="AN145" s="59">
        <f ca="1">AVERAGE(OFFSET($AM$3,0,0,'Données projet'!$E$10+1,1))-AVERAGE(OFFSET($H$3,0,0,'Données projet'!$E$10+1,1))</f>
        <v>453.05577105995508</v>
      </c>
      <c r="AO145" s="59">
        <f t="shared" si="144"/>
        <v>322.6839824496758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154.11184925732951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154.11184925732951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68.458477241526467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4.9871794871794863</v>
      </c>
      <c r="BD145" s="12">
        <f>IF('Données projet'!$A$88&gt;35,BD144+BC145-BL144,IF(A145&lt;'Données projet'!$A$88,$BA$205^A145,IF(A145='Données projet'!$A$88,'Données projet'!$B$88,BD144+BC145-BL144)))</f>
        <v>253.87820512820505</v>
      </c>
      <c r="BE145" s="13">
        <f>BD145*VLOOKUP('Données projet'!$B$11,Paramètres!$A$1:$I$89,3,0)*VLOOKUP('Données projet'!$B$11,Paramètres!$A$1:$I$89,5,0)</f>
        <v>253.47199999999992</v>
      </c>
      <c r="BF145" s="13">
        <f t="shared" si="145"/>
        <v>61.328819541208794</v>
      </c>
      <c r="BG145" s="20">
        <f t="shared" si="115"/>
        <v>548.27809403427182</v>
      </c>
      <c r="BH145" s="59">
        <f t="shared" si="116"/>
        <v>835.95917725320214</v>
      </c>
      <c r="BI145" s="59">
        <f ca="1">AVERAGE(OFFSET($BH$3,0,0,'Données projet'!$E$11+1,1))-AVERAGE(OFFSET($H$3,0,0,'Données projet'!$E$11+1,1))</f>
        <v>411.38162678377478</v>
      </c>
      <c r="BJ145" s="59">
        <f t="shared" si="146"/>
        <v>177.89903563360403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26.492892123416389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26.492892123416389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68.458477241526467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212.00000000000009</v>
      </c>
      <c r="BZ145" s="13">
        <f>BY145*VLOOKUP('Données projet'!$B$12,Paramètres!$A$1:$I$89,3,0)*VLOOKUP('Données projet'!$B$12,Paramètres!$A$1:$I$89,5,0)</f>
        <v>221.58240000000012</v>
      </c>
      <c r="CA145" s="13">
        <f t="shared" si="147"/>
        <v>54.458668952651578</v>
      </c>
      <c r="CB145" s="20">
        <f t="shared" si="118"/>
        <v>480.77152842586838</v>
      </c>
      <c r="CC145" s="59">
        <f t="shared" si="119"/>
        <v>768.45261164479871</v>
      </c>
      <c r="CD145" s="59">
        <f ca="1">AVERAGE(OFFSET($CC$3,0,0,'Données projet'!$E$12+1,1))-AVERAGE(OFFSET($H$3,0,0,'Données projet'!$E$12+1,1))</f>
        <v>374.38550202939507</v>
      </c>
      <c r="CE145" s="59">
        <f t="shared" si="148"/>
        <v>324.37486924296718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7.7775513062576138</v>
      </c>
      <c r="CL145" s="21">
        <f>EXP(-LN(2)/25)*CL144+(1-EXP(-LN(2)/25))/(LN(2)/25)*Calculateur!CG145*Calculateur!CI145*VLOOKUP('Données projet'!$B$12,Paramètres!$A$1:$I$89,3,0)*0.475*44/12</f>
        <v>5.2225765305209499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13.000127836778564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68.458477241526467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5.1063034188034209</v>
      </c>
      <c r="CT145" s="12">
        <f>IF('Données projet'!$A$140&gt;35,CT144+CS145-DB144,IF(A145&lt;'Données projet'!$A$140,$CQ$205^A145,IF(A145='Données projet'!$A$140,'Données projet'!$B$140,CT144+CS145-DB144)))</f>
        <v>267.4417735042731</v>
      </c>
      <c r="CU145" s="17">
        <f>CT145*VLOOKUP('Données projet'!$B$13,Paramètres!$A$1:$I$89,3,0)*VLOOKUP('Données projet'!$B$13,Paramètres!$A$1:$I$89,5,0)</f>
        <v>254.49759166666627</v>
      </c>
      <c r="CV145" s="13">
        <f t="shared" si="149"/>
        <v>61.548030708788779</v>
      </c>
      <c r="CW145" s="20">
        <f t="shared" si="121"/>
        <v>550.4461256372507</v>
      </c>
      <c r="CX145" s="59">
        <f t="shared" si="122"/>
        <v>838.12720885618114</v>
      </c>
      <c r="CY145" s="59">
        <f ca="1">AVERAGE(OFFSET($CX$3,0,0,'Données projet'!$E$13+1,1))-AVERAGE(OFFSET($H$3,0,0,'Données projet'!$E$13+1,1))</f>
        <v>392.81074187112989</v>
      </c>
      <c r="CZ145" s="59">
        <f t="shared" si="150"/>
        <v>236.19146849073687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46.705469439035603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46.705469439035603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68.458477241526467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5.1063034188034209</v>
      </c>
      <c r="DO145" s="12">
        <f>IF('Données projet'!$A$166&gt;35,DO144+DN145-DW144,IF(A145&lt;'Données projet'!$A$166,$DL$205^A145,IF(A145='Données projet'!$A$166,'Données projet'!$B$166,DO144+DN145-DW144)))</f>
        <v>267.4417735042731</v>
      </c>
      <c r="DP145" s="17">
        <f>DO145*VLOOKUP('Données projet'!$B$14,Paramètres!$A$1:$I$89,3,0)*VLOOKUP('Données projet'!$B$14,Paramètres!$A$1:$I$89,5,0)</f>
        <v>287.87432499999954</v>
      </c>
      <c r="DQ145" s="13">
        <f t="shared" si="151"/>
        <v>68.628384557588845</v>
      </c>
      <c r="DR145" s="20">
        <f t="shared" si="124"/>
        <v>620.90888581279978</v>
      </c>
      <c r="DS145" s="59">
        <f t="shared" si="125"/>
        <v>908.58996903173011</v>
      </c>
      <c r="DT145" s="59">
        <f ca="1">AVERAGE(OFFSET($DS$3,0,0,'Données projet'!$E$14+1,1))-AVERAGE(OFFSET($H$3,0,0,'Données projet'!$E$14+1,1))</f>
        <v>434.77799524785502</v>
      </c>
      <c r="DU145" s="59">
        <f t="shared" si="152"/>
        <v>259.85949838170006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52.830776906450119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52.830776906450119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68.458477241526467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5.1063034188034209</v>
      </c>
      <c r="EJ145" s="12">
        <f>IF('Données projet'!$A$192&gt;35,EJ144+EI145-ER144,IF(A145&lt;'Données projet'!$A$192,$EG$205^A145,IF(A145='Données projet'!$A$192,'Données projet'!$B$192,EJ144+EI145-ER144)))</f>
        <v>267.4417735042731</v>
      </c>
      <c r="EK145" s="17">
        <f>EJ145*VLOOKUP('Données projet'!$B$15,Paramètres!$A$1:$I$89,3,0)*VLOOKUP('Données projet'!$B$15,Paramètres!$A$1:$I$89,5,0)</f>
        <v>258.66968333333296</v>
      </c>
      <c r="EL145" s="13">
        <f t="shared" si="153"/>
        <v>62.438723597742666</v>
      </c>
      <c r="EM145" s="20">
        <f t="shared" si="127"/>
        <v>559.26380873828998</v>
      </c>
      <c r="EN145" s="59">
        <f t="shared" si="128"/>
        <v>846.94489195722031</v>
      </c>
      <c r="EO145" s="59">
        <f ca="1">AVERAGE(OFFSET($EN$3,0,0,'Données projet'!$E$15+1,1))-AVERAGE(OFFSET($H$3,0,0,'Données projet'!$E$15+1,1))</f>
        <v>398.06270423055565</v>
      </c>
      <c r="EP145" s="59">
        <f t="shared" si="154"/>
        <v>239.15364562040614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47.471132872462434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47.471132872462434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68.458477241526467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-1.7053025658242404E-13</v>
      </c>
      <c r="FF145" s="17">
        <f>FE145*VLOOKUP('Données projet'!$B$16,Paramètres!$A$1:$I$89,3,0)*VLOOKUP('Données projet'!$B$16,Paramètres!$A$1:$I$89,5,0)</f>
        <v>-1.0197709343628959E-13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334.13861979962491</v>
      </c>
      <c r="FK145" s="59">
        <f t="shared" si="156"/>
        <v>416.48635183664305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29.655724132411784</v>
      </c>
      <c r="FR145" s="21">
        <f>EXP(-LN(2)/25)*FR144+(1-EXP(-LN(2)/25))/(LN(2)/25)*Calculateur!FM145*Calculateur!FO145*VLOOKUP('Données projet'!$B$16,Paramètres!$A$1:$I$89,3,0)*0.475*44/12</f>
        <v>4.0727219332506213</v>
      </c>
      <c r="FS145" s="21">
        <f>EXP(-LN(2)/2)*FS144+(1-EXP(-LN(2)/2))/(LN(2)/2)*FM145*FP145*VLOOKUP('Données projet'!$B$16,Paramètres!$A$1:$I$89,3,0)*0.475*44/12</f>
        <v>4.5936725362946084E-12</v>
      </c>
      <c r="FT145" s="22">
        <f t="shared" si="132"/>
        <v>33.728446065667001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68.458477241526467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3.4106051316484809E-13</v>
      </c>
      <c r="GA145" s="17">
        <f>FZ145*VLOOKUP('Données projet'!$B$17,Paramètres!$A$1:$I$89,3,0)*VLOOKUP('Données projet'!$B$17,Paramètres!$A$1:$I$89,5,0)</f>
        <v>1.5961632016114892E-13</v>
      </c>
      <c r="GB145" s="13">
        <f t="shared" si="157"/>
        <v>2.2708641912150958E-12</v>
      </c>
      <c r="GC145" s="20">
        <f t="shared" si="133"/>
        <v>4.2330868906469593E-12</v>
      </c>
      <c r="GD145" s="59">
        <f t="shared" si="134"/>
        <v>287.68108321893459</v>
      </c>
      <c r="GE145" s="59">
        <f ca="1">AVERAGE(OFFSET($GD$3,0,0,'Données projet'!$E$17+1,1))-AVERAGE(OFFSET($H$3,0,0,'Données projet'!$E$17+1,1))</f>
        <v>317.79829681023142</v>
      </c>
      <c r="GF145" s="59">
        <f t="shared" si="158"/>
        <v>275.07716943523621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84.208189202632653</v>
      </c>
      <c r="GM145" s="21">
        <f>EXP(-LN(2)/25)*GM144+(1-EXP(-LN(2)/25))/(LN(2)/25)*Calculateur!GH145*Calculateur!GJ145*VLOOKUP('Données projet'!$B$17,Paramètres!$A$1:$I$89,3,0)*0.475*44/12</f>
        <v>15.745253273839573</v>
      </c>
      <c r="GN145" s="21">
        <f>EXP(-LN(2)/2)*GN144+(1-EXP(-LN(2)/2))/(LN(2)/2)*GH145*GK145*VLOOKUP('Données projet'!$B$17,Paramètres!$A$1:$I$89,3,0)*0.475*44/12</f>
        <v>5.9846208478902567E-5</v>
      </c>
      <c r="GO145" s="21">
        <f t="shared" si="135"/>
        <v>99.953502322680691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68.458477241526467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>
        <f>GU145*VLOOKUP('Données projet'!$B$18,Paramètres!$A$1:$I$89,3,0)*VLOOKUP('Données projet'!$B$18,Paramètres!$A$1:$I$89,5,0)</f>
        <v>0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336.21787234885699</v>
      </c>
      <c r="HA145" s="59">
        <f t="shared" si="160"/>
        <v>315.36156736899113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50.575727394174429</v>
      </c>
      <c r="HH145" s="21">
        <f>EXP(-LN(2)/25)*HH144+(1-EXP(-LN(2)/25))/(LN(2)/25)*Calculateur!HC145*Calculateur!HE145*VLOOKUP('Données projet'!$B$18,Paramètres!$A$1:$I$89,3,0)*0.475*44/12</f>
        <v>7.5297028606013381</v>
      </c>
      <c r="HI145" s="21">
        <f>EXP(-LN(2)/2)*HI144+(1-EXP(-LN(2)/2))/(LN(2)/2)*HC145*HF145*VLOOKUP('Données projet'!$B$18,Paramètres!$A$1:$I$89,3,0)*0.475*44/12</f>
        <v>5.7963713055305545E-10</v>
      </c>
      <c r="HJ145" s="22">
        <f t="shared" si="138"/>
        <v>58.105430255355408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3.7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13.566666666666668</v>
      </c>
      <c r="H146" s="67">
        <f t="shared" si="110"/>
        <v>202.4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68.485219215057398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5.1431925385259092E-13</v>
      </c>
      <c r="P146" s="13">
        <f t="shared" si="141"/>
        <v>6.3855359115685756E-12</v>
      </c>
      <c r="Q146" s="20">
        <f t="shared" si="108"/>
        <v>1.2017247746441865E-11</v>
      </c>
      <c r="R146" s="59">
        <f t="shared" si="109"/>
        <v>287.77913712188911</v>
      </c>
      <c r="S146" s="59">
        <f ca="1">AVERAGE(OFFSET($R$3,0,0,'Données projet'!$E$9+1,1))-AVERAGE(OFFSET($H$3,0,0,'Données projet'!$E$9+1,1))</f>
        <v>411.64357329340851</v>
      </c>
      <c r="T146" s="59">
        <f t="shared" si="142"/>
        <v>294.07942258675632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134.81859959624157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134.81859959624157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68.485219215057398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5.763922672485933E-13</v>
      </c>
      <c r="AK146" s="13">
        <f t="shared" si="143"/>
        <v>7.0619171555808457E-12</v>
      </c>
      <c r="AL146" s="20">
        <f t="shared" si="112"/>
        <v>1.3303388911427938E-11</v>
      </c>
      <c r="AM146" s="59">
        <f t="shared" si="113"/>
        <v>287.77913712189041</v>
      </c>
      <c r="AN146" s="59">
        <f ca="1">AVERAGE(OFFSET($AM$3,0,0,'Données projet'!$E$10+1,1))-AVERAGE(OFFSET($H$3,0,0,'Données projet'!$E$10+1,1))</f>
        <v>453.05577105995508</v>
      </c>
      <c r="AO146" s="59">
        <f t="shared" si="144"/>
        <v>322.6839824496758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151.0898098923397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151.0898098923397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68.485219215057398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4.9871794871794863</v>
      </c>
      <c r="BD146" s="12">
        <f>IF('Données projet'!$A$88&gt;35,BD145+BC146-BL145,IF(A146&lt;'Données projet'!$A$88,$BA$205^A146,IF(A146='Données projet'!$A$88,'Données projet'!$B$88,BD145+BC146-BL145)))</f>
        <v>258.86538461538453</v>
      </c>
      <c r="BE146" s="13">
        <f>BD146*VLOOKUP('Données projet'!$B$11,Paramètres!$A$1:$I$89,3,0)*VLOOKUP('Données projet'!$B$11,Paramètres!$A$1:$I$89,5,0)</f>
        <v>258.45119999999997</v>
      </c>
      <c r="BF146" s="13">
        <f t="shared" si="145"/>
        <v>62.39212167231242</v>
      </c>
      <c r="BG146" s="20">
        <f t="shared" si="115"/>
        <v>558.80211857927736</v>
      </c>
      <c r="BH146" s="59">
        <f t="shared" si="116"/>
        <v>846.58125570115453</v>
      </c>
      <c r="BI146" s="59">
        <f ca="1">AVERAGE(OFFSET($BH$3,0,0,'Données projet'!$E$11+1,1))-AVERAGE(OFFSET($H$3,0,0,'Données projet'!$E$11+1,1))</f>
        <v>411.38162678377478</v>
      </c>
      <c r="BJ146" s="59">
        <f t="shared" si="146"/>
        <v>177.89903563360403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25.973382667944815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25.973382667944815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68.485219215057398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212.00000000000009</v>
      </c>
      <c r="BZ146" s="13">
        <f>BY146*VLOOKUP('Données projet'!$B$12,Paramètres!$A$1:$I$89,3,0)*VLOOKUP('Données projet'!$B$12,Paramètres!$A$1:$I$89,5,0)</f>
        <v>221.58240000000012</v>
      </c>
      <c r="CA146" s="13">
        <f t="shared" si="147"/>
        <v>54.458668952651578</v>
      </c>
      <c r="CB146" s="20">
        <f t="shared" si="118"/>
        <v>480.77152842586838</v>
      </c>
      <c r="CC146" s="59">
        <f t="shared" si="119"/>
        <v>768.55066554774544</v>
      </c>
      <c r="CD146" s="59">
        <f ca="1">AVERAGE(OFFSET($CC$3,0,0,'Données projet'!$E$12+1,1))-AVERAGE(OFFSET($H$3,0,0,'Données projet'!$E$12+1,1))</f>
        <v>374.38550202939507</v>
      </c>
      <c r="CE146" s="59">
        <f t="shared" si="148"/>
        <v>324.37486924296718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7.6250382689797833</v>
      </c>
      <c r="CL146" s="21">
        <f>EXP(-LN(2)/25)*CL145+(1-EXP(-LN(2)/25))/(LN(2)/25)*Calculateur!CG146*Calculateur!CI146*VLOOKUP('Données projet'!$B$12,Paramètres!$A$1:$I$89,3,0)*0.475*44/12</f>
        <v>5.079764900650491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12.704803169630274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68.485219215057398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5.1063034188034209</v>
      </c>
      <c r="CT146" s="12">
        <f>IF('Données projet'!$A$140&gt;35,CT145+CS146-DB145,IF(A146&lt;'Données projet'!$A$140,$CQ$205^A146,IF(A146='Données projet'!$A$140,'Données projet'!$B$140,CT145+CS146-DB145)))</f>
        <v>272.54807692307651</v>
      </c>
      <c r="CU146" s="17">
        <f>CT146*VLOOKUP('Données projet'!$B$13,Paramètres!$A$1:$I$89,3,0)*VLOOKUP('Données projet'!$B$13,Paramètres!$A$1:$I$89,5,0)</f>
        <v>259.35674999999958</v>
      </c>
      <c r="CV146" s="13">
        <f t="shared" si="149"/>
        <v>62.585243289239635</v>
      </c>
      <c r="CW146" s="20">
        <f t="shared" si="121"/>
        <v>560.71563831209176</v>
      </c>
      <c r="CX146" s="59">
        <f t="shared" si="122"/>
        <v>848.49477543396893</v>
      </c>
      <c r="CY146" s="59">
        <f ca="1">AVERAGE(OFFSET($CX$3,0,0,'Données projet'!$E$13+1,1))-AVERAGE(OFFSET($H$3,0,0,'Données projet'!$E$13+1,1))</f>
        <v>392.81074187112989</v>
      </c>
      <c r="CZ146" s="59">
        <f t="shared" si="150"/>
        <v>236.19146849073687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45.789603670859563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45.789603670859563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68.485219215057398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5.1063034188034209</v>
      </c>
      <c r="DO146" s="12">
        <f>IF('Données projet'!$A$166&gt;35,DO145+DN146-DW145,IF(A146&lt;'Données projet'!$A$166,$DL$205^A146,IF(A146='Données projet'!$A$166,'Données projet'!$B$166,DO145+DN146-DW145)))</f>
        <v>272.54807692307651</v>
      </c>
      <c r="DP146" s="17">
        <f>DO146*VLOOKUP('Données projet'!$B$14,Paramètres!$A$1:$I$89,3,0)*VLOOKUP('Données projet'!$B$14,Paramètres!$A$1:$I$89,5,0)</f>
        <v>293.37074999999953</v>
      </c>
      <c r="DQ146" s="13">
        <f t="shared" si="151"/>
        <v>69.784915855494148</v>
      </c>
      <c r="DR146" s="20">
        <f t="shared" si="124"/>
        <v>632.49611803165146</v>
      </c>
      <c r="DS146" s="59">
        <f t="shared" si="125"/>
        <v>920.27525515352863</v>
      </c>
      <c r="DT146" s="59">
        <f ca="1">AVERAGE(OFFSET($DS$3,0,0,'Données projet'!$E$14+1,1))-AVERAGE(OFFSET($H$3,0,0,'Données projet'!$E$14+1,1))</f>
        <v>434.77799524785502</v>
      </c>
      <c r="DU146" s="59">
        <f t="shared" si="152"/>
        <v>259.85949838170006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51.794797594906733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51.794797594906733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68.485219215057398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5.1063034188034209</v>
      </c>
      <c r="EJ146" s="12">
        <f>IF('Données projet'!$A$192&gt;35,EJ145+EI146-ER145,IF(A146&lt;'Données projet'!$A$192,$EG$205^A146,IF(A146='Données projet'!$A$192,'Données projet'!$B$192,EJ145+EI146-ER145)))</f>
        <v>272.54807692307651</v>
      </c>
      <c r="EK146" s="17">
        <f>EJ146*VLOOKUP('Données projet'!$B$15,Paramètres!$A$1:$I$89,3,0)*VLOOKUP('Données projet'!$B$15,Paramètres!$A$1:$I$89,5,0)</f>
        <v>263.60849999999965</v>
      </c>
      <c r="EL146" s="13">
        <f t="shared" si="153"/>
        <v>63.490946209531685</v>
      </c>
      <c r="EM146" s="20">
        <f t="shared" si="127"/>
        <v>569.69820214826711</v>
      </c>
      <c r="EN146" s="59">
        <f t="shared" si="128"/>
        <v>857.47733927014428</v>
      </c>
      <c r="EO146" s="59">
        <f ca="1">AVERAGE(OFFSET($EN$3,0,0,'Données projet'!$E$15+1,1))-AVERAGE(OFFSET($H$3,0,0,'Données projet'!$E$15+1,1))</f>
        <v>398.06270423055565</v>
      </c>
      <c r="EP146" s="59">
        <f t="shared" si="154"/>
        <v>239.15364562040614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46.540252911365478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46.540252911365478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68.485219215057398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-1.7053025658242404E-13</v>
      </c>
      <c r="FF146" s="17">
        <f>FE146*VLOOKUP('Données projet'!$B$16,Paramètres!$A$1:$I$89,3,0)*VLOOKUP('Données projet'!$B$16,Paramètres!$A$1:$I$89,5,0)</f>
        <v>-1.0197709343628959E-13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334.13861979962491</v>
      </c>
      <c r="FK146" s="59">
        <f t="shared" si="156"/>
        <v>416.48635183664305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29.074193470380848</v>
      </c>
      <c r="FR146" s="21">
        <f>EXP(-LN(2)/25)*FR145+(1-EXP(-LN(2)/25))/(LN(2)/25)*Calculateur!FM146*Calculateur!FO146*VLOOKUP('Données projet'!$B$16,Paramètres!$A$1:$I$89,3,0)*0.475*44/12</f>
        <v>3.9613531378107449</v>
      </c>
      <c r="FS146" s="21">
        <f>EXP(-LN(2)/2)*FS145+(1-EXP(-LN(2)/2))/(LN(2)/2)*FM146*FP146*VLOOKUP('Données projet'!$B$16,Paramètres!$A$1:$I$89,3,0)*0.475*44/12</f>
        <v>3.2482170009643245E-12</v>
      </c>
      <c r="FT146" s="22">
        <f t="shared" si="132"/>
        <v>33.035546608194842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68.485219215057398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3.4106051316484809E-13</v>
      </c>
      <c r="GA146" s="17">
        <f>FZ146*VLOOKUP('Données projet'!$B$17,Paramètres!$A$1:$I$89,3,0)*VLOOKUP('Données projet'!$B$17,Paramètres!$A$1:$I$89,5,0)</f>
        <v>1.5961632016114892E-13</v>
      </c>
      <c r="GB146" s="13">
        <f t="shared" si="157"/>
        <v>2.2708641912150958E-12</v>
      </c>
      <c r="GC146" s="20">
        <f t="shared" si="133"/>
        <v>4.2330868906469593E-12</v>
      </c>
      <c r="GD146" s="59">
        <f t="shared" si="134"/>
        <v>287.77913712188132</v>
      </c>
      <c r="GE146" s="59">
        <f ca="1">AVERAGE(OFFSET($GD$3,0,0,'Données projet'!$E$17+1,1))-AVERAGE(OFFSET($H$3,0,0,'Données projet'!$E$17+1,1))</f>
        <v>317.79829681023142</v>
      </c>
      <c r="GF146" s="59">
        <f t="shared" si="158"/>
        <v>275.07716943523621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82.556917974292872</v>
      </c>
      <c r="GM146" s="21">
        <f>EXP(-LN(2)/25)*GM145+(1-EXP(-LN(2)/25))/(LN(2)/25)*Calculateur!GH146*Calculateur!GJ146*VLOOKUP('Données projet'!$B$17,Paramètres!$A$1:$I$89,3,0)*0.475*44/12</f>
        <v>15.314698495059547</v>
      </c>
      <c r="GN146" s="21">
        <f>EXP(-LN(2)/2)*GN145+(1-EXP(-LN(2)/2))/(LN(2)/2)*GH146*GK146*VLOOKUP('Données projet'!$B$17,Paramètres!$A$1:$I$89,3,0)*0.475*44/12</f>
        <v>4.2317659843735866E-5</v>
      </c>
      <c r="GO146" s="21">
        <f t="shared" si="135"/>
        <v>97.871658787012265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68.485219215057398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>
        <f>GU146*VLOOKUP('Données projet'!$B$18,Paramètres!$A$1:$I$89,3,0)*VLOOKUP('Données projet'!$B$18,Paramètres!$A$1:$I$89,5,0)</f>
        <v>0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336.21787234885699</v>
      </c>
      <c r="HA146" s="59">
        <f t="shared" si="160"/>
        <v>315.36156736899113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49.58396822812238</v>
      </c>
      <c r="HH146" s="21">
        <f>EXP(-LN(2)/25)*HH145+(1-EXP(-LN(2)/25))/(LN(2)/25)*Calculateur!HC146*Calculateur!HE146*VLOOKUP('Données projet'!$B$18,Paramètres!$A$1:$I$89,3,0)*0.475*44/12</f>
        <v>7.3238027399083308</v>
      </c>
      <c r="HI146" s="21">
        <f>EXP(-LN(2)/2)*HI145+(1-EXP(-LN(2)/2))/(LN(2)/2)*HC146*HF146*VLOOKUP('Données projet'!$B$18,Paramètres!$A$1:$I$89,3,0)*0.475*44/12</f>
        <v>4.0986534564157767E-10</v>
      </c>
      <c r="HJ146" s="22">
        <f t="shared" si="138"/>
        <v>56.907770968440573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3.7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13.566666666666668</v>
      </c>
      <c r="H147" s="67">
        <f t="shared" si="110"/>
        <v>202.4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68.51149727513365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5.1431925385259092E-13</v>
      </c>
      <c r="P147" s="13">
        <f t="shared" si="141"/>
        <v>6.3855359115685756E-12</v>
      </c>
      <c r="Q147" s="20">
        <f t="shared" si="108"/>
        <v>1.2017247746441865E-11</v>
      </c>
      <c r="R147" s="59">
        <f t="shared" si="109"/>
        <v>287.87549000883536</v>
      </c>
      <c r="S147" s="59">
        <f ca="1">AVERAGE(OFFSET($R$3,0,0,'Données projet'!$E$9+1,1))-AVERAGE(OFFSET($H$3,0,0,'Données projet'!$E$9+1,1))</f>
        <v>411.64357329340851</v>
      </c>
      <c r="T147" s="59">
        <f t="shared" si="142"/>
        <v>294.07942258675632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132.17488908938537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132.17488908938537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68.51149727513365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5.763922672485933E-13</v>
      </c>
      <c r="AK147" s="13">
        <f t="shared" si="143"/>
        <v>7.0619171555808457E-12</v>
      </c>
      <c r="AL147" s="20">
        <f t="shared" si="112"/>
        <v>1.3303388911427938E-11</v>
      </c>
      <c r="AM147" s="59">
        <f t="shared" si="113"/>
        <v>287.87549000883666</v>
      </c>
      <c r="AN147" s="59">
        <f ca="1">AVERAGE(OFFSET($AM$3,0,0,'Données projet'!$E$10+1,1))-AVERAGE(OFFSET($H$3,0,0,'Données projet'!$E$10+1,1))</f>
        <v>453.05577105995508</v>
      </c>
      <c r="AO147" s="59">
        <f t="shared" si="144"/>
        <v>322.6839824496758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148.12703087603535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148.12703087603535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68.51149727513365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263.85256410256409</v>
      </c>
      <c r="BB147" s="12">
        <f>VLOOKUP(A147,'Données projet'!$A$87:$I$107,9,0)</f>
        <v>4.9871794871794863</v>
      </c>
      <c r="BC147" s="12">
        <f t="array" ref="BC147">INDEX(BB:BB,MIN(IF(ISNUMBER(BB147:BB343),ROW(BB147:BB343),"")))</f>
        <v>4.9871794871794863</v>
      </c>
      <c r="BD147" s="12">
        <f>IF('Données projet'!$A$88&gt;35,BD146+BC147-BL146,IF(A147&lt;'Données projet'!$A$88,$BA$205^A147,IF(A147='Données projet'!$A$88,'Données projet'!$B$88,BD146+BC147-BL146)))</f>
        <v>263.85256410256403</v>
      </c>
      <c r="BE147" s="13">
        <f>BD147*VLOOKUP('Données projet'!$B$11,Paramètres!$A$1:$I$89,3,0)*VLOOKUP('Données projet'!$B$11,Paramètres!$A$1:$I$89,5,0)</f>
        <v>263.43039999999996</v>
      </c>
      <c r="BF147" s="13">
        <f t="shared" si="145"/>
        <v>63.453041855724869</v>
      </c>
      <c r="BG147" s="20">
        <f t="shared" si="115"/>
        <v>569.3219945653874</v>
      </c>
      <c r="BH147" s="59">
        <f t="shared" si="116"/>
        <v>857.19748457421076</v>
      </c>
      <c r="BI147" s="59">
        <f ca="1">AVERAGE(OFFSET($BH$3,0,0,'Données projet'!$E$11+1,1))-AVERAGE(OFFSET($H$3,0,0,'Données projet'!$E$11+1,1))</f>
        <v>411.38162678377478</v>
      </c>
      <c r="BJ147" s="59">
        <f t="shared" si="146"/>
        <v>177.89903563360403</v>
      </c>
      <c r="BK147" s="15">
        <f>IF(ISNA(VLOOKUP(A147,'Données projet'!$A$87:$I$107,3,0)),0,VLOOKUP(A147,'Données projet'!$A$87:$I$107,3,0))</f>
        <v>10</v>
      </c>
      <c r="BL147" s="15">
        <f>IF(ISNA(VLOOKUP(A147,'Données projet'!$A$87:$I$107,4,0)),0,VLOOKUP(A147,'Données projet'!$A$87:$I$107,4,0))</f>
        <v>42.397435897435898</v>
      </c>
      <c r="BM147" s="16">
        <f>IF(ISNA(VLOOKUP(A147,'Données projet'!$A$87:$I$107,5,0)),0%,VLOOKUP(A147,'Données projet'!$A$87:$I$107,5,0)*VLOOKUP('Données projet'!$B$11,Paramètres!$A$1:$I$89,7,0))</f>
        <v>0.30099999999999999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39.549090288246425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39.549090288246425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68.51149727513365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212.00000000000009</v>
      </c>
      <c r="BZ147" s="13">
        <f>BY147*VLOOKUP('Données projet'!$B$12,Paramètres!$A$1:$I$89,3,0)*VLOOKUP('Données projet'!$B$12,Paramètres!$A$1:$I$89,5,0)</f>
        <v>221.58240000000012</v>
      </c>
      <c r="CA147" s="13">
        <f t="shared" si="147"/>
        <v>54.458668952651578</v>
      </c>
      <c r="CB147" s="20">
        <f t="shared" si="118"/>
        <v>480.77152842586838</v>
      </c>
      <c r="CC147" s="59">
        <f t="shared" si="119"/>
        <v>768.64701843469174</v>
      </c>
      <c r="CD147" s="59">
        <f ca="1">AVERAGE(OFFSET($CC$3,0,0,'Données projet'!$E$12+1,1))-AVERAGE(OFFSET($H$3,0,0,'Données projet'!$E$12+1,1))</f>
        <v>374.38550202939507</v>
      </c>
      <c r="CE147" s="59">
        <f t="shared" si="148"/>
        <v>324.37486924296718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7.4755159193392045</v>
      </c>
      <c r="CL147" s="21">
        <f>EXP(-LN(2)/25)*CL146+(1-EXP(-LN(2)/25))/(LN(2)/25)*Calculateur!CG147*Calculateur!CI147*VLOOKUP('Données projet'!$B$12,Paramètres!$A$1:$I$89,3,0)*0.475*44/12</f>
        <v>4.9408584623089773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12.416374381648183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68.51149727513365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5.1063034188034209</v>
      </c>
      <c r="CT147" s="12">
        <f>IF('Données projet'!$A$140&gt;35,CT146+CS147-DB146,IF(A147&lt;'Données projet'!$A$140,$CQ$205^A147,IF(A147='Données projet'!$A$140,'Données projet'!$B$140,CT146+CS147-DB146)))</f>
        <v>277.65438034187991</v>
      </c>
      <c r="CU147" s="17">
        <f>CT147*VLOOKUP('Données projet'!$B$13,Paramètres!$A$1:$I$89,3,0)*VLOOKUP('Données projet'!$B$13,Paramètres!$A$1:$I$89,5,0)</f>
        <v>264.21590833333295</v>
      </c>
      <c r="CV147" s="13">
        <f t="shared" si="149"/>
        <v>63.620196238078719</v>
      </c>
      <c r="CW147" s="20">
        <f t="shared" si="121"/>
        <v>570.98121546187531</v>
      </c>
      <c r="CX147" s="59">
        <f t="shared" si="122"/>
        <v>858.85670547069867</v>
      </c>
      <c r="CY147" s="59">
        <f ca="1">AVERAGE(OFFSET($CX$3,0,0,'Données projet'!$E$13+1,1))-AVERAGE(OFFSET($H$3,0,0,'Données projet'!$E$13+1,1))</f>
        <v>392.81074187112989</v>
      </c>
      <c r="CZ147" s="59">
        <f t="shared" si="150"/>
        <v>236.19146849073687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44.891697471774499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44.891697471774499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68.51149727513365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5.1063034188034209</v>
      </c>
      <c r="DO147" s="12">
        <f>IF('Données projet'!$A$166&gt;35,DO146+DN147-DW146,IF(A147&lt;'Données projet'!$A$166,$DL$205^A147,IF(A147='Données projet'!$A$166,'Données projet'!$B$166,DO146+DN147-DW146)))</f>
        <v>277.65438034187991</v>
      </c>
      <c r="DP147" s="17">
        <f>DO147*VLOOKUP('Données projet'!$B$14,Paramètres!$A$1:$I$89,3,0)*VLOOKUP('Données projet'!$B$14,Paramètres!$A$1:$I$89,5,0)</f>
        <v>298.86717499999952</v>
      </c>
      <c r="DQ147" s="13">
        <f t="shared" si="151"/>
        <v>70.938927578598737</v>
      </c>
      <c r="DR147" s="20">
        <f t="shared" si="124"/>
        <v>644.07896199105858</v>
      </c>
      <c r="DS147" s="59">
        <f t="shared" si="125"/>
        <v>931.95445199988194</v>
      </c>
      <c r="DT147" s="59">
        <f ca="1">AVERAGE(OFFSET($DS$3,0,0,'Données projet'!$E$14+1,1))-AVERAGE(OFFSET($H$3,0,0,'Données projet'!$E$14+1,1))</f>
        <v>434.77799524785502</v>
      </c>
      <c r="DU147" s="59">
        <f t="shared" si="152"/>
        <v>259.85949838170006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50.779133205777725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50.779133205777725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68.51149727513365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5.1063034188034209</v>
      </c>
      <c r="EJ147" s="12">
        <f>IF('Données projet'!$A$192&gt;35,EJ146+EI147-ER146,IF(A147&lt;'Données projet'!$A$192,$EG$205^A147,IF(A147='Données projet'!$A$192,'Données projet'!$B$192,EJ146+EI147-ER146)))</f>
        <v>277.65438034187991</v>
      </c>
      <c r="EK147" s="17">
        <f>EJ147*VLOOKUP('Données projet'!$B$15,Paramètres!$A$1:$I$89,3,0)*VLOOKUP('Données projet'!$B$15,Paramètres!$A$1:$I$89,5,0)</f>
        <v>268.54731666666623</v>
      </c>
      <c r="EL147" s="13">
        <f t="shared" si="153"/>
        <v>64.540876489429408</v>
      </c>
      <c r="EM147" s="20">
        <f t="shared" si="127"/>
        <v>580.12860308019992</v>
      </c>
      <c r="EN147" s="59">
        <f t="shared" si="128"/>
        <v>868.00409308902329</v>
      </c>
      <c r="EO147" s="59">
        <f ca="1">AVERAGE(OFFSET($EN$3,0,0,'Données projet'!$E$15+1,1))-AVERAGE(OFFSET($H$3,0,0,'Données projet'!$E$15+1,1))</f>
        <v>398.06270423055565</v>
      </c>
      <c r="EP147" s="59">
        <f t="shared" si="154"/>
        <v>239.15364562040614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45.627626938524919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45.627626938524919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68.51149727513365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-1.7053025658242404E-13</v>
      </c>
      <c r="FF147" s="17">
        <f>FE147*VLOOKUP('Données projet'!$B$16,Paramètres!$A$1:$I$89,3,0)*VLOOKUP('Données projet'!$B$16,Paramètres!$A$1:$I$89,5,0)</f>
        <v>-1.0197709343628959E-13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334.13861979962491</v>
      </c>
      <c r="FK147" s="59">
        <f t="shared" si="156"/>
        <v>416.48635183664305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28.504066269933659</v>
      </c>
      <c r="FR147" s="21">
        <f>EXP(-LN(2)/25)*FR146+(1-EXP(-LN(2)/25))/(LN(2)/25)*Calculateur!FM147*Calculateur!FO147*VLOOKUP('Données projet'!$B$16,Paramètres!$A$1:$I$89,3,0)*0.475*44/12</f>
        <v>3.8530297279388024</v>
      </c>
      <c r="FS147" s="21">
        <f>EXP(-LN(2)/2)*FS146+(1-EXP(-LN(2)/2))/(LN(2)/2)*FM147*FP147*VLOOKUP('Données projet'!$B$16,Paramètres!$A$1:$I$89,3,0)*0.475*44/12</f>
        <v>2.2968362681473042E-12</v>
      </c>
      <c r="FT147" s="22">
        <f t="shared" si="132"/>
        <v>32.357095997874758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68.51149727513365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3.4106051316484809E-13</v>
      </c>
      <c r="GA147" s="17">
        <f>FZ147*VLOOKUP('Données projet'!$B$17,Paramètres!$A$1:$I$89,3,0)*VLOOKUP('Données projet'!$B$17,Paramètres!$A$1:$I$89,5,0)</f>
        <v>1.5961632016114892E-13</v>
      </c>
      <c r="GB147" s="13">
        <f t="shared" si="157"/>
        <v>2.2708641912150958E-12</v>
      </c>
      <c r="GC147" s="20">
        <f t="shared" si="133"/>
        <v>4.2330868906469593E-12</v>
      </c>
      <c r="GD147" s="59">
        <f t="shared" si="134"/>
        <v>287.87549000882757</v>
      </c>
      <c r="GE147" s="59">
        <f ca="1">AVERAGE(OFFSET($GD$3,0,0,'Données projet'!$E$17+1,1))-AVERAGE(OFFSET($H$3,0,0,'Données projet'!$E$17+1,1))</f>
        <v>317.79829681023142</v>
      </c>
      <c r="GF147" s="59">
        <f t="shared" si="158"/>
        <v>275.07716943523621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80.93802716756484</v>
      </c>
      <c r="GM147" s="21">
        <f>EXP(-LN(2)/25)*GM146+(1-EXP(-LN(2)/25))/(LN(2)/25)*Calculateur!GH147*Calculateur!GJ147*VLOOKUP('Données projet'!$B$17,Paramètres!$A$1:$I$89,3,0)*0.475*44/12</f>
        <v>14.895917259347152</v>
      </c>
      <c r="GN147" s="21">
        <f>EXP(-LN(2)/2)*GN146+(1-EXP(-LN(2)/2))/(LN(2)/2)*GH147*GK147*VLOOKUP('Données projet'!$B$17,Paramètres!$A$1:$I$89,3,0)*0.475*44/12</f>
        <v>2.9923104239451287E-5</v>
      </c>
      <c r="GO147" s="21">
        <f t="shared" si="135"/>
        <v>95.833974350016234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68.51149727513365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>
        <f>GU147*VLOOKUP('Données projet'!$B$18,Paramètres!$A$1:$I$89,3,0)*VLOOKUP('Données projet'!$B$18,Paramètres!$A$1:$I$89,5,0)</f>
        <v>0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336.21787234885699</v>
      </c>
      <c r="HA147" s="59">
        <f t="shared" si="160"/>
        <v>315.36156736899113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48.61165685440325</v>
      </c>
      <c r="HH147" s="21">
        <f>EXP(-LN(2)/25)*HH146+(1-EXP(-LN(2)/25))/(LN(2)/25)*Calculateur!HC147*Calculateur!HE147*VLOOKUP('Données projet'!$B$18,Paramètres!$A$1:$I$89,3,0)*0.475*44/12</f>
        <v>7.1235329688434899</v>
      </c>
      <c r="HI147" s="21">
        <f>EXP(-LN(2)/2)*HI146+(1-EXP(-LN(2)/2))/(LN(2)/2)*HC147*HF147*VLOOKUP('Données projet'!$B$18,Paramètres!$A$1:$I$89,3,0)*0.475*44/12</f>
        <v>2.8981856527652773E-10</v>
      </c>
      <c r="HJ147" s="22">
        <f t="shared" si="138"/>
        <v>55.735189823536558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3.7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13.566666666666668</v>
      </c>
      <c r="H148" s="67">
        <f t="shared" si="110"/>
        <v>202.4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68.53731946961652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5.1431925385259092E-13</v>
      </c>
      <c r="P148" s="13">
        <f t="shared" si="141"/>
        <v>6.3855359115685756E-12</v>
      </c>
      <c r="Q148" s="20">
        <f t="shared" si="108"/>
        <v>1.2017247746441865E-11</v>
      </c>
      <c r="R148" s="59">
        <f t="shared" si="109"/>
        <v>287.97017138860588</v>
      </c>
      <c r="S148" s="59">
        <f ca="1">AVERAGE(OFFSET($R$3,0,0,'Données projet'!$E$9+1,1))-AVERAGE(OFFSET($H$3,0,0,'Données projet'!$E$9+1,1))</f>
        <v>411.64357329340851</v>
      </c>
      <c r="T148" s="59">
        <f t="shared" si="142"/>
        <v>294.07942258675632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129.58302013306442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129.58302013306442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68.53731946961652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5.763922672485933E-13</v>
      </c>
      <c r="AK148" s="13">
        <f t="shared" si="143"/>
        <v>7.0619171555808457E-12</v>
      </c>
      <c r="AL148" s="20">
        <f t="shared" si="112"/>
        <v>1.3303388911427938E-11</v>
      </c>
      <c r="AM148" s="59">
        <f t="shared" si="113"/>
        <v>287.97017138860718</v>
      </c>
      <c r="AN148" s="59">
        <f ca="1">AVERAGE(OFFSET($AM$3,0,0,'Données projet'!$E$10+1,1))-AVERAGE(OFFSET($H$3,0,0,'Données projet'!$E$10+1,1))</f>
        <v>453.05577105995508</v>
      </c>
      <c r="AO148" s="59">
        <f t="shared" si="144"/>
        <v>322.6839824496758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145.22235014912394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145.22235014912394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68.53731946961652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5.0924145299145307</v>
      </c>
      <c r="BD148" s="12">
        <f>IF('Données projet'!$A$88&gt;35,BD147+BC148-BL147,IF(A148&lt;'Données projet'!$A$88,$BA$205^A148,IF(A148='Données projet'!$A$88,'Données projet'!$B$88,BD147+BC148-BL147)))</f>
        <v>226.54754273504267</v>
      </c>
      <c r="BE148" s="13">
        <f>BD148*VLOOKUP('Données projet'!$B$11,Paramètres!$A$1:$I$89,3,0)*VLOOKUP('Données projet'!$B$11,Paramètres!$A$1:$I$89,5,0)</f>
        <v>226.18506666666664</v>
      </c>
      <c r="BF148" s="13">
        <f t="shared" si="145"/>
        <v>55.457002501850148</v>
      </c>
      <c r="BG148" s="20">
        <f t="shared" si="115"/>
        <v>490.52660380183335</v>
      </c>
      <c r="BH148" s="59">
        <f t="shared" si="116"/>
        <v>778.49677519042723</v>
      </c>
      <c r="BI148" s="59">
        <f ca="1">AVERAGE(OFFSET($BH$3,0,0,'Données projet'!$E$11+1,1))-AVERAGE(OFFSET($H$3,0,0,'Données projet'!$E$11+1,1))</f>
        <v>411.38162678377478</v>
      </c>
      <c r="BJ148" s="59">
        <f t="shared" si="146"/>
        <v>177.89903563360403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38.773556750257086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38.773556750257086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68.53731946961652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212.00000000000009</v>
      </c>
      <c r="BZ148" s="13">
        <f>BY148*VLOOKUP('Données projet'!$B$12,Paramètres!$A$1:$I$89,3,0)*VLOOKUP('Données projet'!$B$12,Paramètres!$A$1:$I$89,5,0)</f>
        <v>221.58240000000012</v>
      </c>
      <c r="CA148" s="13">
        <f t="shared" si="147"/>
        <v>54.458668952651578</v>
      </c>
      <c r="CB148" s="20">
        <f t="shared" si="118"/>
        <v>480.77152842586838</v>
      </c>
      <c r="CC148" s="59">
        <f t="shared" si="119"/>
        <v>768.74169981446221</v>
      </c>
      <c r="CD148" s="59">
        <f ca="1">AVERAGE(OFFSET($CC$3,0,0,'Données projet'!$E$12+1,1))-AVERAGE(OFFSET($H$3,0,0,'Données projet'!$E$12+1,1))</f>
        <v>374.38550202939507</v>
      </c>
      <c r="CE148" s="59">
        <f t="shared" si="148"/>
        <v>324.37486924296718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7.3289256117754489</v>
      </c>
      <c r="CL148" s="21">
        <f>EXP(-LN(2)/25)*CL147+(1-EXP(-LN(2)/25))/(LN(2)/25)*Calculateur!CG148*Calculateur!CI148*VLOOKUP('Données projet'!$B$12,Paramètres!$A$1:$I$89,3,0)*0.475*44/12</f>
        <v>4.8057504278286842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12.134676039604134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68.53731946961652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5.1063034188034209</v>
      </c>
      <c r="CT148" s="12">
        <f>IF('Données projet'!$A$140&gt;35,CT147+CS148-DB147,IF(A148&lt;'Données projet'!$A$140,$CQ$205^A148,IF(A148='Données projet'!$A$140,'Données projet'!$B$140,CT147+CS148-DB147)))</f>
        <v>282.76068376068332</v>
      </c>
      <c r="CU148" s="17">
        <f>CT148*VLOOKUP('Données projet'!$B$13,Paramètres!$A$1:$I$89,3,0)*VLOOKUP('Données projet'!$B$13,Paramètres!$A$1:$I$89,5,0)</f>
        <v>269.07506666666626</v>
      </c>
      <c r="CV148" s="13">
        <f t="shared" si="149"/>
        <v>64.652935904711711</v>
      </c>
      <c r="CW148" s="20">
        <f t="shared" si="121"/>
        <v>581.24293781181666</v>
      </c>
      <c r="CX148" s="59">
        <f t="shared" si="122"/>
        <v>869.2131092004106</v>
      </c>
      <c r="CY148" s="59">
        <f ca="1">AVERAGE(OFFSET($CX$3,0,0,'Données projet'!$E$13+1,1))-AVERAGE(OFFSET($H$3,0,0,'Données projet'!$E$13+1,1))</f>
        <v>392.81074187112989</v>
      </c>
      <c r="CZ148" s="59">
        <f t="shared" si="150"/>
        <v>236.19146849073687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44.011398665584785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44.011398665584785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68.53731946961652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5.1063034188034209</v>
      </c>
      <c r="DO148" s="12">
        <f>IF('Données projet'!$A$166&gt;35,DO147+DN148-DW147,IF(A148&lt;'Données projet'!$A$166,$DL$205^A148,IF(A148='Données projet'!$A$166,'Données projet'!$B$166,DO147+DN148-DW147)))</f>
        <v>282.76068376068332</v>
      </c>
      <c r="DP148" s="17">
        <f>DO148*VLOOKUP('Données projet'!$B$14,Paramètres!$A$1:$I$89,3,0)*VLOOKUP('Données projet'!$B$14,Paramètres!$A$1:$I$89,5,0)</f>
        <v>304.36359999999951</v>
      </c>
      <c r="DQ148" s="13">
        <f t="shared" si="151"/>
        <v>72.090471408244667</v>
      </c>
      <c r="DR148" s="20">
        <f t="shared" si="124"/>
        <v>655.65750770269199</v>
      </c>
      <c r="DS148" s="59">
        <f t="shared" si="125"/>
        <v>943.62767909128593</v>
      </c>
      <c r="DT148" s="59">
        <f ca="1">AVERAGE(OFFSET($DS$3,0,0,'Données projet'!$E$14+1,1))-AVERAGE(OFFSET($H$3,0,0,'Données projet'!$E$14+1,1))</f>
        <v>434.77799524785502</v>
      </c>
      <c r="DU148" s="59">
        <f t="shared" si="152"/>
        <v>259.85949838170006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49.783385375825425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49.783385375825425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68.53731946961652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5.1063034188034209</v>
      </c>
      <c r="EJ148" s="12">
        <f>IF('Données projet'!$A$192&gt;35,EJ147+EI148-ER147,IF(A148&lt;'Données projet'!$A$192,$EG$205^A148,IF(A148='Données projet'!$A$192,'Données projet'!$B$192,EJ147+EI148-ER147)))</f>
        <v>282.76068376068332</v>
      </c>
      <c r="EK148" s="17">
        <f>EJ148*VLOOKUP('Données projet'!$B$15,Paramètres!$A$1:$I$89,3,0)*VLOOKUP('Données projet'!$B$15,Paramètres!$A$1:$I$89,5,0)</f>
        <v>273.48613333333293</v>
      </c>
      <c r="EL148" s="13">
        <f t="shared" si="153"/>
        <v>65.58856145758736</v>
      </c>
      <c r="EM148" s="20">
        <f t="shared" si="127"/>
        <v>590.55509342751941</v>
      </c>
      <c r="EN148" s="59">
        <f t="shared" si="128"/>
        <v>878.52526481611335</v>
      </c>
      <c r="EO148" s="59">
        <f ca="1">AVERAGE(OFFSET($EN$3,0,0,'Données projet'!$E$15+1,1))-AVERAGE(OFFSET($H$3,0,0,'Données projet'!$E$15+1,1))</f>
        <v>398.06270423055565</v>
      </c>
      <c r="EP148" s="59">
        <f t="shared" si="154"/>
        <v>239.15364562040614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44.732897004364887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44.732897004364887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68.53731946961652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-1.7053025658242404E-13</v>
      </c>
      <c r="FF148" s="17">
        <f>FE148*VLOOKUP('Données projet'!$B$16,Paramètres!$A$1:$I$89,3,0)*VLOOKUP('Données projet'!$B$16,Paramètres!$A$1:$I$89,5,0)</f>
        <v>-1.0197709343628959E-13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334.13861979962491</v>
      </c>
      <c r="FK148" s="59">
        <f t="shared" si="156"/>
        <v>416.48635183664305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27.945118916143983</v>
      </c>
      <c r="FR148" s="21">
        <f>EXP(-LN(2)/25)*FR147+(1-EXP(-LN(2)/25))/(LN(2)/25)*Calculateur!FM148*Calculateur!FO148*VLOOKUP('Données projet'!$B$16,Paramètres!$A$1:$I$89,3,0)*0.475*44/12</f>
        <v>3.7476684274062886</v>
      </c>
      <c r="FS148" s="21">
        <f>EXP(-LN(2)/2)*FS147+(1-EXP(-LN(2)/2))/(LN(2)/2)*FM148*FP148*VLOOKUP('Données projet'!$B$16,Paramètres!$A$1:$I$89,3,0)*0.475*44/12</f>
        <v>1.6241085004821623E-12</v>
      </c>
      <c r="FT148" s="22">
        <f t="shared" si="132"/>
        <v>31.692787343551895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68.53731946961652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3.4106051316484809E-13</v>
      </c>
      <c r="GA148" s="17">
        <f>FZ148*VLOOKUP('Données projet'!$B$17,Paramètres!$A$1:$I$89,3,0)*VLOOKUP('Données projet'!$B$17,Paramètres!$A$1:$I$89,5,0)</f>
        <v>1.5961632016114892E-13</v>
      </c>
      <c r="GB148" s="13">
        <f t="shared" si="157"/>
        <v>2.2708641912150958E-12</v>
      </c>
      <c r="GC148" s="20">
        <f t="shared" si="133"/>
        <v>4.2330868906469593E-12</v>
      </c>
      <c r="GD148" s="59">
        <f t="shared" si="134"/>
        <v>287.97017138859809</v>
      </c>
      <c r="GE148" s="59">
        <f ca="1">AVERAGE(OFFSET($GD$3,0,0,'Données projet'!$E$17+1,1))-AVERAGE(OFFSET($H$3,0,0,'Données projet'!$E$17+1,1))</f>
        <v>317.79829681023142</v>
      </c>
      <c r="GF148" s="59">
        <f t="shared" si="158"/>
        <v>275.07716943523621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79.350881822130845</v>
      </c>
      <c r="GM148" s="21">
        <f>EXP(-LN(2)/25)*GM147+(1-EXP(-LN(2)/25))/(LN(2)/25)*Calculateur!GH148*Calculateur!GJ148*VLOOKUP('Données projet'!$B$17,Paramètres!$A$1:$I$89,3,0)*0.475*44/12</f>
        <v>14.488587618548062</v>
      </c>
      <c r="GN148" s="21">
        <f>EXP(-LN(2)/2)*GN147+(1-EXP(-LN(2)/2))/(LN(2)/2)*GH148*GK148*VLOOKUP('Données projet'!$B$17,Paramètres!$A$1:$I$89,3,0)*0.475*44/12</f>
        <v>2.1158829921867936E-5</v>
      </c>
      <c r="GO148" s="21">
        <f t="shared" si="135"/>
        <v>93.839490599508835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68.53731946961652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>
        <f>GU148*VLOOKUP('Données projet'!$B$18,Paramètres!$A$1:$I$89,3,0)*VLOOKUP('Données projet'!$B$18,Paramètres!$A$1:$I$89,5,0)</f>
        <v>0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336.21787234885699</v>
      </c>
      <c r="HA148" s="59">
        <f t="shared" si="160"/>
        <v>315.36156736899113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47.658411913671372</v>
      </c>
      <c r="HH148" s="21">
        <f>EXP(-LN(2)/25)*HH147+(1-EXP(-LN(2)/25))/(LN(2)/25)*Calculateur!HC148*Calculateur!HE148*VLOOKUP('Données projet'!$B$18,Paramètres!$A$1:$I$89,3,0)*0.475*44/12</f>
        <v>6.9287395852001472</v>
      </c>
      <c r="HI148" s="21">
        <f>EXP(-LN(2)/2)*HI147+(1-EXP(-LN(2)/2))/(LN(2)/2)*HC148*HF148*VLOOKUP('Données projet'!$B$18,Paramètres!$A$1:$I$89,3,0)*0.475*44/12</f>
        <v>2.0493267282078883E-10</v>
      </c>
      <c r="HJ148" s="22">
        <f t="shared" si="138"/>
        <v>54.587151499076455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3.7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13.566666666666668</v>
      </c>
      <c r="H149" s="67">
        <f t="shared" si="110"/>
        <v>202.4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68.562693706754914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5.1431925385259092E-13</v>
      </c>
      <c r="P149" s="13">
        <f t="shared" si="141"/>
        <v>6.3855359115685756E-12</v>
      </c>
      <c r="Q149" s="20">
        <f t="shared" si="108"/>
        <v>1.2017247746441865E-11</v>
      </c>
      <c r="R149" s="59">
        <f t="shared" si="109"/>
        <v>288.06321025811337</v>
      </c>
      <c r="S149" s="59">
        <f ca="1">AVERAGE(OFFSET($R$3,0,0,'Données projet'!$E$9+1,1))-AVERAGE(OFFSET($H$3,0,0,'Données projet'!$E$9+1,1))</f>
        <v>411.64357329340851</v>
      </c>
      <c r="T149" s="59">
        <f t="shared" si="142"/>
        <v>294.07942258675632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127.04197614609298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127.04197614609298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68.562693706754914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5.763922672485933E-13</v>
      </c>
      <c r="AK149" s="13">
        <f t="shared" si="143"/>
        <v>7.0619171555808457E-12</v>
      </c>
      <c r="AL149" s="20">
        <f t="shared" si="112"/>
        <v>1.3303388911427938E-11</v>
      </c>
      <c r="AM149" s="59">
        <f t="shared" si="113"/>
        <v>288.06321025811468</v>
      </c>
      <c r="AN149" s="59">
        <f ca="1">AVERAGE(OFFSET($AM$3,0,0,'Données projet'!$E$10+1,1))-AVERAGE(OFFSET($H$3,0,0,'Données projet'!$E$10+1,1))</f>
        <v>453.05577105995508</v>
      </c>
      <c r="AO149" s="59">
        <f t="shared" si="144"/>
        <v>322.6839824496758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142.37462843958696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142.37462843958696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68.562693706754914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5.0924145299145307</v>
      </c>
      <c r="BD149" s="12">
        <f>IF('Données projet'!$A$88&gt;35,BD148+BC149-BL148,IF(A149&lt;'Données projet'!$A$88,$BA$205^A149,IF(A149='Données projet'!$A$88,'Données projet'!$B$88,BD148+BC149-BL148)))</f>
        <v>231.63995726495719</v>
      </c>
      <c r="BE149" s="13">
        <f>BD149*VLOOKUP('Données projet'!$B$11,Paramètres!$A$1:$I$89,3,0)*VLOOKUP('Données projet'!$B$11,Paramètres!$A$1:$I$89,5,0)</f>
        <v>231.26933333333326</v>
      </c>
      <c r="BF149" s="13">
        <f t="shared" si="145"/>
        <v>56.55705309989721</v>
      </c>
      <c r="BG149" s="20">
        <f t="shared" si="115"/>
        <v>501.29762303787646</v>
      </c>
      <c r="BH149" s="59">
        <f t="shared" si="116"/>
        <v>789.36083329597784</v>
      </c>
      <c r="BI149" s="59">
        <f ca="1">AVERAGE(OFFSET($BH$3,0,0,'Données projet'!$E$11+1,1))-AVERAGE(OFFSET($H$3,0,0,'Données projet'!$E$11+1,1))</f>
        <v>411.38162678377478</v>
      </c>
      <c r="BJ149" s="59">
        <f t="shared" si="146"/>
        <v>177.89903563360403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38.013230951918963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38.013230951918963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68.562693706754914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212.00000000000009</v>
      </c>
      <c r="BZ149" s="13">
        <f>BY149*VLOOKUP('Données projet'!$B$12,Paramètres!$A$1:$I$89,3,0)*VLOOKUP('Données projet'!$B$12,Paramètres!$A$1:$I$89,5,0)</f>
        <v>221.58240000000012</v>
      </c>
      <c r="CA149" s="13">
        <f t="shared" si="147"/>
        <v>54.458668952651578</v>
      </c>
      <c r="CB149" s="20">
        <f t="shared" si="118"/>
        <v>480.77152842586838</v>
      </c>
      <c r="CC149" s="59">
        <f t="shared" si="119"/>
        <v>768.83473868396982</v>
      </c>
      <c r="CD149" s="59">
        <f ca="1">AVERAGE(OFFSET($CC$3,0,0,'Données projet'!$E$12+1,1))-AVERAGE(OFFSET($H$3,0,0,'Données projet'!$E$12+1,1))</f>
        <v>374.38550202939507</v>
      </c>
      <c r="CE149" s="59">
        <f t="shared" si="148"/>
        <v>324.37486924296718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7.1852098507317592</v>
      </c>
      <c r="CL149" s="21">
        <f>EXP(-LN(2)/25)*CL148+(1-EXP(-LN(2)/25))/(LN(2)/25)*Calculateur!CG149*Calculateur!CI149*VLOOKUP('Données projet'!$B$12,Paramètres!$A$1:$I$89,3,0)*0.475*44/12</f>
        <v>4.6743369296562776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11.859546780388037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68.562693706754914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5.1063034188034209</v>
      </c>
      <c r="CT149" s="12">
        <f>IF('Données projet'!$A$140&gt;35,CT148+CS149-DB148,IF(A149&lt;'Données projet'!$A$140,$CQ$205^A149,IF(A149='Données projet'!$A$140,'Données projet'!$B$140,CT148+CS149-DB148)))</f>
        <v>287.86698717948673</v>
      </c>
      <c r="CU149" s="17">
        <f>CT149*VLOOKUP('Données projet'!$B$13,Paramètres!$A$1:$I$89,3,0)*VLOOKUP('Données projet'!$B$13,Paramètres!$A$1:$I$89,5,0)</f>
        <v>273.93422499999957</v>
      </c>
      <c r="CV149" s="13">
        <f t="shared" si="149"/>
        <v>65.683506868664253</v>
      </c>
      <c r="CW149" s="20">
        <f t="shared" si="121"/>
        <v>591.50088300458958</v>
      </c>
      <c r="CX149" s="59">
        <f t="shared" si="122"/>
        <v>879.5640932626909</v>
      </c>
      <c r="CY149" s="59">
        <f ca="1">AVERAGE(OFFSET($CX$3,0,0,'Données projet'!$E$13+1,1))-AVERAGE(OFFSET($H$3,0,0,'Données projet'!$E$13+1,1))</f>
        <v>392.81074187112989</v>
      </c>
      <c r="CZ149" s="59">
        <f t="shared" si="150"/>
        <v>236.19146849073687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43.148361982055199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43.148361982055199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68.562693706754914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5.1063034188034209</v>
      </c>
      <c r="DO149" s="12">
        <f>IF('Données projet'!$A$166&gt;35,DO148+DN149-DW148,IF(A149&lt;'Données projet'!$A$166,$DL$205^A149,IF(A149='Données projet'!$A$166,'Données projet'!$B$166,DO148+DN149-DW148)))</f>
        <v>287.86698717948673</v>
      </c>
      <c r="DP149" s="17">
        <f>DO149*VLOOKUP('Données projet'!$B$14,Paramètres!$A$1:$I$89,3,0)*VLOOKUP('Données projet'!$B$14,Paramètres!$A$1:$I$89,5,0)</f>
        <v>309.8600249999995</v>
      </c>
      <c r="DQ149" s="13">
        <f t="shared" si="151"/>
        <v>73.239597052291018</v>
      </c>
      <c r="DR149" s="20">
        <f t="shared" si="124"/>
        <v>667.23184174107257</v>
      </c>
      <c r="DS149" s="59">
        <f t="shared" si="125"/>
        <v>955.29505199917389</v>
      </c>
      <c r="DT149" s="59">
        <f ca="1">AVERAGE(OFFSET($DS$3,0,0,'Données projet'!$E$14+1,1))-AVERAGE(OFFSET($H$3,0,0,'Données projet'!$E$14+1,1))</f>
        <v>434.77799524785502</v>
      </c>
      <c r="DU149" s="59">
        <f t="shared" si="152"/>
        <v>259.85949838170006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48.807163553472286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48.807163553472286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68.562693706754914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5.1063034188034209</v>
      </c>
      <c r="EJ149" s="12">
        <f>IF('Données projet'!$A$192&gt;35,EJ148+EI149-ER148,IF(A149&lt;'Données projet'!$A$192,$EG$205^A149,IF(A149='Données projet'!$A$192,'Données projet'!$B$192,EJ148+EI149-ER148)))</f>
        <v>287.86698717948673</v>
      </c>
      <c r="EK149" s="17">
        <f>EJ149*VLOOKUP('Données projet'!$B$15,Paramètres!$A$1:$I$89,3,0)*VLOOKUP('Données projet'!$B$15,Paramètres!$A$1:$I$89,5,0)</f>
        <v>278.42494999999957</v>
      </c>
      <c r="EL149" s="13">
        <f t="shared" si="153"/>
        <v>66.634046338664206</v>
      </c>
      <c r="EM149" s="20">
        <f t="shared" si="127"/>
        <v>600.97775195650604</v>
      </c>
      <c r="EN149" s="59">
        <f t="shared" si="128"/>
        <v>889.04096221460736</v>
      </c>
      <c r="EO149" s="59">
        <f ca="1">AVERAGE(OFFSET($EN$3,0,0,'Données projet'!$E$15+1,1))-AVERAGE(OFFSET($H$3,0,0,'Données projet'!$E$15+1,1))</f>
        <v>398.06270423055565</v>
      </c>
      <c r="EP149" s="59">
        <f t="shared" si="154"/>
        <v>239.15364562040614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43.855712178482356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43.855712178482356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68.562693706754914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-1.7053025658242404E-13</v>
      </c>
      <c r="FF149" s="17">
        <f>FE149*VLOOKUP('Données projet'!$B$16,Paramètres!$A$1:$I$89,3,0)*VLOOKUP('Données projet'!$B$16,Paramètres!$A$1:$I$89,5,0)</f>
        <v>-1.0197709343628959E-13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334.13861979962491</v>
      </c>
      <c r="FK149" s="59">
        <f t="shared" si="156"/>
        <v>416.48635183664305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27.3971321790379</v>
      </c>
      <c r="FR149" s="21">
        <f>EXP(-LN(2)/25)*FR148+(1-EXP(-LN(2)/25))/(LN(2)/25)*Calculateur!FM149*Calculateur!FO149*VLOOKUP('Données projet'!$B$16,Paramètres!$A$1:$I$89,3,0)*0.475*44/12</f>
        <v>3.6451882371775466</v>
      </c>
      <c r="FS149" s="21">
        <f>EXP(-LN(2)/2)*FS148+(1-EXP(-LN(2)/2))/(LN(2)/2)*FM149*FP149*VLOOKUP('Données projet'!$B$16,Paramètres!$A$1:$I$89,3,0)*0.475*44/12</f>
        <v>1.1484181340736521E-12</v>
      </c>
      <c r="FT149" s="22">
        <f t="shared" si="132"/>
        <v>31.042320416216594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68.562693706754914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3.4106051316484809E-13</v>
      </c>
      <c r="GA149" s="17">
        <f>FZ149*VLOOKUP('Données projet'!$B$17,Paramètres!$A$1:$I$89,3,0)*VLOOKUP('Données projet'!$B$17,Paramètres!$A$1:$I$89,5,0)</f>
        <v>1.5961632016114892E-13</v>
      </c>
      <c r="GB149" s="13">
        <f t="shared" si="157"/>
        <v>2.2708641912150958E-12</v>
      </c>
      <c r="GC149" s="20">
        <f t="shared" si="133"/>
        <v>4.2330868906469593E-12</v>
      </c>
      <c r="GD149" s="59">
        <f t="shared" si="134"/>
        <v>288.06321025810558</v>
      </c>
      <c r="GE149" s="59">
        <f ca="1">AVERAGE(OFFSET($GD$3,0,0,'Données projet'!$E$17+1,1))-AVERAGE(OFFSET($H$3,0,0,'Données projet'!$E$17+1,1))</f>
        <v>317.79829681023142</v>
      </c>
      <c r="GF149" s="59">
        <f t="shared" si="158"/>
        <v>275.07716943523621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77.794859428857734</v>
      </c>
      <c r="GM149" s="21">
        <f>EXP(-LN(2)/25)*GM148+(1-EXP(-LN(2)/25))/(LN(2)/25)*Calculateur!GH149*Calculateur!GJ149*VLOOKUP('Données projet'!$B$17,Paramètres!$A$1:$I$89,3,0)*0.475*44/12</f>
        <v>14.092396428197157</v>
      </c>
      <c r="GN149" s="21">
        <f>EXP(-LN(2)/2)*GN148+(1-EXP(-LN(2)/2))/(LN(2)/2)*GH149*GK149*VLOOKUP('Données projet'!$B$17,Paramètres!$A$1:$I$89,3,0)*0.475*44/12</f>
        <v>1.4961552119725647E-5</v>
      </c>
      <c r="GO149" s="21">
        <f t="shared" si="135"/>
        <v>91.887270818607021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68.562693706754914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>
        <f>GU149*VLOOKUP('Données projet'!$B$18,Paramètres!$A$1:$I$89,3,0)*VLOOKUP('Données projet'!$B$18,Paramètres!$A$1:$I$89,5,0)</f>
        <v>0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336.21787234885699</v>
      </c>
      <c r="HA149" s="59">
        <f t="shared" si="160"/>
        <v>315.36156736899113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46.723859524805242</v>
      </c>
      <c r="HH149" s="21">
        <f>EXP(-LN(2)/25)*HH148+(1-EXP(-LN(2)/25))/(LN(2)/25)*Calculateur!HC149*Calculateur!HE149*VLOOKUP('Données projet'!$B$18,Paramètres!$A$1:$I$89,3,0)*0.475*44/12</f>
        <v>6.7392728368762702</v>
      </c>
      <c r="HI149" s="21">
        <f>EXP(-LN(2)/2)*HI148+(1-EXP(-LN(2)/2))/(LN(2)/2)*HC149*HF149*VLOOKUP('Données projet'!$B$18,Paramètres!$A$1:$I$89,3,0)*0.475*44/12</f>
        <v>1.4490928263826386E-10</v>
      </c>
      <c r="HJ149" s="22">
        <f t="shared" si="138"/>
        <v>53.463132361826418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3.7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13.566666666666668</v>
      </c>
      <c r="H150" s="67">
        <f t="shared" si="110"/>
        <v>202.4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68.587627757607223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5.1431925385259092E-13</v>
      </c>
      <c r="P150" s="13">
        <f t="shared" si="141"/>
        <v>6.3855359115685756E-12</v>
      </c>
      <c r="Q150" s="20">
        <f t="shared" si="108"/>
        <v>1.2017247746441865E-11</v>
      </c>
      <c r="R150" s="59">
        <f t="shared" si="109"/>
        <v>288.15463511123846</v>
      </c>
      <c r="S150" s="59">
        <f ca="1">AVERAGE(OFFSET($R$3,0,0,'Données projet'!$E$9+1,1))-AVERAGE(OFFSET($H$3,0,0,'Données projet'!$E$9+1,1))</f>
        <v>411.64357329340851</v>
      </c>
      <c r="T150" s="59">
        <f t="shared" si="142"/>
        <v>294.07942258675632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124.55076048182224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124.55076048182224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68.587627757607223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5.763922672485933E-13</v>
      </c>
      <c r="AK150" s="13">
        <f t="shared" si="143"/>
        <v>7.0619171555808457E-12</v>
      </c>
      <c r="AL150" s="20">
        <f t="shared" si="112"/>
        <v>1.3303388911427938E-11</v>
      </c>
      <c r="AM150" s="59">
        <f t="shared" si="113"/>
        <v>288.15463511123977</v>
      </c>
      <c r="AN150" s="59">
        <f ca="1">AVERAGE(OFFSET($AM$3,0,0,'Données projet'!$E$10+1,1))-AVERAGE(OFFSET($H$3,0,0,'Données projet'!$E$10+1,1))</f>
        <v>453.05577105995508</v>
      </c>
      <c r="AO150" s="59">
        <f t="shared" si="144"/>
        <v>322.6839824496758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139.58274881583526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139.58274881583526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68.587627757607223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5.0924145299145307</v>
      </c>
      <c r="BD150" s="12">
        <f>IF('Données projet'!$A$88&gt;35,BD149+BC150-BL149,IF(A150&lt;'Données projet'!$A$88,$BA$205^A150,IF(A150='Données projet'!$A$88,'Données projet'!$B$88,BD149+BC150-BL149)))</f>
        <v>236.73237179487171</v>
      </c>
      <c r="BE150" s="13">
        <f>BD150*VLOOKUP('Données projet'!$B$11,Paramètres!$A$1:$I$89,3,0)*VLOOKUP('Données projet'!$B$11,Paramètres!$A$1:$I$89,5,0)</f>
        <v>236.35359999999994</v>
      </c>
      <c r="BF150" s="13">
        <f t="shared" si="145"/>
        <v>57.654292073313307</v>
      </c>
      <c r="BG150" s="20">
        <f t="shared" si="115"/>
        <v>512.06374536102055</v>
      </c>
      <c r="BH150" s="59">
        <f t="shared" si="116"/>
        <v>800.21838047224696</v>
      </c>
      <c r="BI150" s="59">
        <f ca="1">AVERAGE(OFFSET($BH$3,0,0,'Données projet'!$E$11+1,1))-AVERAGE(OFFSET($H$3,0,0,'Données projet'!$E$11+1,1))</f>
        <v>411.38162678377478</v>
      </c>
      <c r="BJ150" s="59">
        <f t="shared" si="146"/>
        <v>177.89903563360403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37.267814678733309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37.267814678733309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68.587627757607223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212.00000000000009</v>
      </c>
      <c r="BZ150" s="13">
        <f>BY150*VLOOKUP('Données projet'!$B$12,Paramètres!$A$1:$I$89,3,0)*VLOOKUP('Données projet'!$B$12,Paramètres!$A$1:$I$89,5,0)</f>
        <v>221.58240000000012</v>
      </c>
      <c r="CA150" s="13">
        <f t="shared" si="147"/>
        <v>54.458668952651578</v>
      </c>
      <c r="CB150" s="20">
        <f t="shared" si="118"/>
        <v>480.77152842586838</v>
      </c>
      <c r="CC150" s="59">
        <f t="shared" si="119"/>
        <v>768.92616353709491</v>
      </c>
      <c r="CD150" s="59">
        <f ca="1">AVERAGE(OFFSET($CC$3,0,0,'Données projet'!$E$12+1,1))-AVERAGE(OFFSET($H$3,0,0,'Données projet'!$E$12+1,1))</f>
        <v>374.38550202939507</v>
      </c>
      <c r="CE150" s="59">
        <f t="shared" si="148"/>
        <v>324.37486924296718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7.0443122681041777</v>
      </c>
      <c r="CL150" s="21">
        <f>EXP(-LN(2)/25)*CL149+(1-EXP(-LN(2)/25))/(LN(2)/25)*Calculateur!CG150*Calculateur!CI150*VLOOKUP('Données projet'!$B$12,Paramètres!$A$1:$I$89,3,0)*0.475*44/12</f>
        <v>4.5465169405021308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11.590829208606308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68.587627757607223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5.1063034188034209</v>
      </c>
      <c r="CT150" s="12">
        <f>IF('Données projet'!$A$140&gt;35,CT149+CS150-DB149,IF(A150&lt;'Données projet'!$A$140,$CQ$205^A150,IF(A150='Données projet'!$A$140,'Données projet'!$B$140,CT149+CS150-DB149)))</f>
        <v>292.97329059829013</v>
      </c>
      <c r="CU150" s="17">
        <f>CT150*VLOOKUP('Données projet'!$B$13,Paramètres!$A$1:$I$89,3,0)*VLOOKUP('Données projet'!$B$13,Paramètres!$A$1:$I$89,5,0)</f>
        <v>278.79338333333288</v>
      </c>
      <c r="CV150" s="13">
        <f t="shared" si="149"/>
        <v>66.711952037340495</v>
      </c>
      <c r="CW150" s="20">
        <f t="shared" si="121"/>
        <v>601.75512577058942</v>
      </c>
      <c r="CX150" s="59">
        <f t="shared" si="122"/>
        <v>889.90976088181583</v>
      </c>
      <c r="CY150" s="59">
        <f ca="1">AVERAGE(OFFSET($CX$3,0,0,'Données projet'!$E$13+1,1))-AVERAGE(OFFSET($H$3,0,0,'Données projet'!$E$13+1,1))</f>
        <v>392.81074187112989</v>
      </c>
      <c r="CZ150" s="59">
        <f t="shared" si="150"/>
        <v>236.19146849073687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42.30224892148923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42.30224892148923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68.587627757607223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5.1063034188034209</v>
      </c>
      <c r="DO150" s="12">
        <f>IF('Données projet'!$A$166&gt;35,DO149+DN150-DW149,IF(A150&lt;'Données projet'!$A$166,$DL$205^A150,IF(A150='Données projet'!$A$166,'Données projet'!$B$166,DO149+DN150-DW149)))</f>
        <v>292.97329059829013</v>
      </c>
      <c r="DP150" s="17">
        <f>DO150*VLOOKUP('Données projet'!$B$14,Paramètres!$A$1:$I$89,3,0)*VLOOKUP('Données projet'!$B$14,Paramètres!$A$1:$I$89,5,0)</f>
        <v>315.35644999999948</v>
      </c>
      <c r="DQ150" s="13">
        <f t="shared" si="151"/>
        <v>74.386352354117903</v>
      </c>
      <c r="DR150" s="20">
        <f t="shared" si="124"/>
        <v>678.80204743342108</v>
      </c>
      <c r="DS150" s="59">
        <f t="shared" si="125"/>
        <v>966.95668254464749</v>
      </c>
      <c r="DT150" s="59">
        <f ca="1">AVERAGE(OFFSET($DS$3,0,0,'Données projet'!$E$14+1,1))-AVERAGE(OFFSET($H$3,0,0,'Données projet'!$E$14+1,1))</f>
        <v>434.77799524785502</v>
      </c>
      <c r="DU150" s="59">
        <f t="shared" si="152"/>
        <v>259.85949838170006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47.850084845618973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47.850084845618973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68.587627757607223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5.1063034188034209</v>
      </c>
      <c r="EJ150" s="12">
        <f>IF('Données projet'!$A$192&gt;35,EJ149+EI150-ER149,IF(A150&lt;'Données projet'!$A$192,$EG$205^A150,IF(A150='Données projet'!$A$192,'Données projet'!$B$192,EJ149+EI150-ER149)))</f>
        <v>292.97329059829013</v>
      </c>
      <c r="EK150" s="17">
        <f>EJ150*VLOOKUP('Données projet'!$B$15,Paramètres!$A$1:$I$89,3,0)*VLOOKUP('Données projet'!$B$15,Paramètres!$A$1:$I$89,5,0)</f>
        <v>283.36376666666621</v>
      </c>
      <c r="EL150" s="13">
        <f t="shared" si="153"/>
        <v>67.677374660998993</v>
      </c>
      <c r="EM150" s="20">
        <f t="shared" si="127"/>
        <v>611.39665447901677</v>
      </c>
      <c r="EN150" s="59">
        <f t="shared" si="128"/>
        <v>899.55128959024319</v>
      </c>
      <c r="EO150" s="59">
        <f ca="1">AVERAGE(OFFSET($EN$3,0,0,'Données projet'!$E$15+1,1))-AVERAGE(OFFSET($H$3,0,0,'Données projet'!$E$15+1,1))</f>
        <v>398.06270423055565</v>
      </c>
      <c r="EP150" s="59">
        <f t="shared" si="154"/>
        <v>239.15364562040614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42.995728412005469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42.995728412005469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68.587627757607223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-1.7053025658242404E-13</v>
      </c>
      <c r="FF150" s="17">
        <f>FE150*VLOOKUP('Données projet'!$B$16,Paramètres!$A$1:$I$89,3,0)*VLOOKUP('Données projet'!$B$16,Paramètres!$A$1:$I$89,5,0)</f>
        <v>-1.0197709343628959E-13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334.13861979962491</v>
      </c>
      <c r="FK150" s="59">
        <f t="shared" si="156"/>
        <v>416.48635183664305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26.859891127607561</v>
      </c>
      <c r="FR150" s="21">
        <f>EXP(-LN(2)/25)*FR149+(1-EXP(-LN(2)/25))/(LN(2)/25)*Calculateur!FM150*Calculateur!FO150*VLOOKUP('Données projet'!$B$16,Paramètres!$A$1:$I$89,3,0)*0.475*44/12</f>
        <v>3.5455103731398085</v>
      </c>
      <c r="FS150" s="21">
        <f>EXP(-LN(2)/2)*FS149+(1-EXP(-LN(2)/2))/(LN(2)/2)*FM150*FP150*VLOOKUP('Données projet'!$B$16,Paramètres!$A$1:$I$89,3,0)*0.475*44/12</f>
        <v>8.1205425024108113E-13</v>
      </c>
      <c r="FT150" s="22">
        <f t="shared" si="132"/>
        <v>30.405401500748184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68.587627757607223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3.4106051316484809E-13</v>
      </c>
      <c r="GA150" s="17">
        <f>FZ150*VLOOKUP('Données projet'!$B$17,Paramètres!$A$1:$I$89,3,0)*VLOOKUP('Données projet'!$B$17,Paramètres!$A$1:$I$89,5,0)</f>
        <v>1.5961632016114892E-13</v>
      </c>
      <c r="GB150" s="13">
        <f t="shared" si="157"/>
        <v>2.2708641912150958E-12</v>
      </c>
      <c r="GC150" s="20">
        <f t="shared" si="133"/>
        <v>4.2330868906469593E-12</v>
      </c>
      <c r="GD150" s="59">
        <f t="shared" si="134"/>
        <v>288.15463511123068</v>
      </c>
      <c r="GE150" s="59">
        <f ca="1">AVERAGE(OFFSET($GD$3,0,0,'Données projet'!$E$17+1,1))-AVERAGE(OFFSET($H$3,0,0,'Données projet'!$E$17+1,1))</f>
        <v>317.79829681023142</v>
      </c>
      <c r="GF150" s="59">
        <f t="shared" si="158"/>
        <v>275.07716943523621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76.269349685636769</v>
      </c>
      <c r="GM150" s="21">
        <f>EXP(-LN(2)/25)*GM149+(1-EXP(-LN(2)/25))/(LN(2)/25)*Calculateur!GH150*Calculateur!GJ150*VLOOKUP('Données projet'!$B$17,Paramètres!$A$1:$I$89,3,0)*0.475*44/12</f>
        <v>13.707039106781187</v>
      </c>
      <c r="GN150" s="21">
        <f>EXP(-LN(2)/2)*GN149+(1-EXP(-LN(2)/2))/(LN(2)/2)*GH150*GK150*VLOOKUP('Données projet'!$B$17,Paramètres!$A$1:$I$89,3,0)*0.475*44/12</f>
        <v>1.057941496093397E-5</v>
      </c>
      <c r="GO150" s="21">
        <f t="shared" si="135"/>
        <v>89.976399371832912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68.587627757607223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>
        <f>GU150*VLOOKUP('Données projet'!$B$18,Paramètres!$A$1:$I$89,3,0)*VLOOKUP('Données projet'!$B$18,Paramètres!$A$1:$I$89,5,0)</f>
        <v>0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336.21787234885699</v>
      </c>
      <c r="HA150" s="59">
        <f t="shared" si="160"/>
        <v>315.36156736899113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45.807633138264102</v>
      </c>
      <c r="HH150" s="21">
        <f>EXP(-LN(2)/25)*HH149+(1-EXP(-LN(2)/25))/(LN(2)/25)*Calculateur!HC150*Calculateur!HE150*VLOOKUP('Données projet'!$B$18,Paramètres!$A$1:$I$89,3,0)*0.475*44/12</f>
        <v>6.5549870667489332</v>
      </c>
      <c r="HI150" s="21">
        <f>EXP(-LN(2)/2)*HI149+(1-EXP(-LN(2)/2))/(LN(2)/2)*HC150*HF150*VLOOKUP('Données projet'!$B$18,Paramètres!$A$1:$I$89,3,0)*0.475*44/12</f>
        <v>1.0246633641039442E-10</v>
      </c>
      <c r="HJ150" s="22">
        <f t="shared" si="138"/>
        <v>52.362620205115505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3.7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13.566666666666668</v>
      </c>
      <c r="H151" s="67">
        <f t="shared" si="110"/>
        <v>202.4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68.612129258421447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5.1431925385259092E-13</v>
      </c>
      <c r="P151" s="13">
        <f t="shared" si="141"/>
        <v>6.3855359115685756E-12</v>
      </c>
      <c r="Q151" s="20">
        <f t="shared" si="108"/>
        <v>1.2017247746441865E-11</v>
      </c>
      <c r="R151" s="59">
        <f t="shared" si="109"/>
        <v>288.24447394755731</v>
      </c>
      <c r="S151" s="59">
        <f ca="1">AVERAGE(OFFSET($R$3,0,0,'Données projet'!$E$9+1,1))-AVERAGE(OFFSET($H$3,0,0,'Données projet'!$E$9+1,1))</f>
        <v>411.64357329340851</v>
      </c>
      <c r="T151" s="59">
        <f t="shared" si="142"/>
        <v>294.07942258675632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122.10839603723633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122.10839603723633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68.612129258421447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5.763922672485933E-13</v>
      </c>
      <c r="AK151" s="13">
        <f t="shared" si="143"/>
        <v>7.0619171555808457E-12</v>
      </c>
      <c r="AL151" s="20">
        <f t="shared" si="112"/>
        <v>1.3303388911427938E-11</v>
      </c>
      <c r="AM151" s="59">
        <f t="shared" si="113"/>
        <v>288.24447394755862</v>
      </c>
      <c r="AN151" s="59">
        <f ca="1">AVERAGE(OFFSET($AM$3,0,0,'Données projet'!$E$10+1,1))-AVERAGE(OFFSET($H$3,0,0,'Données projet'!$E$10+1,1))</f>
        <v>453.05577105995508</v>
      </c>
      <c r="AO151" s="59">
        <f t="shared" si="144"/>
        <v>322.6839824496758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136.84561624862692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136.84561624862692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68.612129258421447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5.0924145299145307</v>
      </c>
      <c r="BD151" s="12">
        <f>IF('Données projet'!$A$88&gt;35,BD150+BC151-BL150,IF(A151&lt;'Données projet'!$A$88,$BA$205^A151,IF(A151='Données projet'!$A$88,'Données projet'!$B$88,BD150+BC151-BL150)))</f>
        <v>241.82478632478623</v>
      </c>
      <c r="BE151" s="13">
        <f>BD151*VLOOKUP('Données projet'!$B$11,Paramètres!$A$1:$I$89,3,0)*VLOOKUP('Données projet'!$B$11,Paramètres!$A$1:$I$89,5,0)</f>
        <v>241.43786666666659</v>
      </c>
      <c r="BF151" s="13">
        <f t="shared" si="145"/>
        <v>58.748786869824862</v>
      </c>
      <c r="BG151" s="20">
        <f t="shared" si="115"/>
        <v>522.82508824272259</v>
      </c>
      <c r="BH151" s="59">
        <f t="shared" si="116"/>
        <v>811.0695621902679</v>
      </c>
      <c r="BI151" s="59">
        <f ca="1">AVERAGE(OFFSET($BH$3,0,0,'Données projet'!$E$11+1,1))-AVERAGE(OFFSET($H$3,0,0,'Données projet'!$E$11+1,1))</f>
        <v>411.38162678377478</v>
      </c>
      <c r="BJ151" s="59">
        <f t="shared" si="146"/>
        <v>177.89903563360403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36.537015564005792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36.537015564005792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68.612129258421447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212.00000000000009</v>
      </c>
      <c r="BZ151" s="13">
        <f>BY151*VLOOKUP('Données projet'!$B$12,Paramètres!$A$1:$I$89,3,0)*VLOOKUP('Données projet'!$B$12,Paramètres!$A$1:$I$89,5,0)</f>
        <v>221.58240000000012</v>
      </c>
      <c r="CA151" s="13">
        <f t="shared" si="147"/>
        <v>54.458668952651578</v>
      </c>
      <c r="CB151" s="20">
        <f t="shared" si="118"/>
        <v>480.77152842586838</v>
      </c>
      <c r="CC151" s="59">
        <f t="shared" si="119"/>
        <v>769.0160023734137</v>
      </c>
      <c r="CD151" s="59">
        <f ca="1">AVERAGE(OFFSET($CC$3,0,0,'Données projet'!$E$12+1,1))-AVERAGE(OFFSET($H$3,0,0,'Données projet'!$E$12+1,1))</f>
        <v>374.38550202939507</v>
      </c>
      <c r="CE151" s="59">
        <f t="shared" si="148"/>
        <v>324.37486924296718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6.9061776011328835</v>
      </c>
      <c r="CL151" s="21">
        <f>EXP(-LN(2)/25)*CL150+(1-EXP(-LN(2)/25))/(LN(2)/25)*Calculateur!CG151*Calculateur!CI151*VLOOKUP('Données projet'!$B$12,Paramètres!$A$1:$I$89,3,0)*0.475*44/12</f>
        <v>4.4221921956731656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11.328369796806049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68.612129258421447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5.1063034188034209</v>
      </c>
      <c r="CT151" s="12">
        <f>IF('Données projet'!$A$140&gt;35,CT150+CS151-DB150,IF(A151&lt;'Données projet'!$A$140,$CQ$205^A151,IF(A151='Données projet'!$A$140,'Données projet'!$B$140,CT150+CS151-DB150)))</f>
        <v>298.07959401709354</v>
      </c>
      <c r="CU151" s="17">
        <f>CT151*VLOOKUP('Données projet'!$B$13,Paramètres!$A$1:$I$89,3,0)*VLOOKUP('Données projet'!$B$13,Paramètres!$A$1:$I$89,5,0)</f>
        <v>283.6525416666662</v>
      </c>
      <c r="CV151" s="13">
        <f t="shared" si="149"/>
        <v>67.738312736773068</v>
      </c>
      <c r="CW151" s="20">
        <f t="shared" si="121"/>
        <v>612.00573808599006</v>
      </c>
      <c r="CX151" s="59">
        <f t="shared" si="122"/>
        <v>900.25021203353538</v>
      </c>
      <c r="CY151" s="59">
        <f ca="1">AVERAGE(OFFSET($CX$3,0,0,'Données projet'!$E$13+1,1))-AVERAGE(OFFSET($H$3,0,0,'Données projet'!$E$13+1,1))</f>
        <v>392.81074187112989</v>
      </c>
      <c r="CZ151" s="59">
        <f t="shared" si="150"/>
        <v>236.19146849073687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41.472727621962953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41.472727621962953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68.612129258421447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5.1063034188034209</v>
      </c>
      <c r="DO151" s="12">
        <f>IF('Données projet'!$A$166&gt;35,DO150+DN151-DW150,IF(A151&lt;'Données projet'!$A$166,$DL$205^A151,IF(A151='Données projet'!$A$166,'Données projet'!$B$166,DO150+DN151-DW150)))</f>
        <v>298.07959401709354</v>
      </c>
      <c r="DP151" s="17">
        <f>DO151*VLOOKUP('Données projet'!$B$14,Paramètres!$A$1:$I$89,3,0)*VLOOKUP('Données projet'!$B$14,Paramètres!$A$1:$I$89,5,0)</f>
        <v>320.85287499999947</v>
      </c>
      <c r="DQ151" s="13">
        <f t="shared" si="151"/>
        <v>75.530783393816336</v>
      </c>
      <c r="DR151" s="20">
        <f t="shared" si="124"/>
        <v>690.36820503589581</v>
      </c>
      <c r="DS151" s="59">
        <f t="shared" si="125"/>
        <v>978.61267898344113</v>
      </c>
      <c r="DT151" s="59">
        <f ca="1">AVERAGE(OFFSET($DS$3,0,0,'Données projet'!$E$14+1,1))-AVERAGE(OFFSET($H$3,0,0,'Données projet'!$E$14+1,1))</f>
        <v>434.77799524785502</v>
      </c>
      <c r="DU151" s="59">
        <f t="shared" si="152"/>
        <v>259.85949838170006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46.911773867466295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46.911773867466295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68.612129258421447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5.1063034188034209</v>
      </c>
      <c r="EJ151" s="12">
        <f>IF('Données projet'!$A$192&gt;35,EJ150+EI151-ER150,IF(A151&lt;'Données projet'!$A$192,$EG$205^A151,IF(A151='Données projet'!$A$192,'Données projet'!$B$192,EJ150+EI151-ER150)))</f>
        <v>298.07959401709354</v>
      </c>
      <c r="EK151" s="17">
        <f>EJ151*VLOOKUP('Données projet'!$B$15,Paramètres!$A$1:$I$89,3,0)*VLOOKUP('Données projet'!$B$15,Paramètres!$A$1:$I$89,5,0)</f>
        <v>288.3025833333329</v>
      </c>
      <c r="EL151" s="13">
        <f t="shared" si="153"/>
        <v>68.718588348674373</v>
      </c>
      <c r="EM151" s="20">
        <f t="shared" si="127"/>
        <v>621.81187401282932</v>
      </c>
      <c r="EN151" s="59">
        <f t="shared" si="128"/>
        <v>910.05634796037464</v>
      </c>
      <c r="EO151" s="59">
        <f ca="1">AVERAGE(OFFSET($EN$3,0,0,'Données projet'!$E$15+1,1))-AVERAGE(OFFSET($H$3,0,0,'Données projet'!$E$15+1,1))</f>
        <v>398.06270423055565</v>
      </c>
      <c r="EP151" s="59">
        <f t="shared" si="154"/>
        <v>239.15364562040614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42.152608402650891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42.152608402650891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68.612129258421447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-1.7053025658242404E-13</v>
      </c>
      <c r="FF151" s="17">
        <f>FE151*VLOOKUP('Données projet'!$B$16,Paramètres!$A$1:$I$89,3,0)*VLOOKUP('Données projet'!$B$16,Paramètres!$A$1:$I$89,5,0)</f>
        <v>-1.0197709343628959E-13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334.13861979962491</v>
      </c>
      <c r="FK151" s="59">
        <f t="shared" si="156"/>
        <v>416.48635183664305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26.333185045511087</v>
      </c>
      <c r="FR151" s="21">
        <f>EXP(-LN(2)/25)*FR150+(1-EXP(-LN(2)/25))/(LN(2)/25)*Calculateur!FM151*Calculateur!FO151*VLOOKUP('Données projet'!$B$16,Paramètres!$A$1:$I$89,3,0)*0.475*44/12</f>
        <v>3.4485582055360133</v>
      </c>
      <c r="FS151" s="21">
        <f>EXP(-LN(2)/2)*FS150+(1-EXP(-LN(2)/2))/(LN(2)/2)*FM151*FP151*VLOOKUP('Données projet'!$B$16,Paramètres!$A$1:$I$89,3,0)*0.475*44/12</f>
        <v>5.7420906703682605E-13</v>
      </c>
      <c r="FT151" s="22">
        <f t="shared" si="132"/>
        <v>29.781743251047676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68.612129258421447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3.4106051316484809E-13</v>
      </c>
      <c r="GA151" s="17">
        <f>FZ151*VLOOKUP('Données projet'!$B$17,Paramètres!$A$1:$I$89,3,0)*VLOOKUP('Données projet'!$B$17,Paramètres!$A$1:$I$89,5,0)</f>
        <v>1.5961632016114892E-13</v>
      </c>
      <c r="GB151" s="13">
        <f t="shared" si="157"/>
        <v>2.2708641912150958E-12</v>
      </c>
      <c r="GC151" s="20">
        <f t="shared" si="133"/>
        <v>4.2330868906469593E-12</v>
      </c>
      <c r="GD151" s="59">
        <f t="shared" si="134"/>
        <v>288.24447394754952</v>
      </c>
      <c r="GE151" s="59">
        <f ca="1">AVERAGE(OFFSET($GD$3,0,0,'Données projet'!$E$17+1,1))-AVERAGE(OFFSET($H$3,0,0,'Données projet'!$E$17+1,1))</f>
        <v>317.79829681023142</v>
      </c>
      <c r="GF151" s="59">
        <f t="shared" si="158"/>
        <v>275.07716943523621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74.773754258011294</v>
      </c>
      <c r="GM151" s="21">
        <f>EXP(-LN(2)/25)*GM150+(1-EXP(-LN(2)/25))/(LN(2)/25)*Calculateur!GH151*Calculateur!GJ151*VLOOKUP('Données projet'!$B$17,Paramètres!$A$1:$I$89,3,0)*0.475*44/12</f>
        <v>13.332219401584396</v>
      </c>
      <c r="GN151" s="21">
        <f>EXP(-LN(2)/2)*GN150+(1-EXP(-LN(2)/2))/(LN(2)/2)*GH151*GK151*VLOOKUP('Données projet'!$B$17,Paramètres!$A$1:$I$89,3,0)*0.475*44/12</f>
        <v>7.4807760598628243E-6</v>
      </c>
      <c r="GO151" s="21">
        <f t="shared" si="135"/>
        <v>88.105981140371753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68.612129258421447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>
        <f>GU151*VLOOKUP('Données projet'!$B$18,Paramètres!$A$1:$I$89,3,0)*VLOOKUP('Données projet'!$B$18,Paramètres!$A$1:$I$89,5,0)</f>
        <v>0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336.21787234885699</v>
      </c>
      <c r="HA151" s="59">
        <f t="shared" si="160"/>
        <v>315.36156736899113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44.90937339232012</v>
      </c>
      <c r="HH151" s="21">
        <f>EXP(-LN(2)/25)*HH150+(1-EXP(-LN(2)/25))/(LN(2)/25)*Calculateur!HC151*Calculateur!HE151*VLOOKUP('Données projet'!$B$18,Paramètres!$A$1:$I$89,3,0)*0.475*44/12</f>
        <v>6.3757406006968953</v>
      </c>
      <c r="HI151" s="21">
        <f>EXP(-LN(2)/2)*HI150+(1-EXP(-LN(2)/2))/(LN(2)/2)*HC151*HF151*VLOOKUP('Données projet'!$B$18,Paramètres!$A$1:$I$89,3,0)*0.475*44/12</f>
        <v>7.2454641319131931E-11</v>
      </c>
      <c r="HJ151" s="22">
        <f t="shared" si="138"/>
        <v>51.285113993089467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3.7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13.566666666666668</v>
      </c>
      <c r="H152" s="67">
        <f t="shared" si="110"/>
        <v>202.4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68.636205712973691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5.1431925385259092E-13</v>
      </c>
      <c r="P152" s="13">
        <f t="shared" si="141"/>
        <v>6.3855359115685756E-12</v>
      </c>
      <c r="Q152" s="20">
        <f t="shared" si="108"/>
        <v>1.2017247746441865E-11</v>
      </c>
      <c r="R152" s="59">
        <f t="shared" si="109"/>
        <v>288.33275428091554</v>
      </c>
      <c r="S152" s="59">
        <f ca="1">AVERAGE(OFFSET($R$3,0,0,'Données projet'!$E$9+1,1))-AVERAGE(OFFSET($H$3,0,0,'Données projet'!$E$9+1,1))</f>
        <v>411.64357329340851</v>
      </c>
      <c r="T152" s="59">
        <f t="shared" si="142"/>
        <v>294.07942258675632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119.71392486971354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119.71392486971354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68.636205712973691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5.763922672485933E-13</v>
      </c>
      <c r="AK152" s="13">
        <f t="shared" si="143"/>
        <v>7.0619171555808457E-12</v>
      </c>
      <c r="AL152" s="20">
        <f t="shared" si="112"/>
        <v>1.3303388911427938E-11</v>
      </c>
      <c r="AM152" s="59">
        <f t="shared" si="113"/>
        <v>288.33275428091684</v>
      </c>
      <c r="AN152" s="59">
        <f ca="1">AVERAGE(OFFSET($AM$3,0,0,'Données projet'!$E$10+1,1))-AVERAGE(OFFSET($H$3,0,0,'Données projet'!$E$10+1,1))</f>
        <v>453.05577105995508</v>
      </c>
      <c r="AO152" s="59">
        <f t="shared" si="144"/>
        <v>322.6839824496758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134.16215718157554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134.16215718157554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68.636205712973691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5.0924145299145307</v>
      </c>
      <c r="BD152" s="12">
        <f>IF('Données projet'!$A$88&gt;35,BD151+BC152-BL151,IF(A152&lt;'Données projet'!$A$88,$BA$205^A152,IF(A152='Données projet'!$A$88,'Données projet'!$B$88,BD151+BC152-BL151)))</f>
        <v>246.91720085470075</v>
      </c>
      <c r="BE152" s="13">
        <f>BD152*VLOOKUP('Données projet'!$B$11,Paramètres!$A$1:$I$89,3,0)*VLOOKUP('Données projet'!$B$11,Paramètres!$A$1:$I$89,5,0)</f>
        <v>246.52213333333324</v>
      </c>
      <c r="BF152" s="13">
        <f t="shared" si="145"/>
        <v>59.84060193417973</v>
      </c>
      <c r="BG152" s="20">
        <f t="shared" si="115"/>
        <v>533.58176392425173</v>
      </c>
      <c r="BH152" s="59">
        <f t="shared" si="116"/>
        <v>821.91451820515522</v>
      </c>
      <c r="BI152" s="59">
        <f ca="1">AVERAGE(OFFSET($BH$3,0,0,'Données projet'!$E$11+1,1))-AVERAGE(OFFSET($H$3,0,0,'Données projet'!$E$11+1,1))</f>
        <v>411.38162678377478</v>
      </c>
      <c r="BJ152" s="59">
        <f t="shared" si="146"/>
        <v>177.89903563360403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35.820546974174633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35.820546974174633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68.636205712973691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212.00000000000009</v>
      </c>
      <c r="BZ152" s="13">
        <f>BY152*VLOOKUP('Données projet'!$B$12,Paramètres!$A$1:$I$89,3,0)*VLOOKUP('Données projet'!$B$12,Paramètres!$A$1:$I$89,5,0)</f>
        <v>221.58240000000012</v>
      </c>
      <c r="CA152" s="13">
        <f t="shared" si="147"/>
        <v>54.458668952651578</v>
      </c>
      <c r="CB152" s="20">
        <f t="shared" si="118"/>
        <v>480.77152842586838</v>
      </c>
      <c r="CC152" s="59">
        <f t="shared" si="119"/>
        <v>769.10428270677198</v>
      </c>
      <c r="CD152" s="59">
        <f ca="1">AVERAGE(OFFSET($CC$3,0,0,'Données projet'!$E$12+1,1))-AVERAGE(OFFSET($H$3,0,0,'Données projet'!$E$12+1,1))</f>
        <v>374.38550202939507</v>
      </c>
      <c r="CE152" s="59">
        <f t="shared" si="148"/>
        <v>324.37486924296718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6.7707516707270692</v>
      </c>
      <c r="CL152" s="21">
        <f>EXP(-LN(2)/25)*CL151+(1-EXP(-LN(2)/25))/(LN(2)/25)*Calculateur!CG152*Calculateur!CI152*VLOOKUP('Données projet'!$B$12,Paramètres!$A$1:$I$89,3,0)*0.475*44/12</f>
        <v>4.3012671175295027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11.072018788256571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68.636205712973691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>
        <f>VLOOKUP(A152,'Données projet'!$A$139:$I$159,2,0)</f>
        <v>303.18589743589746</v>
      </c>
      <c r="CR152" s="12">
        <f>VLOOKUP(A152,'Données projet'!$A$139:$I$159,9,0)</f>
        <v>5.1063034188034209</v>
      </c>
      <c r="CS152" s="12">
        <f t="array" ref="CS152">INDEX(CR:CR,MIN(IF(ISNUMBER(CR152:CR348),ROW(CR152:CR348),"")))</f>
        <v>5.1063034188034209</v>
      </c>
      <c r="CT152" s="12">
        <f>IF('Données projet'!$A$140&gt;35,CT151+CS152-DB151,IF(A152&lt;'Données projet'!$A$140,$CQ$205^A152,IF(A152='Données projet'!$A$140,'Données projet'!$B$140,CT151+CS152-DB151)))</f>
        <v>303.18589743589695</v>
      </c>
      <c r="CU152" s="17">
        <f>CT152*VLOOKUP('Données projet'!$B$13,Paramètres!$A$1:$I$89,3,0)*VLOOKUP('Données projet'!$B$13,Paramètres!$A$1:$I$89,5,0)</f>
        <v>288.51169999999956</v>
      </c>
      <c r="CV152" s="13">
        <f t="shared" si="149"/>
        <v>68.762628795978529</v>
      </c>
      <c r="CW152" s="20">
        <f t="shared" si="121"/>
        <v>622.25278931966182</v>
      </c>
      <c r="CX152" s="59">
        <f t="shared" si="122"/>
        <v>910.58554360056542</v>
      </c>
      <c r="CY152" s="59">
        <f ca="1">AVERAGE(OFFSET($CX$3,0,0,'Données projet'!$E$13+1,1))-AVERAGE(OFFSET($H$3,0,0,'Données projet'!$E$13+1,1))</f>
        <v>392.81074187112989</v>
      </c>
      <c r="CZ152" s="59">
        <f t="shared" si="150"/>
        <v>236.19146849073687</v>
      </c>
      <c r="DA152" s="15">
        <f>IF(ISNA(VLOOKUP(A152,'Données projet'!$A$139:$I$159,3,0)),0,VLOOKUP(A152,'Données projet'!$A$139:$I$159,3,0))</f>
        <v>12</v>
      </c>
      <c r="DB152" s="15">
        <f>IF(ISNA(VLOOKUP(A152,'Données projet'!$A$139:$I$159,4,0)),0,VLOOKUP(A152,'Données projet'!$A$139:$I$159,4,0))</f>
        <v>120.50641025641026</v>
      </c>
      <c r="DC152" s="16">
        <f>IF(ISNA(VLOOKUP(A152,'Données projet'!$A$139:$I$159,5,0)),0%,VLOOKUP(A152,'Données projet'!$A$139:$I$159,5,0)*VLOOKUP('Données projet'!$B$13,Paramètres!$A$1:$I$89,7,0))</f>
        <v>0.38700000000000001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89.718920834549976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89.718920834549976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68.636205712973691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>
        <f>VLOOKUP(A152,'Données projet'!$A$165:$I$185,2,0)</f>
        <v>303.18589743589746</v>
      </c>
      <c r="DM152" s="12">
        <f>VLOOKUP(A152,'Données projet'!$A$165:$I$185,9,0)</f>
        <v>5.1063034188034209</v>
      </c>
      <c r="DN152" s="12">
        <f t="array" ref="DN152">INDEX(DM:DM,MIN(IF(ISNUMBER(DM152:DM348),ROW(DM152:DM348),"")))</f>
        <v>5.1063034188034209</v>
      </c>
      <c r="DO152" s="12">
        <f>IF('Données projet'!$A$166&gt;35,DO151+DN152-DW151,IF(A152&lt;'Données projet'!$A$166,$DL$205^A152,IF(A152='Données projet'!$A$166,'Données projet'!$B$166,DO151+DN152-DW151)))</f>
        <v>303.18589743589695</v>
      </c>
      <c r="DP152" s="17">
        <f>DO152*VLOOKUP('Données projet'!$B$14,Paramètres!$A$1:$I$89,3,0)*VLOOKUP('Données projet'!$B$14,Paramètres!$A$1:$I$89,5,0)</f>
        <v>326.34929999999946</v>
      </c>
      <c r="DQ152" s="13">
        <f t="shared" si="151"/>
        <v>76.672934582247976</v>
      </c>
      <c r="DR152" s="20">
        <f t="shared" si="124"/>
        <v>701.93039189741421</v>
      </c>
      <c r="DS152" s="59">
        <f t="shared" si="125"/>
        <v>990.26314617831781</v>
      </c>
      <c r="DT152" s="59">
        <f ca="1">AVERAGE(OFFSET($DS$3,0,0,'Données projet'!$E$14+1,1))-AVERAGE(OFFSET($H$3,0,0,'Données projet'!$E$14+1,1))</f>
        <v>434.77799524785502</v>
      </c>
      <c r="DU152" s="59">
        <f t="shared" si="152"/>
        <v>259.85949838170006</v>
      </c>
      <c r="DV152" s="15">
        <f>IF(ISNA(VLOOKUP(A152,'Données projet'!$A$165:$I$185,3,0)),0,VLOOKUP(A152,'Données projet'!$A$165:$I$185,3,0))</f>
        <v>12</v>
      </c>
      <c r="DW152" s="15">
        <f>IF(ISNA(VLOOKUP(A152,'Données projet'!$A$165:$I$185,4,0)),0,VLOOKUP(A152,'Données projet'!$A$165:$I$185,4,0))</f>
        <v>120.50641025641026</v>
      </c>
      <c r="DX152" s="16">
        <f>IF(ISNA(VLOOKUP(A152,'Données projet'!$A$165:$I$185,5,0)),0%,VLOOKUP(A152,'Données projet'!$A$165:$I$185,5,0)*VLOOKUP('Données projet'!$B$14,Paramètres!$A$1:$I$89,7,0))</f>
        <v>0.38700000000000001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101.48533668170407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101.48533668170407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68.636205712973691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>
        <f>VLOOKUP(A152,'Données projet'!$A$191:$I$211,2,0)</f>
        <v>303.18589743589746</v>
      </c>
      <c r="EH152" s="12">
        <f>VLOOKUP(A152,'Données projet'!$A$191:$I$211,9,0)</f>
        <v>5.1063034188034209</v>
      </c>
      <c r="EI152" s="12">
        <f t="array" ref="EI152">INDEX(EH:EH,MIN(IF(ISNUMBER(EH152:EH348),ROW(EH152:EH348),"")))</f>
        <v>5.1063034188034209</v>
      </c>
      <c r="EJ152" s="12">
        <f>IF('Données projet'!$A$192&gt;35,EJ151+EI152-ER151,IF(A152&lt;'Données projet'!$A$192,$EG$205^A152,IF(A152='Données projet'!$A$192,'Données projet'!$B$192,EJ151+EI152-ER151)))</f>
        <v>303.18589743589695</v>
      </c>
      <c r="EK152" s="17">
        <f>EJ152*VLOOKUP('Données projet'!$B$15,Paramètres!$A$1:$I$89,3,0)*VLOOKUP('Données projet'!$B$15,Paramètres!$A$1:$I$89,5,0)</f>
        <v>293.24139999999954</v>
      </c>
      <c r="EL152" s="13">
        <f t="shared" si="153"/>
        <v>69.75772780709292</v>
      </c>
      <c r="EM152" s="20">
        <f t="shared" si="127"/>
        <v>632.22348093068604</v>
      </c>
      <c r="EN152" s="59">
        <f t="shared" si="128"/>
        <v>920.55623521158964</v>
      </c>
      <c r="EO152" s="59">
        <f ca="1">AVERAGE(OFFSET($EN$3,0,0,'Données projet'!$E$15+1,1))-AVERAGE(OFFSET($H$3,0,0,'Données projet'!$E$15+1,1))</f>
        <v>398.06270423055565</v>
      </c>
      <c r="EP152" s="59">
        <f t="shared" si="154"/>
        <v>239.15364562040614</v>
      </c>
      <c r="EQ152" s="15">
        <f>IF(ISNA(VLOOKUP(A152,'Données projet'!$A$191:$I$211,3,0)),0,VLOOKUP(A152,'Données projet'!$A$191:$I$211,3,0))</f>
        <v>12</v>
      </c>
      <c r="ER152" s="15">
        <f>IF(ISNA(VLOOKUP(A152,'Données projet'!$A$191:$I$211,4,0)),0,VLOOKUP(A152,'Données projet'!$A$191:$I$211,4,0))</f>
        <v>120.50641025641026</v>
      </c>
      <c r="ES152" s="16">
        <f>IF(ISNA(VLOOKUP(A152,'Données projet'!$A$191:$I$211,5,0)),0%,VLOOKUP(A152,'Données projet'!$A$191:$I$211,5,0)*VLOOKUP('Données projet'!$B$15,Paramètres!$A$1:$I$89,7,0))</f>
        <v>0.38700000000000001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91.18972281544427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91.18972281544427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68.636205712973691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-1.7053025658242404E-13</v>
      </c>
      <c r="FF152" s="17">
        <f>FE152*VLOOKUP('Données projet'!$B$16,Paramètres!$A$1:$I$89,3,0)*VLOOKUP('Données projet'!$B$16,Paramètres!$A$1:$I$89,5,0)</f>
        <v>-1.0197709343628959E-13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334.13861979962491</v>
      </c>
      <c r="FK152" s="59">
        <f t="shared" si="156"/>
        <v>416.48635183664305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25.816807348425534</v>
      </c>
      <c r="FR152" s="21">
        <f>EXP(-LN(2)/25)*FR151+(1-EXP(-LN(2)/25))/(LN(2)/25)*Calculateur!FM152*Calculateur!FO152*VLOOKUP('Données projet'!$B$16,Paramètres!$A$1:$I$89,3,0)*0.475*44/12</f>
        <v>3.3542572000538367</v>
      </c>
      <c r="FS152" s="21">
        <f>EXP(-LN(2)/2)*FS151+(1-EXP(-LN(2)/2))/(LN(2)/2)*FM152*FP152*VLOOKUP('Données projet'!$B$16,Paramètres!$A$1:$I$89,3,0)*0.475*44/12</f>
        <v>4.0602712512054057E-13</v>
      </c>
      <c r="FT152" s="22">
        <f t="shared" si="132"/>
        <v>29.171064548479777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68.636205712973691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3.4106051316484809E-13</v>
      </c>
      <c r="GA152" s="17">
        <f>FZ152*VLOOKUP('Données projet'!$B$17,Paramètres!$A$1:$I$89,3,0)*VLOOKUP('Données projet'!$B$17,Paramètres!$A$1:$I$89,5,0)</f>
        <v>1.5961632016114892E-13</v>
      </c>
      <c r="GB152" s="13">
        <f t="shared" si="157"/>
        <v>2.2708641912150958E-12</v>
      </c>
      <c r="GC152" s="20">
        <f t="shared" si="133"/>
        <v>4.2330868906469593E-12</v>
      </c>
      <c r="GD152" s="59">
        <f t="shared" si="134"/>
        <v>288.33275428090775</v>
      </c>
      <c r="GE152" s="59">
        <f ca="1">AVERAGE(OFFSET($GD$3,0,0,'Données projet'!$E$17+1,1))-AVERAGE(OFFSET($H$3,0,0,'Données projet'!$E$17+1,1))</f>
        <v>317.79829681023142</v>
      </c>
      <c r="GF152" s="59">
        <f t="shared" si="158"/>
        <v>275.07716943523621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73.307486544498431</v>
      </c>
      <c r="GM152" s="21">
        <f>EXP(-LN(2)/25)*GM151+(1-EXP(-LN(2)/25))/(LN(2)/25)*Calculateur!GH152*Calculateur!GJ152*VLOOKUP('Données projet'!$B$17,Paramètres!$A$1:$I$89,3,0)*0.475*44/12</f>
        <v>12.967649160937123</v>
      </c>
      <c r="GN152" s="21">
        <f>EXP(-LN(2)/2)*GN151+(1-EXP(-LN(2)/2))/(LN(2)/2)*GH152*GK152*VLOOKUP('Données projet'!$B$17,Paramètres!$A$1:$I$89,3,0)*0.475*44/12</f>
        <v>5.2897074804669857E-6</v>
      </c>
      <c r="GO152" s="21">
        <f t="shared" si="135"/>
        <v>86.275140995143033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68.636205712973691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>
        <f>GU152*VLOOKUP('Données projet'!$B$18,Paramètres!$A$1:$I$89,3,0)*VLOOKUP('Données projet'!$B$18,Paramètres!$A$1:$I$89,5,0)</f>
        <v>0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336.21787234885699</v>
      </c>
      <c r="HA152" s="59">
        <f t="shared" si="160"/>
        <v>315.36156736899113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44.028727972109756</v>
      </c>
      <c r="HH152" s="21">
        <f>EXP(-LN(2)/25)*HH151+(1-EXP(-LN(2)/25))/(LN(2)/25)*Calculateur!HC152*Calculateur!HE152*VLOOKUP('Données projet'!$B$18,Paramètres!$A$1:$I$89,3,0)*0.475*44/12</f>
        <v>6.201395638685212</v>
      </c>
      <c r="HI152" s="21">
        <f>EXP(-LN(2)/2)*HI151+(1-EXP(-LN(2)/2))/(LN(2)/2)*HC152*HF152*VLOOKUP('Données projet'!$B$18,Paramètres!$A$1:$I$89,3,0)*0.475*44/12</f>
        <v>5.1233168205197209E-11</v>
      </c>
      <c r="HJ152" s="22">
        <f t="shared" si="138"/>
        <v>50.230123610846199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3.7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13.566666666666668</v>
      </c>
      <c r="H153" s="67">
        <f t="shared" si="110"/>
        <v>202.4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68.659864494866355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5.1431925385259092E-13</v>
      </c>
      <c r="P153" s="13">
        <f t="shared" si="141"/>
        <v>6.3855359115685756E-12</v>
      </c>
      <c r="Q153" s="20">
        <f t="shared" si="108"/>
        <v>1.2017247746441865E-11</v>
      </c>
      <c r="R153" s="59">
        <f t="shared" si="109"/>
        <v>288.41950314785527</v>
      </c>
      <c r="S153" s="59">
        <f ca="1">AVERAGE(OFFSET($R$3,0,0,'Données projet'!$E$9+1,1))-AVERAGE(OFFSET($H$3,0,0,'Données projet'!$E$9+1,1))</f>
        <v>411.64357329340851</v>
      </c>
      <c r="T153" s="59">
        <f t="shared" si="142"/>
        <v>294.07942258675632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117.36640782130267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117.36640782130267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68.659864494866355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5.763922672485933E-13</v>
      </c>
      <c r="AK153" s="13">
        <f t="shared" si="143"/>
        <v>7.0619171555808457E-12</v>
      </c>
      <c r="AL153" s="20">
        <f t="shared" si="112"/>
        <v>1.3303388911427938E-11</v>
      </c>
      <c r="AM153" s="59">
        <f t="shared" si="113"/>
        <v>288.41950314785657</v>
      </c>
      <c r="AN153" s="59">
        <f ca="1">AVERAGE(OFFSET($AM$3,0,0,'Données projet'!$E$10+1,1))-AVERAGE(OFFSET($H$3,0,0,'Données projet'!$E$10+1,1))</f>
        <v>453.05577105995508</v>
      </c>
      <c r="AO153" s="59">
        <f t="shared" si="144"/>
        <v>322.6839824496758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131.5313191100806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131.5313191100806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68.659864494866355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5.0924145299145307</v>
      </c>
      <c r="BD153" s="12">
        <f>IF('Données projet'!$A$88&gt;35,BD152+BC153-BL152,IF(A153&lt;'Données projet'!$A$88,$BA$205^A153,IF(A153='Données projet'!$A$88,'Données projet'!$B$88,BD152+BC153-BL152)))</f>
        <v>252.00961538461527</v>
      </c>
      <c r="BE153" s="13">
        <f>BD153*VLOOKUP('Données projet'!$B$11,Paramètres!$A$1:$I$89,3,0)*VLOOKUP('Données projet'!$B$11,Paramètres!$A$1:$I$89,5,0)</f>
        <v>251.60639999999989</v>
      </c>
      <c r="BF153" s="13">
        <f t="shared" si="145"/>
        <v>60.929798900979307</v>
      </c>
      <c r="BG153" s="20">
        <f t="shared" si="115"/>
        <v>544.33387975253879</v>
      </c>
      <c r="BH153" s="59">
        <f t="shared" si="116"/>
        <v>832.75338290038212</v>
      </c>
      <c r="BI153" s="59">
        <f ca="1">AVERAGE(OFFSET($BH$3,0,0,'Données projet'!$E$11+1,1))-AVERAGE(OFFSET($H$3,0,0,'Données projet'!$E$11+1,1))</f>
        <v>411.38162678377478</v>
      </c>
      <c r="BJ153" s="59">
        <f t="shared" si="146"/>
        <v>177.89903563360403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35.118127896387378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35.118127896387378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68.659864494866355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212.00000000000009</v>
      </c>
      <c r="BZ153" s="13">
        <f>BY153*VLOOKUP('Données projet'!$B$12,Paramètres!$A$1:$I$89,3,0)*VLOOKUP('Données projet'!$B$12,Paramètres!$A$1:$I$89,5,0)</f>
        <v>221.58240000000012</v>
      </c>
      <c r="CA153" s="13">
        <f t="shared" si="147"/>
        <v>54.458668952651578</v>
      </c>
      <c r="CB153" s="20">
        <f t="shared" si="118"/>
        <v>480.77152842586838</v>
      </c>
      <c r="CC153" s="59">
        <f t="shared" si="119"/>
        <v>769.1910315737116</v>
      </c>
      <c r="CD153" s="59">
        <f ca="1">AVERAGE(OFFSET($CC$3,0,0,'Données projet'!$E$12+1,1))-AVERAGE(OFFSET($H$3,0,0,'Données projet'!$E$12+1,1))</f>
        <v>374.38550202939507</v>
      </c>
      <c r="CE153" s="59">
        <f t="shared" si="148"/>
        <v>324.37486924296718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6.6379813602148516</v>
      </c>
      <c r="CL153" s="21">
        <f>EXP(-LN(2)/25)*CL152+(1-EXP(-LN(2)/25))/(LN(2)/25)*Calculateur!CG153*Calculateur!CI153*VLOOKUP('Données projet'!$B$12,Paramètres!$A$1:$I$89,3,0)*0.475*44/12</f>
        <v>4.1836487420068513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10.821630102221704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68.659864494866355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3.0945512820512704</v>
      </c>
      <c r="CT153" s="12">
        <f>IF('Données projet'!$A$140&gt;35,CT152+CS153-DB152,IF(A153&lt;'Données projet'!$A$140,$CQ$205^A153,IF(A153='Données projet'!$A$140,'Données projet'!$B$140,CT152+CS153-DB152)))</f>
        <v>185.77403846153794</v>
      </c>
      <c r="CU153" s="17">
        <f>CT153*VLOOKUP('Données projet'!$B$13,Paramètres!$A$1:$I$89,3,0)*VLOOKUP('Données projet'!$B$13,Paramètres!$A$1:$I$89,5,0)</f>
        <v>176.7825749999995</v>
      </c>
      <c r="CV153" s="13">
        <f t="shared" si="149"/>
        <v>44.605618715135201</v>
      </c>
      <c r="CW153" s="20">
        <f t="shared" si="121"/>
        <v>385.58443738719296</v>
      </c>
      <c r="CX153" s="59">
        <f t="shared" si="122"/>
        <v>674.00394053503624</v>
      </c>
      <c r="CY153" s="59">
        <f ca="1">AVERAGE(OFFSET($CX$3,0,0,'Données projet'!$E$13+1,1))-AVERAGE(OFFSET($H$3,0,0,'Données projet'!$E$13+1,1))</f>
        <v>392.81074187112989</v>
      </c>
      <c r="CZ153" s="59">
        <f t="shared" si="150"/>
        <v>236.19146849073687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87.959587520122696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87.959587520122696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68.659864494866355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3.0945512820512704</v>
      </c>
      <c r="DO153" s="12">
        <f>IF('Données projet'!$A$166&gt;35,DO152+DN153-DW152,IF(A153&lt;'Données projet'!$A$166,$DL$205^A153,IF(A153='Données projet'!$A$166,'Données projet'!$B$166,DO152+DN153-DW152)))</f>
        <v>185.77403846153794</v>
      </c>
      <c r="DP153" s="17">
        <f>DO153*VLOOKUP('Données projet'!$B$14,Paramètres!$A$1:$I$89,3,0)*VLOOKUP('Données projet'!$B$14,Paramètres!$A$1:$I$89,5,0)</f>
        <v>199.96717499999943</v>
      </c>
      <c r="DQ153" s="13">
        <f t="shared" si="151"/>
        <v>49.736953714984679</v>
      </c>
      <c r="DR153" s="20">
        <f t="shared" si="124"/>
        <v>434.90135751193066</v>
      </c>
      <c r="DS153" s="59">
        <f t="shared" si="125"/>
        <v>723.32086065977387</v>
      </c>
      <c r="DT153" s="59">
        <f ca="1">AVERAGE(OFFSET($DS$3,0,0,'Données projet'!$E$14+1,1))-AVERAGE(OFFSET($H$3,0,0,'Données projet'!$E$14+1,1))</f>
        <v>434.77799524785502</v>
      </c>
      <c r="DU153" s="59">
        <f t="shared" si="152"/>
        <v>259.85949838170006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99.495271129319121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99.495271129319121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68.659864494866355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3.0945512820512704</v>
      </c>
      <c r="EJ153" s="12">
        <f>IF('Données projet'!$A$192&gt;35,EJ152+EI153-ER152,IF(A153&lt;'Données projet'!$A$192,$EG$205^A153,IF(A153='Données projet'!$A$192,'Données projet'!$B$192,EJ152+EI153-ER152)))</f>
        <v>185.77403846153794</v>
      </c>
      <c r="EK153" s="17">
        <f>EJ153*VLOOKUP('Données projet'!$B$15,Paramètres!$A$1:$I$89,3,0)*VLOOKUP('Données projet'!$B$15,Paramètres!$A$1:$I$89,5,0)</f>
        <v>179.6806499999995</v>
      </c>
      <c r="EL153" s="13">
        <f t="shared" si="153"/>
        <v>45.251129334068551</v>
      </c>
      <c r="EM153" s="20">
        <f t="shared" si="127"/>
        <v>391.75618234016855</v>
      </c>
      <c r="EN153" s="59">
        <f t="shared" si="128"/>
        <v>680.17568548801182</v>
      </c>
      <c r="EO153" s="59">
        <f ca="1">AVERAGE(OFFSET($EN$3,0,0,'Données projet'!$E$15+1,1))-AVERAGE(OFFSET($H$3,0,0,'Données projet'!$E$15+1,1))</f>
        <v>398.06270423055565</v>
      </c>
      <c r="EP153" s="59">
        <f t="shared" si="154"/>
        <v>239.15364562040614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89.401547971272279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89.401547971272279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68.659864494866355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-1.7053025658242404E-13</v>
      </c>
      <c r="FF153" s="17">
        <f>FE153*VLOOKUP('Données projet'!$B$16,Paramètres!$A$1:$I$89,3,0)*VLOOKUP('Données projet'!$B$16,Paramètres!$A$1:$I$89,5,0)</f>
        <v>-1.0197709343628959E-13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334.13861979962491</v>
      </c>
      <c r="FK153" s="59">
        <f t="shared" si="156"/>
        <v>416.48635183664305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25.310555503020534</v>
      </c>
      <c r="FR153" s="21">
        <f>EXP(-LN(2)/25)*FR152+(1-EXP(-LN(2)/25))/(LN(2)/25)*Calculateur!FM153*Calculateur!FO153*VLOOKUP('Données projet'!$B$16,Paramètres!$A$1:$I$89,3,0)*0.475*44/12</f>
        <v>3.2625348605256446</v>
      </c>
      <c r="FS153" s="21">
        <f>EXP(-LN(2)/2)*FS152+(1-EXP(-LN(2)/2))/(LN(2)/2)*FM153*FP153*VLOOKUP('Données projet'!$B$16,Paramètres!$A$1:$I$89,3,0)*0.475*44/12</f>
        <v>2.8710453351841303E-13</v>
      </c>
      <c r="FT153" s="22">
        <f t="shared" si="132"/>
        <v>28.573090363546466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68.659864494866355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3.4106051316484809E-13</v>
      </c>
      <c r="GA153" s="17">
        <f>FZ153*VLOOKUP('Données projet'!$B$17,Paramètres!$A$1:$I$89,3,0)*VLOOKUP('Données projet'!$B$17,Paramètres!$A$1:$I$89,5,0)</f>
        <v>1.5961632016114892E-13</v>
      </c>
      <c r="GB153" s="13">
        <f t="shared" si="157"/>
        <v>2.2708641912150958E-12</v>
      </c>
      <c r="GC153" s="20">
        <f t="shared" si="133"/>
        <v>4.2330868906469593E-12</v>
      </c>
      <c r="GD153" s="59">
        <f t="shared" si="134"/>
        <v>288.41950314784748</v>
      </c>
      <c r="GE153" s="59">
        <f ca="1">AVERAGE(OFFSET($GD$3,0,0,'Données projet'!$E$17+1,1))-AVERAGE(OFFSET($H$3,0,0,'Données projet'!$E$17+1,1))</f>
        <v>317.79829681023142</v>
      </c>
      <c r="GF153" s="59">
        <f t="shared" si="158"/>
        <v>275.07716943523621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71.869971446512551</v>
      </c>
      <c r="GM153" s="21">
        <f>EXP(-LN(2)/25)*GM152+(1-EXP(-LN(2)/25))/(LN(2)/25)*Calculateur!GH153*Calculateur!GJ153*VLOOKUP('Données projet'!$B$17,Paramètres!$A$1:$I$89,3,0)*0.475*44/12</f>
        <v>12.613048112692265</v>
      </c>
      <c r="GN153" s="21">
        <f>EXP(-LN(2)/2)*GN152+(1-EXP(-LN(2)/2))/(LN(2)/2)*GH153*GK153*VLOOKUP('Données projet'!$B$17,Paramètres!$A$1:$I$89,3,0)*0.475*44/12</f>
        <v>3.7403880299314126E-6</v>
      </c>
      <c r="GO153" s="21">
        <f t="shared" si="135"/>
        <v>84.483023299592844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68.659864494866355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>
        <f>GU153*VLOOKUP('Données projet'!$B$18,Paramètres!$A$1:$I$89,3,0)*VLOOKUP('Données projet'!$B$18,Paramètres!$A$1:$I$89,5,0)</f>
        <v>0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336.21787234885699</v>
      </c>
      <c r="HA153" s="59">
        <f t="shared" si="160"/>
        <v>315.36156736899113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43.16535147144905</v>
      </c>
      <c r="HH153" s="21">
        <f>EXP(-LN(2)/25)*HH152+(1-EXP(-LN(2)/25))/(LN(2)/25)*Calculateur!HC153*Calculateur!HE153*VLOOKUP('Données projet'!$B$18,Paramètres!$A$1:$I$89,3,0)*0.475*44/12</f>
        <v>6.0318181488281422</v>
      </c>
      <c r="HI153" s="21">
        <f>EXP(-LN(2)/2)*HI152+(1-EXP(-LN(2)/2))/(LN(2)/2)*HC153*HF153*VLOOKUP('Données projet'!$B$18,Paramètres!$A$1:$I$89,3,0)*0.475*44/12</f>
        <v>3.6227320659565966E-11</v>
      </c>
      <c r="HJ153" s="22">
        <f t="shared" si="138"/>
        <v>49.197169620313424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3.7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13.566666666666668</v>
      </c>
      <c r="H154" s="67">
        <f t="shared" si="110"/>
        <v>202.4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68.683112849786269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5.1431925385259092E-13</v>
      </c>
      <c r="P154" s="13">
        <f t="shared" si="141"/>
        <v>6.3855359115685756E-12</v>
      </c>
      <c r="Q154" s="20">
        <f t="shared" ref="Q154:Q203" si="162">(O154+P154)*0.475*44/12</f>
        <v>1.2017247746441865E-11</v>
      </c>
      <c r="R154" s="59">
        <f t="shared" si="109"/>
        <v>288.50474711589499</v>
      </c>
      <c r="S154" s="59">
        <f ca="1">AVERAGE(OFFSET($R$3,0,0,'Données projet'!$E$9+1,1))-AVERAGE(OFFSET($H$3,0,0,'Données projet'!$E$9+1,1))</f>
        <v>411.64357329340851</v>
      </c>
      <c r="T154" s="59">
        <f t="shared" si="142"/>
        <v>294.07942258675632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115.06492415036712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115.06492415036712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68.683112849786269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5.763922672485933E-13</v>
      </c>
      <c r="AK154" s="13">
        <f t="shared" ref="AK154:AK203" si="164">EXP(-1.0587+0.8836*LN(AJ154)+0.284)</f>
        <v>7.0619171555808457E-12</v>
      </c>
      <c r="AL154" s="20">
        <f t="shared" ref="AL154:AL203" si="165">(AJ154+AK154)*0.475*44/12</f>
        <v>1.3303388911427938E-11</v>
      </c>
      <c r="AM154" s="59">
        <f t="shared" si="113"/>
        <v>288.50474711589629</v>
      </c>
      <c r="AN154" s="59">
        <f ca="1">AVERAGE(OFFSET($AM$3,0,0,'Données projet'!$E$10+1,1))-AVERAGE(OFFSET($H$3,0,0,'Données projet'!$E$10+1,1))</f>
        <v>453.05577105995508</v>
      </c>
      <c r="AO154" s="59">
        <f t="shared" si="144"/>
        <v>322.6839824496758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128.95207016851489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128.95207016851489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68.683112849786269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5.0924145299145307</v>
      </c>
      <c r="BD154" s="12">
        <f>IF('Données projet'!$A$88&gt;35,BD153+BC154-BL153,IF(A154&lt;'Données projet'!$A$88,$BA$205^A154,IF(A154='Données projet'!$A$88,'Données projet'!$B$88,BD153+BC154-BL153)))</f>
        <v>257.10202991452979</v>
      </c>
      <c r="BE154" s="13">
        <f>BD154*VLOOKUP('Données projet'!$B$11,Paramètres!$A$1:$I$89,3,0)*VLOOKUP('Données projet'!$B$11,Paramètres!$A$1:$I$89,5,0)</f>
        <v>256.69066666666657</v>
      </c>
      <c r="BF154" s="13">
        <f t="shared" ref="BF154:BF203" si="167">EXP(-1.0587+0.8836*LN(BE154)+0.284)</f>
        <v>62.016436771485004</v>
      </c>
      <c r="BG154" s="20">
        <f t="shared" ref="BG154:BG203" si="168">(BE154+BF154)*0.475*44/12</f>
        <v>555.08153848811401</v>
      </c>
      <c r="BH154" s="59">
        <f t="shared" si="116"/>
        <v>843.586285603997</v>
      </c>
      <c r="BI154" s="59">
        <f ca="1">AVERAGE(OFFSET($BH$3,0,0,'Données projet'!$E$11+1,1))-AVERAGE(OFFSET($H$3,0,0,'Données projet'!$E$11+1,1))</f>
        <v>411.38162678377478</v>
      </c>
      <c r="BJ154" s="59">
        <f t="shared" si="146"/>
        <v>177.89903563360403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34.429482828282197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34.429482828282197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68.683112849786269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212.00000000000009</v>
      </c>
      <c r="BZ154" s="13">
        <f>BY154*VLOOKUP('Données projet'!$B$12,Paramètres!$A$1:$I$89,3,0)*VLOOKUP('Données projet'!$B$12,Paramètres!$A$1:$I$89,5,0)</f>
        <v>221.58240000000012</v>
      </c>
      <c r="CA154" s="13">
        <f t="shared" ref="CA154:CA203" si="170">EXP(-1.0587+0.8836*LN(BZ154)+0.284)</f>
        <v>54.458668952651578</v>
      </c>
      <c r="CB154" s="20">
        <f t="shared" ref="CB154:CB203" si="171">(BZ154+CA154)*0.475*44/12</f>
        <v>480.77152842586838</v>
      </c>
      <c r="CC154" s="59">
        <f t="shared" si="119"/>
        <v>769.27627554175137</v>
      </c>
      <c r="CD154" s="59">
        <f ca="1">AVERAGE(OFFSET($CC$3,0,0,'Données projet'!$E$12+1,1))-AVERAGE(OFFSET($H$3,0,0,'Données projet'!$E$12+1,1))</f>
        <v>374.38550202939507</v>
      </c>
      <c r="CE154" s="59">
        <f t="shared" si="148"/>
        <v>324.37486924296718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6.5078145945098855</v>
      </c>
      <c r="CL154" s="21">
        <f>EXP(-LN(2)/25)*CL153+(1-EXP(-LN(2)/25))/(LN(2)/25)*Calculateur!CG154*Calculateur!CI154*VLOOKUP('Données projet'!$B$12,Paramètres!$A$1:$I$89,3,0)*0.475*44/12</f>
        <v>4.0692466471481481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10.577061241658033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68.683112849786269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3.0945512820512704</v>
      </c>
      <c r="CT154" s="12">
        <f>IF('Données projet'!$A$140&gt;35,CT153+CS154-DB153,IF(A154&lt;'Données projet'!$A$140,$CQ$205^A154,IF(A154='Données projet'!$A$140,'Données projet'!$B$140,CT153+CS154-DB153)))</f>
        <v>188.86858974358921</v>
      </c>
      <c r="CU154" s="17">
        <f>CT154*VLOOKUP('Données projet'!$B$13,Paramètres!$A$1:$I$89,3,0)*VLOOKUP('Données projet'!$B$13,Paramètres!$A$1:$I$89,5,0)</f>
        <v>179.72734999999949</v>
      </c>
      <c r="CV154" s="13">
        <f t="shared" ref="CV154:CV203" si="173">EXP(-1.0587+0.8836*LN(CU154)+0.284)</f>
        <v>45.261521214266992</v>
      </c>
      <c r="CW154" s="20">
        <f t="shared" ref="CW154:CW203" si="174">(CU154+CV154)*0.475*44/12</f>
        <v>391.85561736484743</v>
      </c>
      <c r="CX154" s="59">
        <f t="shared" si="122"/>
        <v>680.36036448073037</v>
      </c>
      <c r="CY154" s="59">
        <f ca="1">AVERAGE(OFFSET($CX$3,0,0,'Données projet'!$E$13+1,1))-AVERAGE(OFFSET($H$3,0,0,'Données projet'!$E$13+1,1))</f>
        <v>392.81074187112989</v>
      </c>
      <c r="CZ154" s="59">
        <f t="shared" si="150"/>
        <v>236.19146849073687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86.234753658903969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86.234753658903969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68.683112849786269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3.0945512820512704</v>
      </c>
      <c r="DO154" s="12">
        <f>IF('Données projet'!$A$166&gt;35,DO153+DN154-DW153,IF(A154&lt;'Données projet'!$A$166,$DL$205^A154,IF(A154='Données projet'!$A$166,'Données projet'!$B$166,DO153+DN154-DW153)))</f>
        <v>188.86858974358921</v>
      </c>
      <c r="DP154" s="17">
        <f>DO154*VLOOKUP('Données projet'!$B$14,Paramètres!$A$1:$I$89,3,0)*VLOOKUP('Données projet'!$B$14,Paramètres!$A$1:$I$89,5,0)</f>
        <v>203.29814999999942</v>
      </c>
      <c r="DQ154" s="13">
        <f t="shared" ref="DQ154:DQ203" si="176">EXP(-1.0587+0.8836*LN(DP154)+0.284)</f>
        <v>50.468309835145163</v>
      </c>
      <c r="DR154" s="20">
        <f t="shared" ref="DR154:DR203" si="177">(DP154+DQ154)*0.475*44/12</f>
        <v>441.97658421287679</v>
      </c>
      <c r="DS154" s="59">
        <f t="shared" si="125"/>
        <v>730.48133132875978</v>
      </c>
      <c r="DT154" s="59">
        <f ca="1">AVERAGE(OFFSET($DS$3,0,0,'Données projet'!$E$14+1,1))-AVERAGE(OFFSET($H$3,0,0,'Données projet'!$E$14+1,1))</f>
        <v>434.77799524785502</v>
      </c>
      <c r="DU154" s="59">
        <f t="shared" si="152"/>
        <v>259.85949838170006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97.544229548596306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97.544229548596306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68.683112849786269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3.0945512820512704</v>
      </c>
      <c r="EJ154" s="12">
        <f>IF('Données projet'!$A$192&gt;35,EJ153+EI154-ER153,IF(A154&lt;'Données projet'!$A$192,$EG$205^A154,IF(A154='Données projet'!$A$192,'Données projet'!$B$192,EJ153+EI154-ER153)))</f>
        <v>188.86858974358921</v>
      </c>
      <c r="EK154" s="17">
        <f>EJ154*VLOOKUP('Données projet'!$B$15,Paramètres!$A$1:$I$89,3,0)*VLOOKUP('Données projet'!$B$15,Paramètres!$A$1:$I$89,5,0)</f>
        <v>182.67369999999949</v>
      </c>
      <c r="EL154" s="13">
        <f t="shared" ref="EL154:EL203" si="179">EXP(-1.0587+0.8836*LN(EK154)+0.284)</f>
        <v>45.916523732211509</v>
      </c>
      <c r="EM154" s="20">
        <f t="shared" ref="EM154:EM203" si="180">(EK154+EL154)*0.475*44/12</f>
        <v>398.12797300026745</v>
      </c>
      <c r="EN154" s="59">
        <f t="shared" si="128"/>
        <v>686.63272011615049</v>
      </c>
      <c r="EO154" s="59">
        <f ca="1">AVERAGE(OFFSET($EN$3,0,0,'Données projet'!$E$15+1,1))-AVERAGE(OFFSET($H$3,0,0,'Données projet'!$E$15+1,1))</f>
        <v>398.06270423055565</v>
      </c>
      <c r="EP154" s="59">
        <f t="shared" si="154"/>
        <v>239.15364562040614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87.648438145115549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87.648438145115549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68.683112849786269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-1.7053025658242404E-13</v>
      </c>
      <c r="FF154" s="17">
        <f>FE154*VLOOKUP('Données projet'!$B$16,Paramètres!$A$1:$I$89,3,0)*VLOOKUP('Données projet'!$B$16,Paramètres!$A$1:$I$89,5,0)</f>
        <v>-1.0197709343628959E-13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334.13861979962491</v>
      </c>
      <c r="FK154" s="59">
        <f t="shared" si="156"/>
        <v>416.48635183664305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24.814230947520791</v>
      </c>
      <c r="FR154" s="21">
        <f>EXP(-LN(2)/25)*FR153+(1-EXP(-LN(2)/25))/(LN(2)/25)*Calculateur!FM154*Calculateur!FO154*VLOOKUP('Données projet'!$B$16,Paramètres!$A$1:$I$89,3,0)*0.475*44/12</f>
        <v>3.173320673195319</v>
      </c>
      <c r="FS154" s="21">
        <f>EXP(-LN(2)/2)*FS153+(1-EXP(-LN(2)/2))/(LN(2)/2)*FM154*FP154*VLOOKUP('Données projet'!$B$16,Paramètres!$A$1:$I$89,3,0)*0.475*44/12</f>
        <v>2.0301356256027028E-13</v>
      </c>
      <c r="FT154" s="22">
        <f t="shared" ref="FT154:FT203" si="184">SUM(FQ154:FS154)</f>
        <v>27.987551620716314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68.683112849786269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3.4106051316484809E-13</v>
      </c>
      <c r="GA154" s="17">
        <f>FZ154*VLOOKUP('Données projet'!$B$17,Paramètres!$A$1:$I$89,3,0)*VLOOKUP('Données projet'!$B$17,Paramètres!$A$1:$I$89,5,0)</f>
        <v>1.5961632016114892E-13</v>
      </c>
      <c r="GB154" s="13">
        <f t="shared" ref="GB154:GB203" si="185">EXP(-1.0587+0.8836*LN(GA154)+0.284)</f>
        <v>2.2708641912150958E-12</v>
      </c>
      <c r="GC154" s="20">
        <f t="shared" ref="GC154:GC203" si="186">(GA154+GB154)*0.475*44/12</f>
        <v>4.2330868906469593E-12</v>
      </c>
      <c r="GD154" s="59">
        <f t="shared" si="134"/>
        <v>288.5047471158872</v>
      </c>
      <c r="GE154" s="59">
        <f ca="1">AVERAGE(OFFSET($GD$3,0,0,'Données projet'!$E$17+1,1))-AVERAGE(OFFSET($H$3,0,0,'Données projet'!$E$17+1,1))</f>
        <v>317.79829681023142</v>
      </c>
      <c r="GF154" s="59">
        <f t="shared" si="158"/>
        <v>275.07716943523621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70.460645142800544</v>
      </c>
      <c r="GM154" s="21">
        <f>EXP(-LN(2)/25)*GM153+(1-EXP(-LN(2)/25))/(LN(2)/25)*Calculateur!GH154*Calculateur!GJ154*VLOOKUP('Données projet'!$B$17,Paramètres!$A$1:$I$89,3,0)*0.475*44/12</f>
        <v>12.268143648759322</v>
      </c>
      <c r="GN154" s="21">
        <f>EXP(-LN(2)/2)*GN153+(1-EXP(-LN(2)/2))/(LN(2)/2)*GH154*GK154*VLOOKUP('Données projet'!$B$17,Paramètres!$A$1:$I$89,3,0)*0.475*44/12</f>
        <v>2.6448537402334933E-6</v>
      </c>
      <c r="GO154" s="21">
        <f t="shared" ref="GO154:GO203" si="187">SUM(GL154:GN154)</f>
        <v>82.728791436413601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68.683112849786269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>
        <f>GU154*VLOOKUP('Données projet'!$B$18,Paramètres!$A$1:$I$89,3,0)*VLOOKUP('Données projet'!$B$18,Paramètres!$A$1:$I$89,5,0)</f>
        <v>0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336.21787234885699</v>
      </c>
      <c r="HA154" s="59">
        <f t="shared" si="160"/>
        <v>315.36156736899113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42.31890525735863</v>
      </c>
      <c r="HH154" s="21">
        <f>EXP(-LN(2)/25)*HH153+(1-EXP(-LN(2)/25))/(LN(2)/25)*Calculateur!HC154*Calculateur!HE154*VLOOKUP('Données projet'!$B$18,Paramètres!$A$1:$I$89,3,0)*0.475*44/12</f>
        <v>5.8668777643489065</v>
      </c>
      <c r="HI154" s="21">
        <f>EXP(-LN(2)/2)*HI153+(1-EXP(-LN(2)/2))/(LN(2)/2)*HC154*HF154*VLOOKUP('Données projet'!$B$18,Paramètres!$A$1:$I$89,3,0)*0.475*44/12</f>
        <v>2.5616584102598604E-11</v>
      </c>
      <c r="HJ154" s="22">
        <f t="shared" ref="HJ154:HJ203" si="190">SUM(HG154:HI154)</f>
        <v>48.185783021733151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3.7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13.566666666666668</v>
      </c>
      <c r="H155" s="67">
        <f t="shared" si="110"/>
        <v>202.4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68.705957897723877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5.1431925385259092E-13</v>
      </c>
      <c r="P155" s="13">
        <f t="shared" si="141"/>
        <v>6.3855359115685756E-12</v>
      </c>
      <c r="Q155" s="20">
        <f t="shared" si="162"/>
        <v>1.2017247746441865E-11</v>
      </c>
      <c r="R155" s="59">
        <f t="shared" si="109"/>
        <v>288.58851229166623</v>
      </c>
      <c r="S155" s="59">
        <f ca="1">AVERAGE(OFFSET($R$3,0,0,'Données projet'!$E$9+1,1))-AVERAGE(OFFSET($H$3,0,0,'Données projet'!$E$9+1,1))</f>
        <v>411.64357329340851</v>
      </c>
      <c r="T155" s="59">
        <f t="shared" si="142"/>
        <v>294.07942258675632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112.80857117045218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112.80857117045218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68.705957897723877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5.763922672485933E-13</v>
      </c>
      <c r="AK155" s="13">
        <f t="shared" si="164"/>
        <v>7.0619171555808457E-12</v>
      </c>
      <c r="AL155" s="20">
        <f t="shared" si="165"/>
        <v>1.3303388911427938E-11</v>
      </c>
      <c r="AM155" s="59">
        <f t="shared" si="113"/>
        <v>288.58851229166754</v>
      </c>
      <c r="AN155" s="59">
        <f ca="1">AVERAGE(OFFSET($AM$3,0,0,'Données projet'!$E$10+1,1))-AVERAGE(OFFSET($H$3,0,0,'Données projet'!$E$10+1,1))</f>
        <v>453.05577105995508</v>
      </c>
      <c r="AO155" s="59">
        <f t="shared" si="144"/>
        <v>322.6839824496758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126.42339872550679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126.42339872550679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68.705957897723877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5.0924145299145307</v>
      </c>
      <c r="BD155" s="12">
        <f>IF('Données projet'!$A$88&gt;35,BD154+BC155-BL154,IF(A155&lt;'Données projet'!$A$88,$BA$205^A155,IF(A155='Données projet'!$A$88,'Données projet'!$B$88,BD154+BC155-BL154)))</f>
        <v>262.19444444444434</v>
      </c>
      <c r="BE155" s="13">
        <f>BD155*VLOOKUP('Données projet'!$B$11,Paramètres!$A$1:$I$89,3,0)*VLOOKUP('Données projet'!$B$11,Paramètres!$A$1:$I$89,5,0)</f>
        <v>261.77493333333325</v>
      </c>
      <c r="BF155" s="13">
        <f t="shared" si="167"/>
        <v>63.100572076019461</v>
      </c>
      <c r="BG155" s="20">
        <f t="shared" si="168"/>
        <v>565.82483858795592</v>
      </c>
      <c r="BH155" s="59">
        <f t="shared" si="116"/>
        <v>854.41335087961011</v>
      </c>
      <c r="BI155" s="59">
        <f ca="1">AVERAGE(OFFSET($BH$3,0,0,'Données projet'!$E$11+1,1))-AVERAGE(OFFSET($H$3,0,0,'Données projet'!$E$11+1,1))</f>
        <v>411.38162678377478</v>
      </c>
      <c r="BJ155" s="59">
        <f t="shared" si="146"/>
        <v>177.89903563360403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33.75434166993054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33.75434166993054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68.705957897723877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212.00000000000009</v>
      </c>
      <c r="BZ155" s="13">
        <f>BY155*VLOOKUP('Données projet'!$B$12,Paramètres!$A$1:$I$89,3,0)*VLOOKUP('Données projet'!$B$12,Paramètres!$A$1:$I$89,5,0)</f>
        <v>221.58240000000012</v>
      </c>
      <c r="CA155" s="13">
        <f t="shared" si="170"/>
        <v>54.458668952651578</v>
      </c>
      <c r="CB155" s="20">
        <f t="shared" si="171"/>
        <v>480.77152842586838</v>
      </c>
      <c r="CC155" s="59">
        <f t="shared" si="119"/>
        <v>769.36004071752268</v>
      </c>
      <c r="CD155" s="59">
        <f ca="1">AVERAGE(OFFSET($CC$3,0,0,'Données projet'!$E$12+1,1))-AVERAGE(OFFSET($H$3,0,0,'Données projet'!$E$12+1,1))</f>
        <v>374.38550202939507</v>
      </c>
      <c r="CE155" s="59">
        <f t="shared" si="148"/>
        <v>324.37486924296718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6.380200319686506</v>
      </c>
      <c r="CL155" s="21">
        <f>EXP(-LN(2)/25)*CL154+(1-EXP(-LN(2)/25))/(LN(2)/25)*Calculateur!CG155*Calculateur!CI155*VLOOKUP('Données projet'!$B$12,Paramètres!$A$1:$I$89,3,0)*0.475*44/12</f>
        <v>3.9579728835895014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10.338173203276007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68.705957897723877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3.0945512820512704</v>
      </c>
      <c r="CT155" s="12">
        <f>IF('Données projet'!$A$140&gt;35,CT154+CS155-DB154,IF(A155&lt;'Données projet'!$A$140,$CQ$205^A155,IF(A155='Données projet'!$A$140,'Données projet'!$B$140,CT154+CS155-DB154)))</f>
        <v>191.96314102564048</v>
      </c>
      <c r="CU155" s="17">
        <f>CT155*VLOOKUP('Données projet'!$B$13,Paramètres!$A$1:$I$89,3,0)*VLOOKUP('Données projet'!$B$13,Paramètres!$A$1:$I$89,5,0)</f>
        <v>182.67212499999948</v>
      </c>
      <c r="CV155" s="13">
        <f t="shared" si="173"/>
        <v>45.916173924435952</v>
      </c>
      <c r="CW155" s="20">
        <f t="shared" si="174"/>
        <v>398.12462062672506</v>
      </c>
      <c r="CX155" s="59">
        <f t="shared" si="122"/>
        <v>686.7131329183793</v>
      </c>
      <c r="CY155" s="59">
        <f ca="1">AVERAGE(OFFSET($CX$3,0,0,'Données projet'!$E$13+1,1))-AVERAGE(OFFSET($H$3,0,0,'Données projet'!$E$13+1,1))</f>
        <v>392.81074187112989</v>
      </c>
      <c r="CZ155" s="59">
        <f t="shared" si="150"/>
        <v>236.19146849073687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84.543742737658974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84.543742737658974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68.705957897723877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3.0945512820512704</v>
      </c>
      <c r="DO155" s="12">
        <f>IF('Données projet'!$A$166&gt;35,DO154+DN155-DW154,IF(A155&lt;'Données projet'!$A$166,$DL$205^A155,IF(A155='Données projet'!$A$166,'Données projet'!$B$166,DO154+DN155-DW154)))</f>
        <v>191.96314102564048</v>
      </c>
      <c r="DP155" s="17">
        <f>DO155*VLOOKUP('Données projet'!$B$14,Paramètres!$A$1:$I$89,3,0)*VLOOKUP('Données projet'!$B$14,Paramètres!$A$1:$I$89,5,0)</f>
        <v>206.62912499999939</v>
      </c>
      <c r="DQ155" s="13">
        <f t="shared" si="176"/>
        <v>51.198272393292896</v>
      </c>
      <c r="DR155" s="20">
        <f t="shared" si="177"/>
        <v>449.04938379331742</v>
      </c>
      <c r="DS155" s="59">
        <f t="shared" si="125"/>
        <v>737.63789608497166</v>
      </c>
      <c r="DT155" s="59">
        <f ca="1">AVERAGE(OFFSET($DS$3,0,0,'Données projet'!$E$14+1,1))-AVERAGE(OFFSET($H$3,0,0,'Données projet'!$E$14+1,1))</f>
        <v>434.77799524785502</v>
      </c>
      <c r="DU155" s="59">
        <f t="shared" si="152"/>
        <v>259.85949838170006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95.631446703253602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95.631446703253602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68.705957897723877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3.0945512820512704</v>
      </c>
      <c r="EJ155" s="12">
        <f>IF('Données projet'!$A$192&gt;35,EJ154+EI155-ER154,IF(A155&lt;'Données projet'!$A$192,$EG$205^A155,IF(A155='Données projet'!$A$192,'Données projet'!$B$192,EJ154+EI155-ER154)))</f>
        <v>191.96314102564048</v>
      </c>
      <c r="EK155" s="17">
        <f>EJ155*VLOOKUP('Données projet'!$B$15,Paramètres!$A$1:$I$89,3,0)*VLOOKUP('Données projet'!$B$15,Paramètres!$A$1:$I$89,5,0)</f>
        <v>185.6667499999995</v>
      </c>
      <c r="EL155" s="13">
        <f t="shared" si="179"/>
        <v>46.580650255059233</v>
      </c>
      <c r="EM155" s="20">
        <f t="shared" si="180"/>
        <v>404.49755544422732</v>
      </c>
      <c r="EN155" s="59">
        <f t="shared" si="128"/>
        <v>693.08606773588156</v>
      </c>
      <c r="EO155" s="59">
        <f ca="1">AVERAGE(OFFSET($EN$3,0,0,'Données projet'!$E$15+1,1))-AVERAGE(OFFSET($H$3,0,0,'Données projet'!$E$15+1,1))</f>
        <v>398.06270423055565</v>
      </c>
      <c r="EP155" s="59">
        <f t="shared" si="154"/>
        <v>239.15364562040614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85.929705733358333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85.929705733358333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68.705957897723877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-1.7053025658242404E-13</v>
      </c>
      <c r="FF155" s="17">
        <f>FE155*VLOOKUP('Données projet'!$B$16,Paramètres!$A$1:$I$89,3,0)*VLOOKUP('Données projet'!$B$16,Paramètres!$A$1:$I$89,5,0)</f>
        <v>-1.0197709343628959E-13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334.13861979962491</v>
      </c>
      <c r="FK155" s="59">
        <f t="shared" si="156"/>
        <v>416.48635183664305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24.32763901382631</v>
      </c>
      <c r="FR155" s="21">
        <f>EXP(-LN(2)/25)*FR154+(1-EXP(-LN(2)/25))/(LN(2)/25)*Calculateur!FM155*Calculateur!FO155*VLOOKUP('Données projet'!$B$16,Paramètres!$A$1:$I$89,3,0)*0.475*44/12</f>
        <v>3.0865460525091115</v>
      </c>
      <c r="FS155" s="21">
        <f>EXP(-LN(2)/2)*FS154+(1-EXP(-LN(2)/2))/(LN(2)/2)*FM155*FP155*VLOOKUP('Données projet'!$B$16,Paramètres!$A$1:$I$89,3,0)*0.475*44/12</f>
        <v>1.4355226675920651E-13</v>
      </c>
      <c r="FT155" s="22">
        <f t="shared" si="184"/>
        <v>27.414185066335563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68.705957897723877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3.4106051316484809E-13</v>
      </c>
      <c r="GA155" s="17">
        <f>FZ155*VLOOKUP('Données projet'!$B$17,Paramètres!$A$1:$I$89,3,0)*VLOOKUP('Données projet'!$B$17,Paramètres!$A$1:$I$89,5,0)</f>
        <v>1.5961632016114892E-13</v>
      </c>
      <c r="GB155" s="13">
        <f t="shared" si="185"/>
        <v>2.2708641912150958E-12</v>
      </c>
      <c r="GC155" s="20">
        <f t="shared" si="186"/>
        <v>4.2330868906469593E-12</v>
      </c>
      <c r="GD155" s="59">
        <f t="shared" si="134"/>
        <v>288.58851229165845</v>
      </c>
      <c r="GE155" s="59">
        <f ca="1">AVERAGE(OFFSET($GD$3,0,0,'Données projet'!$E$17+1,1))-AVERAGE(OFFSET($H$3,0,0,'Données projet'!$E$17+1,1))</f>
        <v>317.79829681023142</v>
      </c>
      <c r="GF155" s="59">
        <f t="shared" si="158"/>
        <v>275.07716943523621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69.078954868300158</v>
      </c>
      <c r="GM155" s="21">
        <f>EXP(-LN(2)/25)*GM154+(1-EXP(-LN(2)/25))/(LN(2)/25)*Calculateur!GH155*Calculateur!GJ155*VLOOKUP('Données projet'!$B$17,Paramètres!$A$1:$I$89,3,0)*0.475*44/12</f>
        <v>11.932670615530363</v>
      </c>
      <c r="GN155" s="21">
        <f>EXP(-LN(2)/2)*GN154+(1-EXP(-LN(2)/2))/(LN(2)/2)*GH155*GK155*VLOOKUP('Données projet'!$B$17,Paramètres!$A$1:$I$89,3,0)*0.475*44/12</f>
        <v>1.8701940149657067E-6</v>
      </c>
      <c r="GO155" s="21">
        <f t="shared" si="187"/>
        <v>81.01162735402454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68.705957897723877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>
        <f>GU155*VLOOKUP('Données projet'!$B$18,Paramètres!$A$1:$I$89,3,0)*VLOOKUP('Données projet'!$B$18,Paramètres!$A$1:$I$89,5,0)</f>
        <v>0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336.21787234885699</v>
      </c>
      <c r="HA155" s="59">
        <f t="shared" si="160"/>
        <v>315.36156736899113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41.489057337245313</v>
      </c>
      <c r="HH155" s="21">
        <f>EXP(-LN(2)/25)*HH154+(1-EXP(-LN(2)/25))/(LN(2)/25)*Calculateur!HC155*Calculateur!HE155*VLOOKUP('Données projet'!$B$18,Paramètres!$A$1:$I$89,3,0)*0.475*44/12</f>
        <v>5.7064476833570934</v>
      </c>
      <c r="HI155" s="21">
        <f>EXP(-LN(2)/2)*HI154+(1-EXP(-LN(2)/2))/(LN(2)/2)*HC155*HF155*VLOOKUP('Données projet'!$B$18,Paramètres!$A$1:$I$89,3,0)*0.475*44/12</f>
        <v>1.8113660329782983E-11</v>
      </c>
      <c r="HJ155" s="22">
        <f t="shared" si="190"/>
        <v>47.195505020620516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3.7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13.566666666666668</v>
      </c>
      <c r="H156" s="67">
        <f t="shared" si="110"/>
        <v>202.4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68.728406635153632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5.1431925385259092E-13</v>
      </c>
      <c r="P156" s="13">
        <f t="shared" si="141"/>
        <v>6.3855359115685756E-12</v>
      </c>
      <c r="Q156" s="20">
        <f t="shared" si="162"/>
        <v>1.2017247746441865E-11</v>
      </c>
      <c r="R156" s="59">
        <f t="shared" si="109"/>
        <v>288.67082432890868</v>
      </c>
      <c r="S156" s="59">
        <f ca="1">AVERAGE(OFFSET($R$3,0,0,'Données projet'!$E$9+1,1))-AVERAGE(OFFSET($H$3,0,0,'Données projet'!$E$9+1,1))</f>
        <v>411.64357329340851</v>
      </c>
      <c r="T156" s="59">
        <f t="shared" si="142"/>
        <v>294.07942258675632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110.59646389623396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110.59646389623396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68.728406635153632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5.763922672485933E-13</v>
      </c>
      <c r="AK156" s="13">
        <f t="shared" si="164"/>
        <v>7.0619171555808457E-12</v>
      </c>
      <c r="AL156" s="20">
        <f t="shared" si="165"/>
        <v>1.3303388911427938E-11</v>
      </c>
      <c r="AM156" s="59">
        <f t="shared" si="113"/>
        <v>288.67082432890999</v>
      </c>
      <c r="AN156" s="59">
        <f ca="1">AVERAGE(OFFSET($AM$3,0,0,'Données projet'!$E$10+1,1))-AVERAGE(OFFSET($H$3,0,0,'Données projet'!$E$10+1,1))</f>
        <v>453.05577105995508</v>
      </c>
      <c r="AO156" s="59">
        <f t="shared" si="144"/>
        <v>322.6839824496758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123.94431298715878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123.94431298715878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68.728406635153632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5.0924145299145307</v>
      </c>
      <c r="BD156" s="12">
        <f>IF('Données projet'!$A$88&gt;35,BD155+BC156-BL155,IF(A156&lt;'Données projet'!$A$88,$BA$205^A156,IF(A156='Données projet'!$A$88,'Données projet'!$B$88,BD155+BC156-BL155)))</f>
        <v>267.28685897435889</v>
      </c>
      <c r="BE156" s="13">
        <f>BD156*VLOOKUP('Données projet'!$B$11,Paramètres!$A$1:$I$89,3,0)*VLOOKUP('Données projet'!$B$11,Paramètres!$A$1:$I$89,5,0)</f>
        <v>266.85919999999993</v>
      </c>
      <c r="BF156" s="13">
        <f t="shared" si="167"/>
        <v>64.182259023395758</v>
      </c>
      <c r="BG156" s="20">
        <f t="shared" si="168"/>
        <v>576.56387446574752</v>
      </c>
      <c r="BH156" s="59">
        <f t="shared" si="116"/>
        <v>865.23469879464415</v>
      </c>
      <c r="BI156" s="59">
        <f ca="1">AVERAGE(OFFSET($BH$3,0,0,'Données projet'!$E$11+1,1))-AVERAGE(OFFSET($H$3,0,0,'Données projet'!$E$11+1,1))</f>
        <v>411.38162678377478</v>
      </c>
      <c r="BJ156" s="59">
        <f t="shared" si="146"/>
        <v>177.89903563360403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33.092439617898712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33.092439617898712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68.728406635153632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212.00000000000009</v>
      </c>
      <c r="BZ156" s="13">
        <f>BY156*VLOOKUP('Données projet'!$B$12,Paramètres!$A$1:$I$89,3,0)*VLOOKUP('Données projet'!$B$12,Paramètres!$A$1:$I$89,5,0)</f>
        <v>221.58240000000012</v>
      </c>
      <c r="CA156" s="13">
        <f t="shared" si="170"/>
        <v>54.458668952651578</v>
      </c>
      <c r="CB156" s="20">
        <f t="shared" si="171"/>
        <v>480.77152842586838</v>
      </c>
      <c r="CC156" s="59">
        <f t="shared" si="119"/>
        <v>769.44235275476512</v>
      </c>
      <c r="CD156" s="59">
        <f ca="1">AVERAGE(OFFSET($CC$3,0,0,'Données projet'!$E$12+1,1))-AVERAGE(OFFSET($H$3,0,0,'Données projet'!$E$12+1,1))</f>
        <v>374.38550202939507</v>
      </c>
      <c r="CE156" s="59">
        <f t="shared" si="148"/>
        <v>324.37486924296718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6.255088482955391</v>
      </c>
      <c r="CL156" s="21">
        <f>EXP(-LN(2)/25)*CL155+(1-EXP(-LN(2)/25))/(LN(2)/25)*Calculateur!CG156*Calculateur!CI156*VLOOKUP('Données projet'!$B$12,Paramètres!$A$1:$I$89,3,0)*0.475*44/12</f>
        <v>3.8497419069469987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10.104830389902389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68.728406635153632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195.05769230769226</v>
      </c>
      <c r="CR156" s="12">
        <f>VLOOKUP(A156,'Données projet'!$A$139:$I$159,9,0)</f>
        <v>3.0945512820512704</v>
      </c>
      <c r="CS156" s="12">
        <f t="array" ref="CS156">INDEX(CR:CR,MIN(IF(ISNUMBER(CR156:CR352),ROW(CR156:CR352),"")))</f>
        <v>3.0945512820512704</v>
      </c>
      <c r="CT156" s="12">
        <f>IF('Données projet'!$A$140&gt;35,CT155+CS156-DB155,IF(A156&lt;'Données projet'!$A$140,$CQ$205^A156,IF(A156='Données projet'!$A$140,'Données projet'!$B$140,CT155+CS156-DB155)))</f>
        <v>195.05769230769175</v>
      </c>
      <c r="CU156" s="17">
        <f>CT156*VLOOKUP('Données projet'!$B$13,Paramètres!$A$1:$I$89,3,0)*VLOOKUP('Données projet'!$B$13,Paramètres!$A$1:$I$89,5,0)</f>
        <v>185.61689999999948</v>
      </c>
      <c r="CV156" s="13">
        <f t="shared" si="173"/>
        <v>46.569599318942032</v>
      </c>
      <c r="CW156" s="20">
        <f t="shared" si="174"/>
        <v>404.39148631382312</v>
      </c>
      <c r="CX156" s="59">
        <f t="shared" si="122"/>
        <v>693.06231064271981</v>
      </c>
      <c r="CY156" s="59">
        <f ca="1">AVERAGE(OFFSET($CX$3,0,0,'Données projet'!$E$13+1,1))-AVERAGE(OFFSET($H$3,0,0,'Données projet'!$E$13+1,1))</f>
        <v>392.81074187112989</v>
      </c>
      <c r="CZ156" s="59">
        <f t="shared" si="150"/>
        <v>236.19146849073687</v>
      </c>
      <c r="DA156" s="15">
        <f>IF(ISNA(VLOOKUP(A156,'Données projet'!$A$139:$I$159,3,0)),0,VLOOKUP(A156,'Données projet'!$A$139:$I$159,3,0))</f>
        <v>13</v>
      </c>
      <c r="DB156" s="15">
        <f>IF(ISNA(VLOOKUP(A156,'Données projet'!$A$139:$I$159,4,0)),0,VLOOKUP(A156,'Données projet'!$A$139:$I$159,4,0))</f>
        <v>70.115384615384613</v>
      </c>
      <c r="DC156" s="16">
        <f>IF(ISNA(VLOOKUP(A156,'Données projet'!$A$139:$I$159,5,0)),0%,VLOOKUP(A156,'Données projet'!$A$139:$I$159,5,0)*VLOOKUP('Données projet'!$B$13,Paramètres!$A$1:$I$89,7,0))</f>
        <v>0.38700000000000001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111.43061428041483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111.43061428041483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68.728406635153632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195.05769230769226</v>
      </c>
      <c r="DM156" s="12">
        <f>VLOOKUP(A156,'Données projet'!$A$165:$I$185,9,0)</f>
        <v>3.0945512820512704</v>
      </c>
      <c r="DN156" s="12">
        <f t="array" ref="DN156">INDEX(DM:DM,MIN(IF(ISNUMBER(DM156:DM352),ROW(DM156:DM352),"")))</f>
        <v>3.0945512820512704</v>
      </c>
      <c r="DO156" s="12">
        <f>IF('Données projet'!$A$166&gt;35,DO155+DN156-DW155,IF(A156&lt;'Données projet'!$A$166,$DL$205^A156,IF(A156='Données projet'!$A$166,'Données projet'!$B$166,DO155+DN156-DW155)))</f>
        <v>195.05769230769175</v>
      </c>
      <c r="DP156" s="17">
        <f>DO156*VLOOKUP('Données projet'!$B$14,Paramètres!$A$1:$I$89,3,0)*VLOOKUP('Données projet'!$B$14,Paramètres!$A$1:$I$89,5,0)</f>
        <v>209.96009999999939</v>
      </c>
      <c r="DQ156" s="13">
        <f t="shared" si="176"/>
        <v>51.926866448008234</v>
      </c>
      <c r="DR156" s="20">
        <f t="shared" si="177"/>
        <v>456.11979989694652</v>
      </c>
      <c r="DS156" s="59">
        <f t="shared" si="125"/>
        <v>744.7906242258432</v>
      </c>
      <c r="DT156" s="59">
        <f ca="1">AVERAGE(OFFSET($DS$3,0,0,'Données projet'!$E$14+1,1))-AVERAGE(OFFSET($H$3,0,0,'Données projet'!$E$14+1,1))</f>
        <v>434.77799524785502</v>
      </c>
      <c r="DU156" s="59">
        <f t="shared" si="152"/>
        <v>259.85949838170006</v>
      </c>
      <c r="DV156" s="15">
        <f>IF(ISNA(VLOOKUP(A156,'Données projet'!$A$165:$I$185,3,0)),0,VLOOKUP(A156,'Données projet'!$A$165:$I$185,3,0))</f>
        <v>13</v>
      </c>
      <c r="DW156" s="15">
        <f>IF(ISNA(VLOOKUP(A156,'Données projet'!$A$165:$I$185,4,0)),0,VLOOKUP(A156,'Données projet'!$A$165:$I$185,4,0))</f>
        <v>70.115384615384613</v>
      </c>
      <c r="DX156" s="16">
        <f>IF(ISNA(VLOOKUP(A156,'Données projet'!$A$165:$I$185,5,0)),0%,VLOOKUP(A156,'Données projet'!$A$165:$I$185,5,0)*VLOOKUP('Données projet'!$B$14,Paramètres!$A$1:$I$89,7,0))</f>
        <v>0.38700000000000001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126.04446533358399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126.04446533358399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68.728406635153632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195.05769230769226</v>
      </c>
      <c r="EH156" s="12">
        <f>VLOOKUP(A156,'Données projet'!$A$191:$I$211,9,0)</f>
        <v>3.0945512820512704</v>
      </c>
      <c r="EI156" s="12">
        <f t="array" ref="EI156">INDEX(EH:EH,MIN(IF(ISNUMBER(EH156:EH352),ROW(EH156:EH352),"")))</f>
        <v>3.0945512820512704</v>
      </c>
      <c r="EJ156" s="12">
        <f>IF('Données projet'!$A$192&gt;35,EJ155+EI156-ER155,IF(A156&lt;'Données projet'!$A$192,$EG$205^A156,IF(A156='Données projet'!$A$192,'Données projet'!$B$192,EJ155+EI156-ER155)))</f>
        <v>195.05769230769175</v>
      </c>
      <c r="EK156" s="17">
        <f>EJ156*VLOOKUP('Données projet'!$B$15,Paramètres!$A$1:$I$89,3,0)*VLOOKUP('Données projet'!$B$15,Paramètres!$A$1:$I$89,5,0)</f>
        <v>188.65979999999948</v>
      </c>
      <c r="EL156" s="13">
        <f t="shared" si="179"/>
        <v>47.243531701134245</v>
      </c>
      <c r="EM156" s="20">
        <f t="shared" si="180"/>
        <v>410.86496937947453</v>
      </c>
      <c r="EN156" s="59">
        <f t="shared" si="128"/>
        <v>699.53579370837122</v>
      </c>
      <c r="EO156" s="59">
        <f ca="1">AVERAGE(OFFSET($EN$3,0,0,'Données projet'!$E$15+1,1))-AVERAGE(OFFSET($H$3,0,0,'Données projet'!$E$15+1,1))</f>
        <v>398.06270423055565</v>
      </c>
      <c r="EP156" s="59">
        <f t="shared" si="154"/>
        <v>239.15364562040614</v>
      </c>
      <c r="EQ156" s="15">
        <f>IF(ISNA(VLOOKUP(A156,'Données projet'!$A$191:$I$211,3,0)),0,VLOOKUP(A156,'Données projet'!$A$191:$I$211,3,0))</f>
        <v>13</v>
      </c>
      <c r="ER156" s="15">
        <f>IF(ISNA(VLOOKUP(A156,'Données projet'!$A$191:$I$211,4,0)),0,VLOOKUP(A156,'Données projet'!$A$191:$I$211,4,0))</f>
        <v>70.115384615384613</v>
      </c>
      <c r="ES156" s="16">
        <f>IF(ISNA(VLOOKUP(A156,'Données projet'!$A$191:$I$211,5,0)),0%,VLOOKUP(A156,'Données projet'!$A$191:$I$211,5,0)*VLOOKUP('Données projet'!$B$15,Paramètres!$A$1:$I$89,7,0))</f>
        <v>0.38700000000000001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113.257345662061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113.257345662061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68.728406635153632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-1.7053025658242404E-13</v>
      </c>
      <c r="FF156" s="17">
        <f>FE156*VLOOKUP('Données projet'!$B$16,Paramètres!$A$1:$I$89,3,0)*VLOOKUP('Données projet'!$B$16,Paramètres!$A$1:$I$89,5,0)</f>
        <v>-1.0197709343628959E-13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334.13861979962491</v>
      </c>
      <c r="FK156" s="59">
        <f t="shared" si="156"/>
        <v>416.48635183664305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23.850588851159806</v>
      </c>
      <c r="FR156" s="21">
        <f>EXP(-LN(2)/25)*FR155+(1-EXP(-LN(2)/25))/(LN(2)/25)*Calculateur!FM156*Calculateur!FO156*VLOOKUP('Données projet'!$B$16,Paramètres!$A$1:$I$89,3,0)*0.475*44/12</f>
        <v>3.0021442883888474</v>
      </c>
      <c r="FS156" s="21">
        <f>EXP(-LN(2)/2)*FS155+(1-EXP(-LN(2)/2))/(LN(2)/2)*FM156*FP156*VLOOKUP('Données projet'!$B$16,Paramètres!$A$1:$I$89,3,0)*0.475*44/12</f>
        <v>1.0150678128013514E-13</v>
      </c>
      <c r="FT156" s="22">
        <f t="shared" si="184"/>
        <v>26.852733139548757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68.728406635153632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3.4106051316484809E-13</v>
      </c>
      <c r="GA156" s="17">
        <f>FZ156*VLOOKUP('Données projet'!$B$17,Paramètres!$A$1:$I$89,3,0)*VLOOKUP('Données projet'!$B$17,Paramètres!$A$1:$I$89,5,0)</f>
        <v>1.5961632016114892E-13</v>
      </c>
      <c r="GB156" s="13">
        <f t="shared" si="185"/>
        <v>2.2708641912150958E-12</v>
      </c>
      <c r="GC156" s="20">
        <f t="shared" si="186"/>
        <v>4.2330868906469593E-12</v>
      </c>
      <c r="GD156" s="59">
        <f t="shared" si="134"/>
        <v>288.67082432890089</v>
      </c>
      <c r="GE156" s="59">
        <f ca="1">AVERAGE(OFFSET($GD$3,0,0,'Données projet'!$E$17+1,1))-AVERAGE(OFFSET($H$3,0,0,'Données projet'!$E$17+1,1))</f>
        <v>317.79829681023142</v>
      </c>
      <c r="GF156" s="59">
        <f t="shared" si="158"/>
        <v>275.07716943523621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67.724358697334878</v>
      </c>
      <c r="GM156" s="21">
        <f>EXP(-LN(2)/25)*GM155+(1-EXP(-LN(2)/25))/(LN(2)/25)*Calculateur!GH156*Calculateur!GJ156*VLOOKUP('Données projet'!$B$17,Paramètres!$A$1:$I$89,3,0)*0.475*44/12</f>
        <v>11.606371110036809</v>
      </c>
      <c r="GN156" s="21">
        <f>EXP(-LN(2)/2)*GN155+(1-EXP(-LN(2)/2))/(LN(2)/2)*GH156*GK156*VLOOKUP('Données projet'!$B$17,Paramètres!$A$1:$I$89,3,0)*0.475*44/12</f>
        <v>1.3224268701167469E-6</v>
      </c>
      <c r="GO156" s="21">
        <f t="shared" si="187"/>
        <v>79.330731129798551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68.728406635153632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>
        <f>GU156*VLOOKUP('Données projet'!$B$18,Paramètres!$A$1:$I$89,3,0)*VLOOKUP('Données projet'!$B$18,Paramètres!$A$1:$I$89,5,0)</f>
        <v>0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336.21787234885699</v>
      </c>
      <c r="HA156" s="59">
        <f t="shared" si="160"/>
        <v>315.36156736899113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40.675482228688168</v>
      </c>
      <c r="HH156" s="21">
        <f>EXP(-LN(2)/25)*HH155+(1-EXP(-LN(2)/25))/(LN(2)/25)*Calculateur!HC156*Calculateur!HE156*VLOOKUP('Données projet'!$B$18,Paramètres!$A$1:$I$89,3,0)*0.475*44/12</f>
        <v>5.5504045713666521</v>
      </c>
      <c r="HI156" s="21">
        <f>EXP(-LN(2)/2)*HI155+(1-EXP(-LN(2)/2))/(LN(2)/2)*HC156*HF156*VLOOKUP('Données projet'!$B$18,Paramètres!$A$1:$I$89,3,0)*0.475*44/12</f>
        <v>1.2808292051299302E-11</v>
      </c>
      <c r="HJ156" s="22">
        <f t="shared" si="190"/>
        <v>46.225886800067634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3.7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13.566666666666668</v>
      </c>
      <c r="H157" s="67">
        <f t="shared" si="110"/>
        <v>202.4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68.750465937176841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5.1431925385259092E-13</v>
      </c>
      <c r="P157" s="13">
        <f t="shared" si="141"/>
        <v>6.3855359115685756E-12</v>
      </c>
      <c r="Q157" s="20">
        <f t="shared" si="162"/>
        <v>1.2017247746441865E-11</v>
      </c>
      <c r="R157" s="59">
        <f t="shared" si="109"/>
        <v>288.75170843632708</v>
      </c>
      <c r="S157" s="59">
        <f ca="1">AVERAGE(OFFSET($R$3,0,0,'Données projet'!$E$9+1,1))-AVERAGE(OFFSET($H$3,0,0,'Données projet'!$E$9+1,1))</f>
        <v>411.64357329340851</v>
      </c>
      <c r="T157" s="59">
        <f t="shared" si="142"/>
        <v>294.07942258675632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108.42773469641094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108.42773469641094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68.750465937176841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5.763922672485933E-13</v>
      </c>
      <c r="AK157" s="13">
        <f t="shared" si="164"/>
        <v>7.0619171555808457E-12</v>
      </c>
      <c r="AL157" s="20">
        <f t="shared" si="165"/>
        <v>1.3303388911427938E-11</v>
      </c>
      <c r="AM157" s="59">
        <f t="shared" si="113"/>
        <v>288.75170843632839</v>
      </c>
      <c r="AN157" s="59">
        <f ca="1">AVERAGE(OFFSET($AM$3,0,0,'Données projet'!$E$10+1,1))-AVERAGE(OFFSET($H$3,0,0,'Données projet'!$E$10+1,1))</f>
        <v>453.05577105995508</v>
      </c>
      <c r="AO157" s="59">
        <f t="shared" si="144"/>
        <v>322.6839824496758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121.51384060804678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121.51384060804678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68.750465937176841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5.0924145299145307</v>
      </c>
      <c r="BD157" s="12">
        <f>IF('Données projet'!$A$88&gt;35,BD156+BC157-BL156,IF(A157&lt;'Données projet'!$A$88,$BA$205^A157,IF(A157='Données projet'!$A$88,'Données projet'!$B$88,BD156+BC157-BL156)))</f>
        <v>272.37927350427344</v>
      </c>
      <c r="BE157" s="13">
        <f>BD157*VLOOKUP('Données projet'!$B$11,Paramètres!$A$1:$I$89,3,0)*VLOOKUP('Données projet'!$B$11,Paramètres!$A$1:$I$89,5,0)</f>
        <v>271.94346666666667</v>
      </c>
      <c r="BF157" s="13">
        <f t="shared" si="167"/>
        <v>65.261549638635969</v>
      </c>
      <c r="BG157" s="20">
        <f t="shared" si="168"/>
        <v>587.2987367317354</v>
      </c>
      <c r="BH157" s="59">
        <f t="shared" si="116"/>
        <v>876.05044516805049</v>
      </c>
      <c r="BI157" s="59">
        <f ca="1">AVERAGE(OFFSET($BH$3,0,0,'Données projet'!$E$11+1,1))-AVERAGE(OFFSET($H$3,0,0,'Données projet'!$E$11+1,1))</f>
        <v>411.38162678377478</v>
      </c>
      <c r="BJ157" s="59">
        <f t="shared" si="146"/>
        <v>177.89903563360403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32.443517061386842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32.443517061386842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68.750465937176841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212.00000000000009</v>
      </c>
      <c r="BZ157" s="13">
        <f>BY157*VLOOKUP('Données projet'!$B$12,Paramètres!$A$1:$I$89,3,0)*VLOOKUP('Données projet'!$B$12,Paramètres!$A$1:$I$89,5,0)</f>
        <v>221.58240000000012</v>
      </c>
      <c r="CA157" s="13">
        <f t="shared" si="170"/>
        <v>54.458668952651578</v>
      </c>
      <c r="CB157" s="20">
        <f t="shared" si="171"/>
        <v>480.77152842586838</v>
      </c>
      <c r="CC157" s="59">
        <f t="shared" si="119"/>
        <v>769.52323686218347</v>
      </c>
      <c r="CD157" s="59">
        <f ca="1">AVERAGE(OFFSET($CC$3,0,0,'Données projet'!$E$12+1,1))-AVERAGE(OFFSET($H$3,0,0,'Données projet'!$E$12+1,1))</f>
        <v>374.38550202939507</v>
      </c>
      <c r="CE157" s="59">
        <f t="shared" si="148"/>
        <v>324.37486924296718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6.1324300130318878</v>
      </c>
      <c r="CL157" s="21">
        <f>EXP(-LN(2)/25)*CL156+(1-EXP(-LN(2)/25))/(LN(2)/25)*Calculateur!CG157*Calculateur!CI157*VLOOKUP('Données projet'!$B$12,Paramètres!$A$1:$I$89,3,0)*0.475*44/12</f>
        <v>3.7444705120524047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9.8769005250842916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68.750465937176841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1.8717948717948829</v>
      </c>
      <c r="CT157" s="12">
        <f>IF('Données projet'!$A$140&gt;35,CT156+CS157-DB156,IF(A157&lt;'Données projet'!$A$140,$CQ$205^A157,IF(A157='Données projet'!$A$140,'Données projet'!$B$140,CT156+CS157-DB156)))</f>
        <v>126.81410256410203</v>
      </c>
      <c r="CU157" s="17">
        <f>CT157*VLOOKUP('Données projet'!$B$13,Paramètres!$A$1:$I$89,3,0)*VLOOKUP('Données projet'!$B$13,Paramètres!$A$1:$I$89,5,0)</f>
        <v>120.67629999999949</v>
      </c>
      <c r="CV157" s="13">
        <f t="shared" si="173"/>
        <v>31.83268353297078</v>
      </c>
      <c r="CW157" s="20">
        <f t="shared" si="174"/>
        <v>265.61981298658986</v>
      </c>
      <c r="CX157" s="59">
        <f t="shared" si="122"/>
        <v>554.37152142290495</v>
      </c>
      <c r="CY157" s="59">
        <f ca="1">AVERAGE(OFFSET($CX$3,0,0,'Données projet'!$E$13+1,1))-AVERAGE(OFFSET($H$3,0,0,'Données projet'!$E$13+1,1))</f>
        <v>392.81074187112989</v>
      </c>
      <c r="CZ157" s="59">
        <f t="shared" si="150"/>
        <v>236.19146849073687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109.24552790033952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109.24552790033952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68.750465937176841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1.8717948717948829</v>
      </c>
      <c r="DO157" s="12">
        <f>IF('Données projet'!$A$166&gt;35,DO156+DN157-DW156,IF(A157&lt;'Données projet'!$A$166,$DL$205^A157,IF(A157='Données projet'!$A$166,'Données projet'!$B$166,DO156+DN157-DW156)))</f>
        <v>126.81410256410203</v>
      </c>
      <c r="DP157" s="17">
        <f>DO157*VLOOKUP('Données projet'!$B$14,Paramètres!$A$1:$I$89,3,0)*VLOOKUP('Données projet'!$B$14,Paramètres!$A$1:$I$89,5,0)</f>
        <v>136.50269999999941</v>
      </c>
      <c r="DQ157" s="13">
        <f t="shared" si="176"/>
        <v>35.494647380956579</v>
      </c>
      <c r="DR157" s="20">
        <f t="shared" si="177"/>
        <v>299.56204668849836</v>
      </c>
      <c r="DS157" s="59">
        <f t="shared" si="125"/>
        <v>588.3137551248135</v>
      </c>
      <c r="DT157" s="59">
        <f ca="1">AVERAGE(OFFSET($DS$3,0,0,'Données projet'!$E$14+1,1))-AVERAGE(OFFSET($H$3,0,0,'Données projet'!$E$14+1,1))</f>
        <v>434.77799524785502</v>
      </c>
      <c r="DU157" s="59">
        <f t="shared" si="152"/>
        <v>259.85949838170006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123.57281024792503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123.57281024792503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68.750465937176841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1.8717948717948829</v>
      </c>
      <c r="EJ157" s="12">
        <f>IF('Données projet'!$A$192&gt;35,EJ156+EI157-ER156,IF(A157&lt;'Données projet'!$A$192,$EG$205^A157,IF(A157='Données projet'!$A$192,'Données projet'!$B$192,EJ156+EI157-ER156)))</f>
        <v>126.81410256410203</v>
      </c>
      <c r="EK157" s="17">
        <f>EJ157*VLOOKUP('Données projet'!$B$15,Paramètres!$A$1:$I$89,3,0)*VLOOKUP('Données projet'!$B$15,Paramètres!$A$1:$I$89,5,0)</f>
        <v>122.65459999999949</v>
      </c>
      <c r="EL157" s="13">
        <f t="shared" si="179"/>
        <v>32.293350503670261</v>
      </c>
      <c r="EM157" s="20">
        <f t="shared" si="180"/>
        <v>269.86768046055812</v>
      </c>
      <c r="EN157" s="59">
        <f t="shared" si="128"/>
        <v>558.61938889687326</v>
      </c>
      <c r="EO157" s="59">
        <f ca="1">AVERAGE(OFFSET($EN$3,0,0,'Données projet'!$E$15+1,1))-AVERAGE(OFFSET($H$3,0,0,'Données projet'!$E$15+1,1))</f>
        <v>398.06270423055565</v>
      </c>
      <c r="EP157" s="59">
        <f t="shared" si="154"/>
        <v>239.15364562040614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111.03643819378773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111.03643819378773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68.750465937176841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-1.7053025658242404E-13</v>
      </c>
      <c r="FF157" s="17">
        <f>FE157*VLOOKUP('Données projet'!$B$16,Paramètres!$A$1:$I$89,3,0)*VLOOKUP('Données projet'!$B$16,Paramètres!$A$1:$I$89,5,0)</f>
        <v>-1.0197709343628959E-13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334.13861979962491</v>
      </c>
      <c r="FK157" s="59">
        <f t="shared" si="156"/>
        <v>416.48635183664305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23.382893351211322</v>
      </c>
      <c r="FR157" s="21">
        <f>EXP(-LN(2)/25)*FR156+(1-EXP(-LN(2)/25))/(LN(2)/25)*Calculateur!FM157*Calculateur!FO157*VLOOKUP('Données projet'!$B$16,Paramètres!$A$1:$I$89,3,0)*0.475*44/12</f>
        <v>2.9200504949469477</v>
      </c>
      <c r="FS157" s="21">
        <f>EXP(-LN(2)/2)*FS156+(1-EXP(-LN(2)/2))/(LN(2)/2)*FM157*FP157*VLOOKUP('Données projet'!$B$16,Paramètres!$A$1:$I$89,3,0)*0.475*44/12</f>
        <v>7.1776133379603257E-14</v>
      </c>
      <c r="FT157" s="22">
        <f t="shared" si="184"/>
        <v>26.302943846158342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68.750465937176841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3.4106051316484809E-13</v>
      </c>
      <c r="GA157" s="17">
        <f>FZ157*VLOOKUP('Données projet'!$B$17,Paramètres!$A$1:$I$89,3,0)*VLOOKUP('Données projet'!$B$17,Paramètres!$A$1:$I$89,5,0)</f>
        <v>1.5961632016114892E-13</v>
      </c>
      <c r="GB157" s="13">
        <f t="shared" si="185"/>
        <v>2.2708641912150958E-12</v>
      </c>
      <c r="GC157" s="20">
        <f t="shared" si="186"/>
        <v>4.2330868906469593E-12</v>
      </c>
      <c r="GD157" s="59">
        <f t="shared" si="134"/>
        <v>288.75170843631929</v>
      </c>
      <c r="GE157" s="59">
        <f ca="1">AVERAGE(OFFSET($GD$3,0,0,'Données projet'!$E$17+1,1))-AVERAGE(OFFSET($H$3,0,0,'Données projet'!$E$17+1,1))</f>
        <v>317.79829681023142</v>
      </c>
      <c r="GF157" s="59">
        <f t="shared" si="158"/>
        <v>275.07716943523621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66.39632533106014</v>
      </c>
      <c r="GM157" s="21">
        <f>EXP(-LN(2)/25)*GM156+(1-EXP(-LN(2)/25))/(LN(2)/25)*Calculateur!GH157*Calculateur!GJ157*VLOOKUP('Données projet'!$B$17,Paramètres!$A$1:$I$89,3,0)*0.475*44/12</f>
        <v>11.288994281680322</v>
      </c>
      <c r="GN157" s="21">
        <f>EXP(-LN(2)/2)*GN156+(1-EXP(-LN(2)/2))/(LN(2)/2)*GH157*GK157*VLOOKUP('Données projet'!$B$17,Paramètres!$A$1:$I$89,3,0)*0.475*44/12</f>
        <v>9.3509700748285346E-7</v>
      </c>
      <c r="GO157" s="21">
        <f t="shared" si="187"/>
        <v>77.685320547837463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68.750465937176841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>
        <f>GU157*VLOOKUP('Données projet'!$B$18,Paramètres!$A$1:$I$89,3,0)*VLOOKUP('Données projet'!$B$18,Paramètres!$A$1:$I$89,5,0)</f>
        <v>0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336.21787234885699</v>
      </c>
      <c r="HA157" s="59">
        <f t="shared" si="160"/>
        <v>315.36156736899113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39.877860831778008</v>
      </c>
      <c r="HH157" s="21">
        <f>EXP(-LN(2)/25)*HH156+(1-EXP(-LN(2)/25))/(LN(2)/25)*Calculateur!HC157*Calculateur!HE157*VLOOKUP('Données projet'!$B$18,Paramètres!$A$1:$I$89,3,0)*0.475*44/12</f>
        <v>5.3986284664795399</v>
      </c>
      <c r="HI157" s="21">
        <f>EXP(-LN(2)/2)*HI156+(1-EXP(-LN(2)/2))/(LN(2)/2)*HC157*HF157*VLOOKUP('Données projet'!$B$18,Paramètres!$A$1:$I$89,3,0)*0.475*44/12</f>
        <v>9.0568301648914914E-12</v>
      </c>
      <c r="HJ157" s="22">
        <f t="shared" si="190"/>
        <v>45.276489298266604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3.7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13.566666666666668</v>
      </c>
      <c r="H158" s="67">
        <f t="shared" si="110"/>
        <v>202.4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68.77214255962717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5.1431925385259092E-13</v>
      </c>
      <c r="P158" s="13">
        <f t="shared" si="141"/>
        <v>6.3855359115685756E-12</v>
      </c>
      <c r="Q158" s="20">
        <f t="shared" si="162"/>
        <v>1.2017247746441865E-11</v>
      </c>
      <c r="R158" s="59">
        <f t="shared" si="109"/>
        <v>288.83118938531163</v>
      </c>
      <c r="S158" s="59">
        <f ca="1">AVERAGE(OFFSET($R$3,0,0,'Données projet'!$E$9+1,1))-AVERAGE(OFFSET($H$3,0,0,'Données projet'!$E$9+1,1))</f>
        <v>411.64357329340851</v>
      </c>
      <c r="T158" s="59">
        <f t="shared" si="142"/>
        <v>294.07942258675632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106.30153295340226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106.30153295340226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68.77214255962717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5.763922672485933E-13</v>
      </c>
      <c r="AK158" s="13">
        <f t="shared" si="164"/>
        <v>7.0619171555808457E-12</v>
      </c>
      <c r="AL158" s="20">
        <f t="shared" si="165"/>
        <v>1.3303388911427938E-11</v>
      </c>
      <c r="AM158" s="59">
        <f t="shared" si="113"/>
        <v>288.83118938531294</v>
      </c>
      <c r="AN158" s="59">
        <f ca="1">AVERAGE(OFFSET($AM$3,0,0,'Données projet'!$E$10+1,1))-AVERAGE(OFFSET($H$3,0,0,'Données projet'!$E$10+1,1))</f>
        <v>453.05577105995508</v>
      </c>
      <c r="AO158" s="59">
        <f t="shared" si="144"/>
        <v>322.6839824496758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119.13102830984739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119.13102830984739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68.77214255962717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5.0924145299145307</v>
      </c>
      <c r="BD158" s="12">
        <f>IF('Données projet'!$A$88&gt;35,BD157+BC158-BL157,IF(A158&lt;'Données projet'!$A$88,$BA$205^A158,IF(A158='Données projet'!$A$88,'Données projet'!$B$88,BD157+BC158-BL157)))</f>
        <v>277.47168803418799</v>
      </c>
      <c r="BE158" s="13">
        <f>BD158*VLOOKUP('Données projet'!$B$11,Paramètres!$A$1:$I$89,3,0)*VLOOKUP('Données projet'!$B$11,Paramètres!$A$1:$I$89,5,0)</f>
        <v>277.02773333333329</v>
      </c>
      <c r="BF158" s="13">
        <f t="shared" si="167"/>
        <v>66.338493890099642</v>
      </c>
      <c r="BG158" s="20">
        <f t="shared" si="168"/>
        <v>598.02951241414564</v>
      </c>
      <c r="BH158" s="59">
        <f t="shared" si="116"/>
        <v>886.86070179944522</v>
      </c>
      <c r="BI158" s="59">
        <f ca="1">AVERAGE(OFFSET($BH$3,0,0,'Données projet'!$E$11+1,1))-AVERAGE(OFFSET($H$3,0,0,'Données projet'!$E$11+1,1))</f>
        <v>411.38162678377478</v>
      </c>
      <c r="BJ158" s="59">
        <f t="shared" si="146"/>
        <v>177.89903563360403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31.807319480404491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31.807319480404491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68.77214255962717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212.00000000000009</v>
      </c>
      <c r="BZ158" s="13">
        <f>BY158*VLOOKUP('Données projet'!$B$12,Paramètres!$A$1:$I$89,3,0)*VLOOKUP('Données projet'!$B$12,Paramètres!$A$1:$I$89,5,0)</f>
        <v>221.58240000000012</v>
      </c>
      <c r="CA158" s="13">
        <f t="shared" si="170"/>
        <v>54.458668952651578</v>
      </c>
      <c r="CB158" s="20">
        <f t="shared" si="171"/>
        <v>480.77152842586838</v>
      </c>
      <c r="CC158" s="59">
        <f t="shared" si="119"/>
        <v>769.60271781116808</v>
      </c>
      <c r="CD158" s="59">
        <f ca="1">AVERAGE(OFFSET($CC$3,0,0,'Données projet'!$E$12+1,1))-AVERAGE(OFFSET($H$3,0,0,'Données projet'!$E$12+1,1))</f>
        <v>374.38550202939507</v>
      </c>
      <c r="CE158" s="59">
        <f t="shared" si="148"/>
        <v>324.37486924296718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6.0121768008893053</v>
      </c>
      <c r="CL158" s="21">
        <f>EXP(-LN(2)/25)*CL157+(1-EXP(-LN(2)/25))/(LN(2)/25)*Calculateur!CG158*Calculateur!CI158*VLOOKUP('Données projet'!$B$12,Paramètres!$A$1:$I$89,3,0)*0.475*44/12</f>
        <v>3.6420777689871855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9.6542545698764908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68.77214255962717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1.8717948717948829</v>
      </c>
      <c r="CT158" s="12">
        <f>IF('Données projet'!$A$140&gt;35,CT157+CS158-DB157,IF(A158&lt;'Données projet'!$A$140,$CQ$205^A158,IF(A158='Données projet'!$A$140,'Données projet'!$B$140,CT157+CS158-DB157)))</f>
        <v>128.68589743589692</v>
      </c>
      <c r="CU158" s="17">
        <f>CT158*VLOOKUP('Données projet'!$B$13,Paramètres!$A$1:$I$89,3,0)*VLOOKUP('Données projet'!$B$13,Paramètres!$A$1:$I$89,5,0)</f>
        <v>122.45749999999951</v>
      </c>
      <c r="CV158" s="13">
        <f t="shared" si="173"/>
        <v>32.247492807038746</v>
      </c>
      <c r="CW158" s="20">
        <f t="shared" si="174"/>
        <v>269.44452913892491</v>
      </c>
      <c r="CX158" s="59">
        <f t="shared" si="122"/>
        <v>558.27571852422454</v>
      </c>
      <c r="CY158" s="59">
        <f ca="1">AVERAGE(OFFSET($CX$3,0,0,'Données projet'!$E$13+1,1))-AVERAGE(OFFSET($H$3,0,0,'Données projet'!$E$13+1,1))</f>
        <v>392.81074187112989</v>
      </c>
      <c r="CZ158" s="59">
        <f t="shared" si="150"/>
        <v>236.19146849073687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107.10328973140641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107.10328973140641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68.77214255962717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1.8717948717948829</v>
      </c>
      <c r="DO158" s="12">
        <f>IF('Données projet'!$A$166&gt;35,DO157+DN158-DW157,IF(A158&lt;'Données projet'!$A$166,$DL$205^A158,IF(A158='Données projet'!$A$166,'Données projet'!$B$166,DO157+DN158-DW157)))</f>
        <v>128.68589743589692</v>
      </c>
      <c r="DP158" s="17">
        <f>DO158*VLOOKUP('Données projet'!$B$14,Paramètres!$A$1:$I$89,3,0)*VLOOKUP('Données projet'!$B$14,Paramètres!$A$1:$I$89,5,0)</f>
        <v>138.51749999999944</v>
      </c>
      <c r="DQ158" s="13">
        <f t="shared" si="176"/>
        <v>35.957175426955089</v>
      </c>
      <c r="DR158" s="20">
        <f t="shared" si="177"/>
        <v>303.87672636861254</v>
      </c>
      <c r="DS158" s="59">
        <f t="shared" si="125"/>
        <v>592.70791575391218</v>
      </c>
      <c r="DT158" s="59">
        <f ca="1">AVERAGE(OFFSET($DS$3,0,0,'Données projet'!$E$14+1,1))-AVERAGE(OFFSET($H$3,0,0,'Données projet'!$E$14+1,1))</f>
        <v>434.77799524785502</v>
      </c>
      <c r="DU158" s="59">
        <f t="shared" si="152"/>
        <v>259.85949838170006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121.14962281093511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121.14962281093511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68.77214255962717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1.8717948717948829</v>
      </c>
      <c r="EJ158" s="12">
        <f>IF('Données projet'!$A$192&gt;35,EJ157+EI158-ER157,IF(A158&lt;'Données projet'!$A$192,$EG$205^A158,IF(A158='Données projet'!$A$192,'Données projet'!$B$192,EJ157+EI158-ER157)))</f>
        <v>128.68589743589692</v>
      </c>
      <c r="EK158" s="17">
        <f>EJ158*VLOOKUP('Données projet'!$B$15,Paramètres!$A$1:$I$89,3,0)*VLOOKUP('Données projet'!$B$15,Paramètres!$A$1:$I$89,5,0)</f>
        <v>124.46499999999952</v>
      </c>
      <c r="EL158" s="13">
        <f t="shared" si="179"/>
        <v>32.714162693939279</v>
      </c>
      <c r="EM158" s="20">
        <f t="shared" si="180"/>
        <v>273.75370835861008</v>
      </c>
      <c r="EN158" s="59">
        <f t="shared" si="128"/>
        <v>562.58489774390978</v>
      </c>
      <c r="EO158" s="59">
        <f ca="1">AVERAGE(OFFSET($EN$3,0,0,'Données projet'!$E$15+1,1))-AVERAGE(OFFSET($H$3,0,0,'Données projet'!$E$15+1,1))</f>
        <v>398.06270423055565</v>
      </c>
      <c r="EP158" s="59">
        <f t="shared" si="154"/>
        <v>239.15364562040614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108.85908136634751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108.85908136634751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68.77214255962717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-1.7053025658242404E-13</v>
      </c>
      <c r="FF158" s="17">
        <f>FE158*VLOOKUP('Données projet'!$B$16,Paramètres!$A$1:$I$89,3,0)*VLOOKUP('Données projet'!$B$16,Paramètres!$A$1:$I$89,5,0)</f>
        <v>-1.0197709343628959E-13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334.13861979962491</v>
      </c>
      <c r="FK158" s="59">
        <f t="shared" si="156"/>
        <v>416.48635183664305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22.924369074750743</v>
      </c>
      <c r="FR158" s="21">
        <f>EXP(-LN(2)/25)*FR157+(1-EXP(-LN(2)/25))/(LN(2)/25)*Calculateur!FM158*Calculateur!FO158*VLOOKUP('Données projet'!$B$16,Paramètres!$A$1:$I$89,3,0)*0.475*44/12</f>
        <v>2.8402015606038415</v>
      </c>
      <c r="FS158" s="21">
        <f>EXP(-LN(2)/2)*FS157+(1-EXP(-LN(2)/2))/(LN(2)/2)*FM158*FP158*VLOOKUP('Données projet'!$B$16,Paramètres!$A$1:$I$89,3,0)*0.475*44/12</f>
        <v>5.0753390640067571E-14</v>
      </c>
      <c r="FT158" s="22">
        <f t="shared" si="184"/>
        <v>25.764570635354634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68.77214255962717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3.4106051316484809E-13</v>
      </c>
      <c r="GA158" s="17">
        <f>FZ158*VLOOKUP('Données projet'!$B$17,Paramètres!$A$1:$I$89,3,0)*VLOOKUP('Données projet'!$B$17,Paramètres!$A$1:$I$89,5,0)</f>
        <v>1.5961632016114892E-13</v>
      </c>
      <c r="GB158" s="13">
        <f t="shared" si="185"/>
        <v>2.2708641912150958E-12</v>
      </c>
      <c r="GC158" s="20">
        <f t="shared" si="186"/>
        <v>4.2330868906469593E-12</v>
      </c>
      <c r="GD158" s="59">
        <f t="shared" si="134"/>
        <v>288.83118938530384</v>
      </c>
      <c r="GE158" s="59">
        <f ca="1">AVERAGE(OFFSET($GD$3,0,0,'Données projet'!$E$17+1,1))-AVERAGE(OFFSET($H$3,0,0,'Données projet'!$E$17+1,1))</f>
        <v>317.79829681023142</v>
      </c>
      <c r="GF158" s="59">
        <f t="shared" si="158"/>
        <v>275.07716943523621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65.094333889077674</v>
      </c>
      <c r="GM158" s="21">
        <f>EXP(-LN(2)/25)*GM157+(1-EXP(-LN(2)/25))/(LN(2)/25)*Calculateur!GH158*Calculateur!GJ158*VLOOKUP('Données projet'!$B$17,Paramètres!$A$1:$I$89,3,0)*0.475*44/12</f>
        <v>10.980296139385366</v>
      </c>
      <c r="GN158" s="21">
        <f>EXP(-LN(2)/2)*GN157+(1-EXP(-LN(2)/2))/(LN(2)/2)*GH158*GK158*VLOOKUP('Données projet'!$B$17,Paramètres!$A$1:$I$89,3,0)*0.475*44/12</f>
        <v>6.6121343505837354E-7</v>
      </c>
      <c r="GO158" s="21">
        <f t="shared" si="187"/>
        <v>76.074630689676482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68.77214255962717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>
        <f>GU158*VLOOKUP('Données projet'!$B$18,Paramètres!$A$1:$I$89,3,0)*VLOOKUP('Données projet'!$B$18,Paramètres!$A$1:$I$89,5,0)</f>
        <v>0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336.21787234885699</v>
      </c>
      <c r="HA158" s="59">
        <f t="shared" si="160"/>
        <v>315.36156736899113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39.095880303960243</v>
      </c>
      <c r="HH158" s="21">
        <f>EXP(-LN(2)/25)*HH157+(1-EXP(-LN(2)/25))/(LN(2)/25)*Calculateur!HC158*Calculateur!HE158*VLOOKUP('Données projet'!$B$18,Paramètres!$A$1:$I$89,3,0)*0.475*44/12</f>
        <v>5.2510026871621243</v>
      </c>
      <c r="HI158" s="21">
        <f>EXP(-LN(2)/2)*HI157+(1-EXP(-LN(2)/2))/(LN(2)/2)*HC158*HF158*VLOOKUP('Données projet'!$B$18,Paramètres!$A$1:$I$89,3,0)*0.475*44/12</f>
        <v>6.4041460256496511E-12</v>
      </c>
      <c r="HJ158" s="22">
        <f t="shared" si="190"/>
        <v>44.346882991128773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3.7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13.566666666666668</v>
      </c>
      <c r="H159" s="67">
        <f t="shared" si="110"/>
        <v>202.4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68.793443141139633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5.1431925385259092E-13</v>
      </c>
      <c r="P159" s="13">
        <f t="shared" si="141"/>
        <v>6.3855359115685756E-12</v>
      </c>
      <c r="Q159" s="20">
        <f t="shared" si="162"/>
        <v>1.2017247746441865E-11</v>
      </c>
      <c r="R159" s="59">
        <f t="shared" si="109"/>
        <v>288.90929151752397</v>
      </c>
      <c r="S159" s="59">
        <f ca="1">AVERAGE(OFFSET($R$3,0,0,'Données projet'!$E$9+1,1))-AVERAGE(OFFSET($H$3,0,0,'Données projet'!$E$9+1,1))</f>
        <v>411.64357329340851</v>
      </c>
      <c r="T159" s="59">
        <f t="shared" si="142"/>
        <v>294.07942258675632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104.21702472971897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104.21702472971897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68.793443141139633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5.763922672485933E-13</v>
      </c>
      <c r="AK159" s="13">
        <f t="shared" si="164"/>
        <v>7.0619171555808457E-12</v>
      </c>
      <c r="AL159" s="20">
        <f t="shared" si="165"/>
        <v>1.3303388911427938E-11</v>
      </c>
      <c r="AM159" s="59">
        <f t="shared" si="113"/>
        <v>288.90929151752528</v>
      </c>
      <c r="AN159" s="59">
        <f ca="1">AVERAGE(OFFSET($AM$3,0,0,'Données projet'!$E$10+1,1))-AVERAGE(OFFSET($H$3,0,0,'Données projet'!$E$10+1,1))</f>
        <v>453.05577105995508</v>
      </c>
      <c r="AO159" s="59">
        <f t="shared" si="144"/>
        <v>322.6839824496758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116.79494150744371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116.79494150744371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68.793443141139633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>
        <f>VLOOKUP(A159,'Données projet'!$A$87:$I$107,2,0)</f>
        <v>282.56410256410254</v>
      </c>
      <c r="BB159" s="12">
        <f>VLOOKUP(A159,'Données projet'!$A$87:$I$107,9,0)</f>
        <v>5.0924145299145307</v>
      </c>
      <c r="BC159" s="12">
        <f t="array" ref="BC159">INDEX(BB:BB,MIN(IF(ISNUMBER(BB159:BB355),ROW(BB159:BB355),"")))</f>
        <v>5.0924145299145307</v>
      </c>
      <c r="BD159" s="12">
        <f>IF('Données projet'!$A$88&gt;35,BD158+BC159-BL158,IF(A159&lt;'Données projet'!$A$88,$BA$205^A159,IF(A159='Données projet'!$A$88,'Données projet'!$B$88,BD158+BC159-BL158)))</f>
        <v>282.56410256410254</v>
      </c>
      <c r="BE159" s="13">
        <f>BD159*VLOOKUP('Données projet'!$B$11,Paramètres!$A$1:$I$89,3,0)*VLOOKUP('Données projet'!$B$11,Paramètres!$A$1:$I$89,5,0)</f>
        <v>282.11199999999997</v>
      </c>
      <c r="BF159" s="13">
        <f t="shared" si="167"/>
        <v>67.413139807015355</v>
      </c>
      <c r="BG159" s="20">
        <f t="shared" si="168"/>
        <v>608.75628516388485</v>
      </c>
      <c r="BH159" s="59">
        <f t="shared" si="116"/>
        <v>897.66557668139683</v>
      </c>
      <c r="BI159" s="59">
        <f ca="1">AVERAGE(OFFSET($BH$3,0,0,'Données projet'!$E$11+1,1))-AVERAGE(OFFSET($H$3,0,0,'Données projet'!$E$11+1,1))</f>
        <v>411.38162678377478</v>
      </c>
      <c r="BJ159" s="59">
        <f t="shared" si="146"/>
        <v>177.89903563360403</v>
      </c>
      <c r="BK159" s="15">
        <f>IF(ISNA(VLOOKUP(A159,'Données projet'!$A$87:$I$107,3,0)),0,VLOOKUP(A159,'Données projet'!$A$87:$I$107,3,0))</f>
        <v>11</v>
      </c>
      <c r="BL159" s="15">
        <f>IF(ISNA(VLOOKUP(A159,'Données projet'!$A$87:$I$107,4,0)),0,VLOOKUP(A159,'Données projet'!$A$87:$I$107,4,0))</f>
        <v>45.429487179487182</v>
      </c>
      <c r="BM159" s="16">
        <f>IF(ISNA(VLOOKUP(A159,'Données projet'!$A$87:$I$107,5,0)),0%,VLOOKUP(A159,'Données projet'!$A$87:$I$107,5,0)*VLOOKUP('Données projet'!$B$11,Paramètres!$A$1:$I$89,7,0))</f>
        <v>0.30099999999999999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46.275917617973434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46.275917617973434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68.793443141139633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212.00000000000009</v>
      </c>
      <c r="BZ159" s="13">
        <f>BY159*VLOOKUP('Données projet'!$B$12,Paramètres!$A$1:$I$89,3,0)*VLOOKUP('Données projet'!$B$12,Paramètres!$A$1:$I$89,5,0)</f>
        <v>221.58240000000012</v>
      </c>
      <c r="CA159" s="13">
        <f t="shared" si="170"/>
        <v>54.458668952651578</v>
      </c>
      <c r="CB159" s="20">
        <f t="shared" si="171"/>
        <v>480.77152842586838</v>
      </c>
      <c r="CC159" s="59">
        <f t="shared" si="119"/>
        <v>769.68081994338036</v>
      </c>
      <c r="CD159" s="59">
        <f ca="1">AVERAGE(OFFSET($CC$3,0,0,'Données projet'!$E$12+1,1))-AVERAGE(OFFSET($H$3,0,0,'Données projet'!$E$12+1,1))</f>
        <v>374.38550202939507</v>
      </c>
      <c r="CE159" s="59">
        <f t="shared" si="148"/>
        <v>324.37486924296718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5.8942816808896215</v>
      </c>
      <c r="CL159" s="21">
        <f>EXP(-LN(2)/25)*CL158+(1-EXP(-LN(2)/25))/(LN(2)/25)*Calculateur!CG159*Calculateur!CI159*VLOOKUP('Données projet'!$B$12,Paramètres!$A$1:$I$89,3,0)*0.475*44/12</f>
        <v>3.5424849608656852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9.4367666417553071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68.793443141139633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1.8717948717948829</v>
      </c>
      <c r="CT159" s="12">
        <f>IF('Données projet'!$A$140&gt;35,CT158+CS159-DB158,IF(A159&lt;'Données projet'!$A$140,$CQ$205^A159,IF(A159='Données projet'!$A$140,'Données projet'!$B$140,CT158+CS159-DB158)))</f>
        <v>130.55769230769181</v>
      </c>
      <c r="CU159" s="17">
        <f>CT159*VLOOKUP('Données projet'!$B$13,Paramètres!$A$1:$I$89,3,0)*VLOOKUP('Données projet'!$B$13,Paramètres!$A$1:$I$89,5,0)</f>
        <v>124.23869999999953</v>
      </c>
      <c r="CV159" s="13">
        <f t="shared" si="173"/>
        <v>32.66160033933366</v>
      </c>
      <c r="CW159" s="20">
        <f t="shared" si="174"/>
        <v>273.26802309100526</v>
      </c>
      <c r="CX159" s="59">
        <f t="shared" si="122"/>
        <v>562.17731460851724</v>
      </c>
      <c r="CY159" s="59">
        <f ca="1">AVERAGE(OFFSET($CX$3,0,0,'Données projet'!$E$13+1,1))-AVERAGE(OFFSET($H$3,0,0,'Données projet'!$E$13+1,1))</f>
        <v>392.81074187112989</v>
      </c>
      <c r="CZ159" s="59">
        <f t="shared" si="150"/>
        <v>236.19146849073687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105.00305954632979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105.00305954632979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68.793443141139633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1.8717948717948829</v>
      </c>
      <c r="DO159" s="12">
        <f>IF('Données projet'!$A$166&gt;35,DO158+DN159-DW158,IF(A159&lt;'Données projet'!$A$166,$DL$205^A159,IF(A159='Données projet'!$A$166,'Données projet'!$B$166,DO158+DN159-DW158)))</f>
        <v>130.55769230769181</v>
      </c>
      <c r="DP159" s="17">
        <f>DO159*VLOOKUP('Données projet'!$B$14,Paramètres!$A$1:$I$89,3,0)*VLOOKUP('Données projet'!$B$14,Paramètres!$A$1:$I$89,5,0)</f>
        <v>140.53229999999945</v>
      </c>
      <c r="DQ159" s="13">
        <f t="shared" si="176"/>
        <v>36.4189210043074</v>
      </c>
      <c r="DR159" s="20">
        <f t="shared" si="177"/>
        <v>308.19004324916779</v>
      </c>
      <c r="DS159" s="59">
        <f t="shared" si="125"/>
        <v>597.0993347666797</v>
      </c>
      <c r="DT159" s="59">
        <f ca="1">AVERAGE(OFFSET($DS$3,0,0,'Données projet'!$E$14+1,1))-AVERAGE(OFFSET($H$3,0,0,'Données projet'!$E$14+1,1))</f>
        <v>434.77799524785502</v>
      </c>
      <c r="DU159" s="59">
        <f t="shared" si="152"/>
        <v>259.85949838170006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118.77395260158616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118.77395260158616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68.793443141139633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1.8717948717948829</v>
      </c>
      <c r="EJ159" s="12">
        <f>IF('Données projet'!$A$192&gt;35,EJ158+EI159-ER158,IF(A159&lt;'Données projet'!$A$192,$EG$205^A159,IF(A159='Données projet'!$A$192,'Données projet'!$B$192,EJ158+EI159-ER158)))</f>
        <v>130.55769230769181</v>
      </c>
      <c r="EK159" s="17">
        <f>EJ159*VLOOKUP('Données projet'!$B$15,Paramètres!$A$1:$I$89,3,0)*VLOOKUP('Données projet'!$B$15,Paramètres!$A$1:$I$89,5,0)</f>
        <v>126.27539999999952</v>
      </c>
      <c r="EL159" s="13">
        <f t="shared" si="179"/>
        <v>33.134262987172754</v>
      </c>
      <c r="EM159" s="20">
        <f t="shared" si="180"/>
        <v>277.63849636932508</v>
      </c>
      <c r="EN159" s="59">
        <f t="shared" si="128"/>
        <v>566.54778788683711</v>
      </c>
      <c r="EO159" s="59">
        <f ca="1">AVERAGE(OFFSET($EN$3,0,0,'Données projet'!$E$15+1,1))-AVERAGE(OFFSET($H$3,0,0,'Données projet'!$E$15+1,1))</f>
        <v>398.06270423055565</v>
      </c>
      <c r="EP159" s="59">
        <f t="shared" si="154"/>
        <v>239.15364562040614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106.72442117823687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106.72442117823687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68.793443141139633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-1.7053025658242404E-13</v>
      </c>
      <c r="FF159" s="17">
        <f>FE159*VLOOKUP('Données projet'!$B$16,Paramètres!$A$1:$I$89,3,0)*VLOOKUP('Données projet'!$B$16,Paramètres!$A$1:$I$89,5,0)</f>
        <v>-1.0197709343628959E-13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334.13861979962491</v>
      </c>
      <c r="FK159" s="59">
        <f t="shared" si="156"/>
        <v>416.48635183664305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22.474836179679361</v>
      </c>
      <c r="FR159" s="21">
        <f>EXP(-LN(2)/25)*FR158+(1-EXP(-LN(2)/25))/(LN(2)/25)*Calculateur!FM159*Calculateur!FO159*VLOOKUP('Données projet'!$B$16,Paramètres!$A$1:$I$89,3,0)*0.475*44/12</f>
        <v>2.7625360995694206</v>
      </c>
      <c r="FS159" s="21">
        <f>EXP(-LN(2)/2)*FS158+(1-EXP(-LN(2)/2))/(LN(2)/2)*FM159*FP159*VLOOKUP('Données projet'!$B$16,Paramètres!$A$1:$I$89,3,0)*0.475*44/12</f>
        <v>3.5888066689801628E-14</v>
      </c>
      <c r="FT159" s="22">
        <f t="shared" si="184"/>
        <v>25.237372279248817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68.793443141139633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3.4106051316484809E-13</v>
      </c>
      <c r="GA159" s="17">
        <f>FZ159*VLOOKUP('Données projet'!$B$17,Paramètres!$A$1:$I$89,3,0)*VLOOKUP('Données projet'!$B$17,Paramètres!$A$1:$I$89,5,0)</f>
        <v>1.5961632016114892E-13</v>
      </c>
      <c r="GB159" s="13">
        <f t="shared" si="185"/>
        <v>2.2708641912150958E-12</v>
      </c>
      <c r="GC159" s="20">
        <f t="shared" si="186"/>
        <v>4.2330868906469593E-12</v>
      </c>
      <c r="GD159" s="59">
        <f t="shared" si="134"/>
        <v>288.90929151751618</v>
      </c>
      <c r="GE159" s="59">
        <f ca="1">AVERAGE(OFFSET($GD$3,0,0,'Données projet'!$E$17+1,1))-AVERAGE(OFFSET($H$3,0,0,'Données projet'!$E$17+1,1))</f>
        <v>317.79829681023142</v>
      </c>
      <c r="GF159" s="59">
        <f t="shared" si="158"/>
        <v>275.07716943523621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63.81787370513613</v>
      </c>
      <c r="GM159" s="21">
        <f>EXP(-LN(2)/25)*GM158+(1-EXP(-LN(2)/25))/(LN(2)/25)*Calculateur!GH159*Calculateur!GJ159*VLOOKUP('Données projet'!$B$17,Paramètres!$A$1:$I$89,3,0)*0.475*44/12</f>
        <v>10.680039364025195</v>
      </c>
      <c r="GN159" s="21">
        <f>EXP(-LN(2)/2)*GN158+(1-EXP(-LN(2)/2))/(LN(2)/2)*GH159*GK159*VLOOKUP('Données projet'!$B$17,Paramètres!$A$1:$I$89,3,0)*0.475*44/12</f>
        <v>4.6754850374142684E-7</v>
      </c>
      <c r="GO159" s="21">
        <f t="shared" si="187"/>
        <v>74.497913536709831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68.793443141139633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>
        <f>GU159*VLOOKUP('Données projet'!$B$18,Paramètres!$A$1:$I$89,3,0)*VLOOKUP('Données projet'!$B$18,Paramètres!$A$1:$I$89,5,0)</f>
        <v>0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336.21787234885699</v>
      </c>
      <c r="HA159" s="59">
        <f t="shared" si="160"/>
        <v>315.36156736899113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38.329233937331956</v>
      </c>
      <c r="HH159" s="21">
        <f>EXP(-LN(2)/25)*HH158+(1-EXP(-LN(2)/25))/(LN(2)/25)*Calculateur!HC159*Calculateur!HE159*VLOOKUP('Données projet'!$B$18,Paramètres!$A$1:$I$89,3,0)*0.475*44/12</f>
        <v>5.1074137425434456</v>
      </c>
      <c r="HI159" s="21">
        <f>EXP(-LN(2)/2)*HI158+(1-EXP(-LN(2)/2))/(LN(2)/2)*HC159*HF159*VLOOKUP('Données projet'!$B$18,Paramètres!$A$1:$I$89,3,0)*0.475*44/12</f>
        <v>4.5284150824457457E-12</v>
      </c>
      <c r="HJ159" s="22">
        <f t="shared" si="190"/>
        <v>43.436647679879925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3.7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13.566666666666668</v>
      </c>
      <c r="H160" s="67">
        <f t="shared" si="110"/>
        <v>202.4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68.814374205183839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5.1431925385259092E-13</v>
      </c>
      <c r="P160" s="13">
        <f t="shared" si="141"/>
        <v>6.3855359115685756E-12</v>
      </c>
      <c r="Q160" s="20">
        <f t="shared" si="162"/>
        <v>1.2017247746441865E-11</v>
      </c>
      <c r="R160" s="59">
        <f t="shared" si="109"/>
        <v>288.98603875235273</v>
      </c>
      <c r="S160" s="59">
        <f ca="1">AVERAGE(OFFSET($R$3,0,0,'Données projet'!$E$9+1,1))-AVERAGE(OFFSET($H$3,0,0,'Données projet'!$E$9+1,1))</f>
        <v>411.64357329340851</v>
      </c>
      <c r="T160" s="59">
        <f t="shared" si="142"/>
        <v>294.07942258675632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102.17339244087763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102.17339244087763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68.814374205183839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5.763922672485933E-13</v>
      </c>
      <c r="AK160" s="13">
        <f t="shared" si="164"/>
        <v>7.0619171555808457E-12</v>
      </c>
      <c r="AL160" s="20">
        <f t="shared" si="165"/>
        <v>1.3303388911427938E-11</v>
      </c>
      <c r="AM160" s="59">
        <f t="shared" si="113"/>
        <v>288.98603875235403</v>
      </c>
      <c r="AN160" s="59">
        <f ca="1">AVERAGE(OFFSET($AM$3,0,0,'Données projet'!$E$10+1,1))-AVERAGE(OFFSET($H$3,0,0,'Données projet'!$E$10+1,1))</f>
        <v>453.05577105995508</v>
      </c>
      <c r="AO160" s="59">
        <f t="shared" si="144"/>
        <v>322.6839824496758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114.5046639423629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114.5046639423629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68.814374205183839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5.1821581196581166</v>
      </c>
      <c r="BD160" s="12">
        <f>IF('Données projet'!$A$88&gt;35,BD159+BC160-BL159,IF(A160&lt;'Données projet'!$A$88,$BA$205^A160,IF(A160='Données projet'!$A$88,'Données projet'!$B$88,BD159+BC160-BL159)))</f>
        <v>242.3167735042735</v>
      </c>
      <c r="BE160" s="13">
        <f>BD160*VLOOKUP('Données projet'!$B$11,Paramètres!$A$1:$I$89,3,0)*VLOOKUP('Données projet'!$B$11,Paramètres!$A$1:$I$89,5,0)</f>
        <v>241.92906666666667</v>
      </c>
      <c r="BF160" s="13">
        <f t="shared" si="167"/>
        <v>58.854384992140638</v>
      </c>
      <c r="BG160" s="20">
        <f t="shared" si="168"/>
        <v>523.8645116390893</v>
      </c>
      <c r="BH160" s="59">
        <f t="shared" si="116"/>
        <v>812.85055039143003</v>
      </c>
      <c r="BI160" s="59">
        <f ca="1">AVERAGE(OFFSET($BH$3,0,0,'Données projet'!$E$11+1,1))-AVERAGE(OFFSET($H$3,0,0,'Données projet'!$E$11+1,1))</f>
        <v>411.38162678377478</v>
      </c>
      <c r="BJ160" s="59">
        <f t="shared" si="146"/>
        <v>177.89903563360403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45.368475099007682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45.368475099007682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68.814374205183839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212.00000000000009</v>
      </c>
      <c r="BZ160" s="13">
        <f>BY160*VLOOKUP('Données projet'!$B$12,Paramètres!$A$1:$I$89,3,0)*VLOOKUP('Données projet'!$B$12,Paramètres!$A$1:$I$89,5,0)</f>
        <v>221.58240000000012</v>
      </c>
      <c r="CA160" s="13">
        <f t="shared" si="170"/>
        <v>54.458668952651578</v>
      </c>
      <c r="CB160" s="20">
        <f t="shared" si="171"/>
        <v>480.77152842586838</v>
      </c>
      <c r="CC160" s="59">
        <f t="shared" si="119"/>
        <v>769.75756717820911</v>
      </c>
      <c r="CD160" s="59">
        <f ca="1">AVERAGE(OFFSET($CC$3,0,0,'Données projet'!$E$12+1,1))-AVERAGE(OFFSET($H$3,0,0,'Données projet'!$E$12+1,1))</f>
        <v>374.38550202939507</v>
      </c>
      <c r="CE160" s="59">
        <f t="shared" si="148"/>
        <v>324.37486924296718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5.7786984122842089</v>
      </c>
      <c r="CL160" s="21">
        <f>EXP(-LN(2)/25)*CL159+(1-EXP(-LN(2)/25))/(LN(2)/25)*Calculateur!CG160*Calculateur!CI160*VLOOKUP('Données projet'!$B$12,Paramètres!$A$1:$I$89,3,0)*0.475*44/12</f>
        <v>3.4456155233196255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9.2243139356038348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68.814374205183839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>
        <f>VLOOKUP(A160,'Données projet'!$A$139:$I$159,2,0)</f>
        <v>132.42948717948718</v>
      </c>
      <c r="CR160" s="12">
        <f>VLOOKUP(A160,'Données projet'!$A$139:$I$159,9,0)</f>
        <v>1.8717948717948829</v>
      </c>
      <c r="CS160" s="12">
        <f t="array" ref="CS160">INDEX(CR:CR,MIN(IF(ISNUMBER(CR160:CR356),ROW(CR160:CR356),"")))</f>
        <v>1.8717948717948829</v>
      </c>
      <c r="CT160" s="12">
        <f>IF('Données projet'!$A$140&gt;35,CT159+CS160-DB159,IF(A160&lt;'Données projet'!$A$140,$CQ$205^A160,IF(A160='Données projet'!$A$140,'Données projet'!$B$140,CT159+CS160-DB159)))</f>
        <v>132.4294871794867</v>
      </c>
      <c r="CU160" s="17">
        <f>CT160*VLOOKUP('Données projet'!$B$13,Paramètres!$A$1:$I$89,3,0)*VLOOKUP('Données projet'!$B$13,Paramètres!$A$1:$I$89,5,0)</f>
        <v>126.01989999999955</v>
      </c>
      <c r="CV160" s="13">
        <f t="shared" si="173"/>
        <v>33.075017353155346</v>
      </c>
      <c r="CW160" s="20">
        <f t="shared" si="174"/>
        <v>277.09031439007811</v>
      </c>
      <c r="CX160" s="59">
        <f t="shared" si="122"/>
        <v>566.07635314241884</v>
      </c>
      <c r="CY160" s="59">
        <f ca="1">AVERAGE(OFFSET($CX$3,0,0,'Données projet'!$E$13+1,1))-AVERAGE(OFFSET($H$3,0,0,'Données projet'!$E$13+1,1))</f>
        <v>392.81074187112989</v>
      </c>
      <c r="CZ160" s="59">
        <f t="shared" si="150"/>
        <v>236.19146849073687</v>
      </c>
      <c r="DA160" s="15">
        <f>IF(ISNA(VLOOKUP(A160,'Données projet'!$A$139:$I$159,3,0)),0,VLOOKUP(A160,'Données projet'!$A$139:$I$159,3,0))</f>
        <v>14</v>
      </c>
      <c r="DB160" s="15">
        <f>IF(ISNA(VLOOKUP(A160,'Données projet'!$A$139:$I$159,4,0)),0,VLOOKUP(A160,'Données projet'!$A$139:$I$159,4,0))</f>
        <v>45.71153846153846</v>
      </c>
      <c r="DC160" s="16">
        <f>IF(ISNA(VLOOKUP(A160,'Données projet'!$A$139:$I$159,5,0)),0%,VLOOKUP(A160,'Données projet'!$A$139:$I$159,5,0)*VLOOKUP('Données projet'!$B$13,Paramètres!$A$1:$I$89,7,0))</f>
        <v>0.38700000000000001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121.55366966308287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121.55366966308287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68.814374205183839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>
        <f>VLOOKUP(A160,'Données projet'!$A$165:$I$185,2,0)</f>
        <v>132.42948717948718</v>
      </c>
      <c r="DM160" s="12">
        <f>VLOOKUP(A160,'Données projet'!$A$165:$I$185,9,0)</f>
        <v>1.8717948717948829</v>
      </c>
      <c r="DN160" s="12">
        <f t="array" ref="DN160">INDEX(DM:DM,MIN(IF(ISNUMBER(DM160:DM356),ROW(DM160:DM356),"")))</f>
        <v>1.8717948717948829</v>
      </c>
      <c r="DO160" s="12">
        <f>IF('Données projet'!$A$166&gt;35,DO159+DN160-DW159,IF(A160&lt;'Données projet'!$A$166,$DL$205^A160,IF(A160='Données projet'!$A$166,'Données projet'!$B$166,DO159+DN160-DW159)))</f>
        <v>132.4294871794867</v>
      </c>
      <c r="DP160" s="17">
        <f>DO160*VLOOKUP('Données projet'!$B$14,Paramètres!$A$1:$I$89,3,0)*VLOOKUP('Données projet'!$B$14,Paramètres!$A$1:$I$89,5,0)</f>
        <v>142.54709999999949</v>
      </c>
      <c r="DQ160" s="13">
        <f t="shared" si="176"/>
        <v>36.87989662741785</v>
      </c>
      <c r="DR160" s="20">
        <f t="shared" si="177"/>
        <v>312.5020191260852</v>
      </c>
      <c r="DS160" s="59">
        <f t="shared" si="125"/>
        <v>601.48805787842593</v>
      </c>
      <c r="DT160" s="59">
        <f ca="1">AVERAGE(OFFSET($DS$3,0,0,'Données projet'!$E$14+1,1))-AVERAGE(OFFSET($H$3,0,0,'Données projet'!$E$14+1,1))</f>
        <v>434.77799524785502</v>
      </c>
      <c r="DU160" s="59">
        <f t="shared" si="152"/>
        <v>259.85949838170006</v>
      </c>
      <c r="DV160" s="15">
        <f>IF(ISNA(VLOOKUP(A160,'Données projet'!$A$165:$I$185,3,0)),0,VLOOKUP(A160,'Données projet'!$A$165:$I$185,3,0))</f>
        <v>14</v>
      </c>
      <c r="DW160" s="15">
        <f>IF(ISNA(VLOOKUP(A160,'Données projet'!$A$165:$I$185,4,0)),0,VLOOKUP(A160,'Données projet'!$A$165:$I$185,4,0))</f>
        <v>45.71153846153846</v>
      </c>
      <c r="DX160" s="16">
        <f>IF(ISNA(VLOOKUP(A160,'Données projet'!$A$165:$I$185,5,0)),0%,VLOOKUP(A160,'Données projet'!$A$165:$I$185,5,0)*VLOOKUP('Données projet'!$B$14,Paramètres!$A$1:$I$89,7,0))</f>
        <v>0.38700000000000001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137.49513453692981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137.49513453692981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68.814374205183839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>
        <f>VLOOKUP(A160,'Données projet'!$A$191:$I$211,2,0)</f>
        <v>132.42948717948718</v>
      </c>
      <c r="EH160" s="12">
        <f>VLOOKUP(A160,'Données projet'!$A$191:$I$211,9,0)</f>
        <v>1.8717948717948829</v>
      </c>
      <c r="EI160" s="12">
        <f t="array" ref="EI160">INDEX(EH:EH,MIN(IF(ISNUMBER(EH160:EH356),ROW(EH160:EH356),"")))</f>
        <v>1.8717948717948829</v>
      </c>
      <c r="EJ160" s="12">
        <f>IF('Données projet'!$A$192&gt;35,EJ159+EI160-ER159,IF(A160&lt;'Données projet'!$A$192,$EG$205^A160,IF(A160='Données projet'!$A$192,'Données projet'!$B$192,EJ159+EI160-ER159)))</f>
        <v>132.4294871794867</v>
      </c>
      <c r="EK160" s="17">
        <f>EJ160*VLOOKUP('Données projet'!$B$15,Paramètres!$A$1:$I$89,3,0)*VLOOKUP('Données projet'!$B$15,Paramètres!$A$1:$I$89,5,0)</f>
        <v>128.08579999999955</v>
      </c>
      <c r="EL160" s="13">
        <f t="shared" si="179"/>
        <v>33.553662769088618</v>
      </c>
      <c r="EM160" s="20">
        <f t="shared" si="180"/>
        <v>281.5220643228285</v>
      </c>
      <c r="EN160" s="59">
        <f t="shared" si="128"/>
        <v>570.50810307516917</v>
      </c>
      <c r="EO160" s="59">
        <f ca="1">AVERAGE(OFFSET($EN$3,0,0,'Données projet'!$E$15+1,1))-AVERAGE(OFFSET($H$3,0,0,'Données projet'!$E$15+1,1))</f>
        <v>398.06270423055565</v>
      </c>
      <c r="EP160" s="59">
        <f t="shared" si="154"/>
        <v>239.15364562040614</v>
      </c>
      <c r="EQ160" s="15">
        <f>IF(ISNA(VLOOKUP(A160,'Données projet'!$A$191:$I$211,3,0)),0,VLOOKUP(A160,'Données projet'!$A$191:$I$211,3,0))</f>
        <v>14</v>
      </c>
      <c r="ER160" s="15">
        <f>IF(ISNA(VLOOKUP(A160,'Données projet'!$A$191:$I$211,4,0)),0,VLOOKUP(A160,'Données projet'!$A$191:$I$211,4,0))</f>
        <v>45.71153846153846</v>
      </c>
      <c r="ES160" s="16">
        <f>IF(ISNA(VLOOKUP(A160,'Données projet'!$A$191:$I$211,5,0)),0%,VLOOKUP(A160,'Données projet'!$A$191:$I$211,5,0)*VLOOKUP('Données projet'!$B$15,Paramètres!$A$1:$I$89,7,0))</f>
        <v>0.38700000000000001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123.54635277231377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123.54635277231377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68.814374205183839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-1.7053025658242404E-13</v>
      </c>
      <c r="FF160" s="17">
        <f>FE160*VLOOKUP('Données projet'!$B$16,Paramètres!$A$1:$I$89,3,0)*VLOOKUP('Données projet'!$B$16,Paramètres!$A$1:$I$89,5,0)</f>
        <v>-1.0197709343628959E-13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334.13861979962491</v>
      </c>
      <c r="FK160" s="59">
        <f t="shared" si="156"/>
        <v>416.48635183664305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22.034118350492335</v>
      </c>
      <c r="FR160" s="21">
        <f>EXP(-LN(2)/25)*FR159+(1-EXP(-LN(2)/25))/(LN(2)/25)*Calculateur!FM160*Calculateur!FO160*VLOOKUP('Données projet'!$B$16,Paramètres!$A$1:$I$89,3,0)*0.475*44/12</f>
        <v>2.6869944046512351</v>
      </c>
      <c r="FS160" s="21">
        <f>EXP(-LN(2)/2)*FS159+(1-EXP(-LN(2)/2))/(LN(2)/2)*FM160*FP160*VLOOKUP('Données projet'!$B$16,Paramètres!$A$1:$I$89,3,0)*0.475*44/12</f>
        <v>2.5376695320033785E-14</v>
      </c>
      <c r="FT160" s="22">
        <f t="shared" si="184"/>
        <v>24.721112755143594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68.814374205183839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3.4106051316484809E-13</v>
      </c>
      <c r="GA160" s="17">
        <f>FZ160*VLOOKUP('Données projet'!$B$17,Paramètres!$A$1:$I$89,3,0)*VLOOKUP('Données projet'!$B$17,Paramètres!$A$1:$I$89,5,0)</f>
        <v>1.5961632016114892E-13</v>
      </c>
      <c r="GB160" s="13">
        <f t="shared" si="185"/>
        <v>2.2708641912150958E-12</v>
      </c>
      <c r="GC160" s="20">
        <f t="shared" si="186"/>
        <v>4.2330868906469593E-12</v>
      </c>
      <c r="GD160" s="59">
        <f t="shared" si="134"/>
        <v>288.98603875234494</v>
      </c>
      <c r="GE160" s="59">
        <f ca="1">AVERAGE(OFFSET($GD$3,0,0,'Données projet'!$E$17+1,1))-AVERAGE(OFFSET($H$3,0,0,'Données projet'!$E$17+1,1))</f>
        <v>317.79829681023142</v>
      </c>
      <c r="GF160" s="59">
        <f t="shared" si="158"/>
        <v>275.07716943523621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62.566444126837837</v>
      </c>
      <c r="GM160" s="21">
        <f>EXP(-LN(2)/25)*GM159+(1-EXP(-LN(2)/25))/(LN(2)/25)*Calculateur!GH160*Calculateur!GJ160*VLOOKUP('Données projet'!$B$17,Paramètres!$A$1:$I$89,3,0)*0.475*44/12</f>
        <v>10.387993125977065</v>
      </c>
      <c r="GN160" s="21">
        <f>EXP(-LN(2)/2)*GN159+(1-EXP(-LN(2)/2))/(LN(2)/2)*GH160*GK160*VLOOKUP('Données projet'!$B$17,Paramètres!$A$1:$I$89,3,0)*0.475*44/12</f>
        <v>3.3060671752918682E-7</v>
      </c>
      <c r="GO160" s="21">
        <f t="shared" si="187"/>
        <v>72.954437583421623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68.814374205183839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>
        <f>GU160*VLOOKUP('Données projet'!$B$18,Paramètres!$A$1:$I$89,3,0)*VLOOKUP('Données projet'!$B$18,Paramètres!$A$1:$I$89,5,0)</f>
        <v>0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336.21787234885699</v>
      </c>
      <c r="HA160" s="59">
        <f t="shared" si="160"/>
        <v>315.36156736899113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37.577621038345143</v>
      </c>
      <c r="HH160" s="21">
        <f>EXP(-LN(2)/25)*HH159+(1-EXP(-LN(2)/25))/(LN(2)/25)*Calculateur!HC160*Calculateur!HE160*VLOOKUP('Données projet'!$B$18,Paramètres!$A$1:$I$89,3,0)*0.475*44/12</f>
        <v>4.9677512451663794</v>
      </c>
      <c r="HI160" s="21">
        <f>EXP(-LN(2)/2)*HI159+(1-EXP(-LN(2)/2))/(LN(2)/2)*HC160*HF160*VLOOKUP('Données projet'!$B$18,Paramètres!$A$1:$I$89,3,0)*0.475*44/12</f>
        <v>3.2020730128248255E-12</v>
      </c>
      <c r="HJ160" s="22">
        <f t="shared" si="190"/>
        <v>42.54537228351473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3.7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13.566666666666668</v>
      </c>
      <c r="H161" s="67">
        <f t="shared" si="110"/>
        <v>202.4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68.834942162061722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5.1431925385259092E-13</v>
      </c>
      <c r="P161" s="13">
        <f t="shared" si="141"/>
        <v>6.3855359115685756E-12</v>
      </c>
      <c r="Q161" s="20">
        <f t="shared" si="162"/>
        <v>1.2017247746441865E-11</v>
      </c>
      <c r="R161" s="59">
        <f t="shared" si="109"/>
        <v>289.06145459423828</v>
      </c>
      <c r="S161" s="59">
        <f ca="1">AVERAGE(OFFSET($R$3,0,0,'Données projet'!$E$9+1,1))-AVERAGE(OFFSET($H$3,0,0,'Données projet'!$E$9+1,1))</f>
        <v>411.64357329340851</v>
      </c>
      <c r="T161" s="59">
        <f t="shared" si="142"/>
        <v>294.07942258675632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100.16983453472787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100.16983453472787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68.834942162061722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5.763922672485933E-13</v>
      </c>
      <c r="AK161" s="13">
        <f t="shared" si="164"/>
        <v>7.0619171555808457E-12</v>
      </c>
      <c r="AL161" s="20">
        <f t="shared" si="165"/>
        <v>1.3303388911427938E-11</v>
      </c>
      <c r="AM161" s="59">
        <f t="shared" si="113"/>
        <v>289.06145459423959</v>
      </c>
      <c r="AN161" s="59">
        <f ca="1">AVERAGE(OFFSET($AM$3,0,0,'Données projet'!$E$10+1,1))-AVERAGE(OFFSET($H$3,0,0,'Données projet'!$E$10+1,1))</f>
        <v>453.05577105995508</v>
      </c>
      <c r="AO161" s="59">
        <f t="shared" si="144"/>
        <v>322.6839824496758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112.25929732340194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112.25929732340194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68.834942162061722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5.1821581196581166</v>
      </c>
      <c r="BD161" s="12">
        <f>IF('Données projet'!$A$88&gt;35,BD160+BC161-BL160,IF(A161&lt;'Données projet'!$A$88,$BA$205^A161,IF(A161='Données projet'!$A$88,'Données projet'!$B$88,BD160+BC161-BL160)))</f>
        <v>247.49893162393161</v>
      </c>
      <c r="BE161" s="13">
        <f>BD161*VLOOKUP('Données projet'!$B$11,Paramètres!$A$1:$I$89,3,0)*VLOOKUP('Données projet'!$B$11,Paramètres!$A$1:$I$89,5,0)</f>
        <v>247.10293333333331</v>
      </c>
      <c r="BF161" s="13">
        <f t="shared" si="167"/>
        <v>59.965157417006843</v>
      </c>
      <c r="BG161" s="20">
        <f t="shared" si="168"/>
        <v>534.81025805684249</v>
      </c>
      <c r="BH161" s="59">
        <f t="shared" si="116"/>
        <v>823.87171265106872</v>
      </c>
      <c r="BI161" s="59">
        <f ca="1">AVERAGE(OFFSET($BH$3,0,0,'Données projet'!$E$11+1,1))-AVERAGE(OFFSET($H$3,0,0,'Données projet'!$E$11+1,1))</f>
        <v>411.38162678377478</v>
      </c>
      <c r="BJ161" s="59">
        <f t="shared" si="146"/>
        <v>177.89903563360403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44.478826974353566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44.478826974353566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68.834942162061722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212.00000000000009</v>
      </c>
      <c r="BZ161" s="13">
        <f>BY161*VLOOKUP('Données projet'!$B$12,Paramètres!$A$1:$I$89,3,0)*VLOOKUP('Données projet'!$B$12,Paramètres!$A$1:$I$89,5,0)</f>
        <v>221.58240000000012</v>
      </c>
      <c r="CA161" s="13">
        <f t="shared" si="170"/>
        <v>54.458668952651578</v>
      </c>
      <c r="CB161" s="20">
        <f t="shared" si="171"/>
        <v>480.77152842586838</v>
      </c>
      <c r="CC161" s="59">
        <f t="shared" si="119"/>
        <v>769.83298302009462</v>
      </c>
      <c r="CD161" s="59">
        <f ca="1">AVERAGE(OFFSET($CC$3,0,0,'Données projet'!$E$12+1,1))-AVERAGE(OFFSET($H$3,0,0,'Données projet'!$E$12+1,1))</f>
        <v>374.38550202939507</v>
      </c>
      <c r="CE161" s="59">
        <f t="shared" si="148"/>
        <v>324.37486924296718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5.6653816610773156</v>
      </c>
      <c r="CL161" s="21">
        <f>EXP(-LN(2)/25)*CL160+(1-EXP(-LN(2)/25))/(LN(2)/25)*Calculateur!CG161*Calculateur!CI161*VLOOKUP('Données projet'!$B$12,Paramètres!$A$1:$I$89,3,0)*0.475*44/12</f>
        <v>3.351394985637405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9.016776646714721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68.834942162061722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1.1618589743589709</v>
      </c>
      <c r="CT161" s="12">
        <f>IF('Données projet'!$A$140&gt;35,CT160+CS161-DB160,IF(A161&lt;'Données projet'!$A$140,$CQ$205^A161,IF(A161='Données projet'!$A$140,'Données projet'!$B$140,CT160+CS161-DB160)))</f>
        <v>87.879807692307224</v>
      </c>
      <c r="CU161" s="17">
        <f>CT161*VLOOKUP('Données projet'!$B$13,Paramètres!$A$1:$I$89,3,0)*VLOOKUP('Données projet'!$B$13,Paramètres!$A$1:$I$89,5,0)</f>
        <v>83.626424999999557</v>
      </c>
      <c r="CV161" s="13">
        <f t="shared" si="173"/>
        <v>23.021563174145172</v>
      </c>
      <c r="CW161" s="20">
        <f t="shared" si="174"/>
        <v>185.74524606996872</v>
      </c>
      <c r="CX161" s="59">
        <f t="shared" si="122"/>
        <v>474.80670066419498</v>
      </c>
      <c r="CY161" s="59">
        <f ca="1">AVERAGE(OFFSET($CX$3,0,0,'Données projet'!$E$13+1,1))-AVERAGE(OFFSET($H$3,0,0,'Données projet'!$E$13+1,1))</f>
        <v>392.81074187112989</v>
      </c>
      <c r="CZ161" s="59">
        <f t="shared" si="150"/>
        <v>236.19146849073687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119.17007634140755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119.17007634140755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68.834942162061722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1.1618589743589709</v>
      </c>
      <c r="DO161" s="12">
        <f>IF('Données projet'!$A$166&gt;35,DO160+DN161-DW160,IF(A161&lt;'Données projet'!$A$166,$DL$205^A161,IF(A161='Données projet'!$A$166,'Données projet'!$B$166,DO160+DN161-DW160)))</f>
        <v>87.879807692307224</v>
      </c>
      <c r="DP161" s="17">
        <f>DO161*VLOOKUP('Données projet'!$B$14,Paramètres!$A$1:$I$89,3,0)*VLOOKUP('Données projet'!$B$14,Paramètres!$A$1:$I$89,5,0)</f>
        <v>94.593824999999484</v>
      </c>
      <c r="DQ161" s="13">
        <f t="shared" si="176"/>
        <v>25.669914576266915</v>
      </c>
      <c r="DR161" s="20">
        <f t="shared" si="177"/>
        <v>209.45934642866396</v>
      </c>
      <c r="DS161" s="59">
        <f t="shared" si="125"/>
        <v>498.52080102289028</v>
      </c>
      <c r="DT161" s="59">
        <f ca="1">AVERAGE(OFFSET($DS$3,0,0,'Données projet'!$E$14+1,1))-AVERAGE(OFFSET($H$3,0,0,'Données projet'!$E$14+1,1))</f>
        <v>434.77799524785502</v>
      </c>
      <c r="DU161" s="59">
        <f t="shared" si="152"/>
        <v>259.85949838170006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134.79893881241182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134.79893881241182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68.834942162061722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1.1618589743589709</v>
      </c>
      <c r="EJ161" s="12">
        <f>IF('Données projet'!$A$192&gt;35,EJ160+EI161-ER160,IF(A161&lt;'Données projet'!$A$192,$EG$205^A161,IF(A161='Données projet'!$A$192,'Données projet'!$B$192,EJ160+EI161-ER160)))</f>
        <v>87.879807692307224</v>
      </c>
      <c r="EK161" s="17">
        <f>EJ161*VLOOKUP('Données projet'!$B$15,Paramètres!$A$1:$I$89,3,0)*VLOOKUP('Données projet'!$B$15,Paramètres!$A$1:$I$89,5,0)</f>
        <v>84.997349999999543</v>
      </c>
      <c r="EL161" s="13">
        <f t="shared" si="179"/>
        <v>23.354719936037892</v>
      </c>
      <c r="EM161" s="20">
        <f t="shared" si="180"/>
        <v>188.71318847193186</v>
      </c>
      <c r="EN161" s="59">
        <f t="shared" si="128"/>
        <v>477.77464306615815</v>
      </c>
      <c r="EO161" s="59">
        <f ca="1">AVERAGE(OFFSET($EN$3,0,0,'Données projet'!$E$15+1,1))-AVERAGE(OFFSET($H$3,0,0,'Données projet'!$E$15+1,1))</f>
        <v>398.06270423055565</v>
      </c>
      <c r="EP161" s="59">
        <f t="shared" si="154"/>
        <v>239.15364562040614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121.12368415028311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121.12368415028311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68.834942162061722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-1.7053025658242404E-13</v>
      </c>
      <c r="FF161" s="17">
        <f>FE161*VLOOKUP('Données projet'!$B$16,Paramètres!$A$1:$I$89,3,0)*VLOOKUP('Données projet'!$B$16,Paramètres!$A$1:$I$89,5,0)</f>
        <v>-1.0197709343628959E-13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334.13861979962491</v>
      </c>
      <c r="FK161" s="59">
        <f t="shared" si="156"/>
        <v>416.48635183664305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21.602042729124335</v>
      </c>
      <c r="FR161" s="21">
        <f>EXP(-LN(2)/25)*FR160+(1-EXP(-LN(2)/25))/(LN(2)/25)*Calculateur!FM161*Calculateur!FO161*VLOOKUP('Données projet'!$B$16,Paramètres!$A$1:$I$89,3,0)*0.475*44/12</f>
        <v>2.6135184013531525</v>
      </c>
      <c r="FS161" s="21">
        <f>EXP(-LN(2)/2)*FS160+(1-EXP(-LN(2)/2))/(LN(2)/2)*FM161*FP161*VLOOKUP('Données projet'!$B$16,Paramètres!$A$1:$I$89,3,0)*0.475*44/12</f>
        <v>1.7944033344900814E-14</v>
      </c>
      <c r="FT161" s="22">
        <f t="shared" si="184"/>
        <v>24.215561130477507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68.834942162061722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3.4106051316484809E-13</v>
      </c>
      <c r="GA161" s="17">
        <f>FZ161*VLOOKUP('Données projet'!$B$17,Paramètres!$A$1:$I$89,3,0)*VLOOKUP('Données projet'!$B$17,Paramètres!$A$1:$I$89,5,0)</f>
        <v>1.5961632016114892E-13</v>
      </c>
      <c r="GB161" s="13">
        <f t="shared" si="185"/>
        <v>2.2708641912150958E-12</v>
      </c>
      <c r="GC161" s="20">
        <f t="shared" si="186"/>
        <v>4.2330868906469593E-12</v>
      </c>
      <c r="GD161" s="59">
        <f t="shared" si="134"/>
        <v>289.0614545942305</v>
      </c>
      <c r="GE161" s="59">
        <f ca="1">AVERAGE(OFFSET($GD$3,0,0,'Données projet'!$E$17+1,1))-AVERAGE(OFFSET($H$3,0,0,'Données projet'!$E$17+1,1))</f>
        <v>317.79829681023142</v>
      </c>
      <c r="GF161" s="59">
        <f t="shared" si="158"/>
        <v>275.07716943523621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61.339554319273304</v>
      </c>
      <c r="GM161" s="21">
        <f>EXP(-LN(2)/25)*GM160+(1-EXP(-LN(2)/25))/(LN(2)/25)*Calculateur!GH161*Calculateur!GJ161*VLOOKUP('Données projet'!$B$17,Paramètres!$A$1:$I$89,3,0)*0.475*44/12</f>
        <v>10.103932907666406</v>
      </c>
      <c r="GN161" s="21">
        <f>EXP(-LN(2)/2)*GN160+(1-EXP(-LN(2)/2))/(LN(2)/2)*GH161*GK161*VLOOKUP('Données projet'!$B$17,Paramètres!$A$1:$I$89,3,0)*0.475*44/12</f>
        <v>2.3377425187071344E-7</v>
      </c>
      <c r="GO161" s="21">
        <f t="shared" si="187"/>
        <v>71.443487460713968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68.834942162061722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>
        <f>GU161*VLOOKUP('Données projet'!$B$18,Paramètres!$A$1:$I$89,3,0)*VLOOKUP('Données projet'!$B$18,Paramètres!$A$1:$I$89,5,0)</f>
        <v>0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336.21787234885699</v>
      </c>
      <c r="HA161" s="59">
        <f t="shared" si="160"/>
        <v>315.36156736899113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36.840746809868854</v>
      </c>
      <c r="HH161" s="21">
        <f>EXP(-LN(2)/25)*HH160+(1-EXP(-LN(2)/25))/(LN(2)/25)*Calculateur!HC161*Calculateur!HE161*VLOOKUP('Données projet'!$B$18,Paramètres!$A$1:$I$89,3,0)*0.475*44/12</f>
        <v>4.8319078261246204</v>
      </c>
      <c r="HI161" s="21">
        <f>EXP(-LN(2)/2)*HI160+(1-EXP(-LN(2)/2))/(LN(2)/2)*HC161*HF161*VLOOKUP('Données projet'!$B$18,Paramètres!$A$1:$I$89,3,0)*0.475*44/12</f>
        <v>2.2642075412228729E-12</v>
      </c>
      <c r="HJ161" s="22">
        <f t="shared" si="190"/>
        <v>41.672654635995741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3.7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13.566666666666668</v>
      </c>
      <c r="H162" s="67">
        <f t="shared" si="110"/>
        <v>202.4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68.855153310870833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5.1431925385259092E-13</v>
      </c>
      <c r="P162" s="13">
        <f t="shared" si="141"/>
        <v>6.3855359115685756E-12</v>
      </c>
      <c r="Q162" s="20">
        <f t="shared" si="162"/>
        <v>1.2017247746441865E-11</v>
      </c>
      <c r="R162" s="59">
        <f t="shared" si="109"/>
        <v>289.13556213987169</v>
      </c>
      <c r="S162" s="59">
        <f ca="1">AVERAGE(OFFSET($R$3,0,0,'Données projet'!$E$9+1,1))-AVERAGE(OFFSET($H$3,0,0,'Données projet'!$E$9+1,1))</f>
        <v>411.64357329340851</v>
      </c>
      <c r="T162" s="59">
        <f t="shared" si="142"/>
        <v>294.07942258675632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98.205565177068038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98.205565177068038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68.855153310870833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5.763922672485933E-13</v>
      </c>
      <c r="AK162" s="13">
        <f t="shared" si="164"/>
        <v>7.0619171555808457E-12</v>
      </c>
      <c r="AL162" s="20">
        <f t="shared" si="165"/>
        <v>1.3303388911427938E-11</v>
      </c>
      <c r="AM162" s="59">
        <f t="shared" si="113"/>
        <v>289.135562139873</v>
      </c>
      <c r="AN162" s="59">
        <f ca="1">AVERAGE(OFFSET($AM$3,0,0,'Données projet'!$E$10+1,1))-AVERAGE(OFFSET($H$3,0,0,'Données projet'!$E$10+1,1))</f>
        <v>453.05577105995508</v>
      </c>
      <c r="AO162" s="59">
        <f t="shared" si="144"/>
        <v>322.6839824496758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110.0579609743004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110.0579609743004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68.855153310870833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5.1821581196581166</v>
      </c>
      <c r="BD162" s="12">
        <f>IF('Données projet'!$A$88&gt;35,BD161+BC162-BL161,IF(A162&lt;'Données projet'!$A$88,$BA$205^A162,IF(A162='Données projet'!$A$88,'Données projet'!$B$88,BD161+BC162-BL161)))</f>
        <v>252.68108974358972</v>
      </c>
      <c r="BE162" s="13">
        <f>BD162*VLOOKUP('Données projet'!$B$11,Paramètres!$A$1:$I$89,3,0)*VLOOKUP('Données projet'!$B$11,Paramètres!$A$1:$I$89,5,0)</f>
        <v>252.27680000000001</v>
      </c>
      <c r="BF162" s="13">
        <f t="shared" si="167"/>
        <v>61.073225760089173</v>
      </c>
      <c r="BG162" s="20">
        <f t="shared" si="168"/>
        <v>545.7512948654886</v>
      </c>
      <c r="BH162" s="59">
        <f t="shared" si="116"/>
        <v>834.88685700534825</v>
      </c>
      <c r="BI162" s="59">
        <f ca="1">AVERAGE(OFFSET($BH$3,0,0,'Données projet'!$E$11+1,1))-AVERAGE(OFFSET($H$3,0,0,'Données projet'!$E$11+1,1))</f>
        <v>411.38162678377478</v>
      </c>
      <c r="BJ162" s="59">
        <f t="shared" si="146"/>
        <v>177.89903563360403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43.606624306792142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43.606624306792142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68.855153310870833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212.00000000000009</v>
      </c>
      <c r="BZ162" s="13">
        <f>BY162*VLOOKUP('Données projet'!$B$12,Paramètres!$A$1:$I$89,3,0)*VLOOKUP('Données projet'!$B$12,Paramètres!$A$1:$I$89,5,0)</f>
        <v>221.58240000000012</v>
      </c>
      <c r="CA162" s="13">
        <f t="shared" si="170"/>
        <v>54.458668952651578</v>
      </c>
      <c r="CB162" s="20">
        <f t="shared" si="171"/>
        <v>480.77152842586838</v>
      </c>
      <c r="CC162" s="59">
        <f t="shared" si="119"/>
        <v>769.90709056572814</v>
      </c>
      <c r="CD162" s="59">
        <f ca="1">AVERAGE(OFFSET($CC$3,0,0,'Données projet'!$E$12+1,1))-AVERAGE(OFFSET($H$3,0,0,'Données projet'!$E$12+1,1))</f>
        <v>374.38550202939507</v>
      </c>
      <c r="CE162" s="59">
        <f t="shared" si="148"/>
        <v>324.37486924296718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5.5542869822451966</v>
      </c>
      <c r="CL162" s="21">
        <f>EXP(-LN(2)/25)*CL161+(1-EXP(-LN(2)/25))/(LN(2)/25)*Calculateur!CG162*Calculateur!CI162*VLOOKUP('Données projet'!$B$12,Paramètres!$A$1:$I$89,3,0)*0.475*44/12</f>
        <v>3.2597509135129474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8.814037895758144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68.855153310870833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1.1618589743589709</v>
      </c>
      <c r="CT162" s="12">
        <f>IF('Données projet'!$A$140&gt;35,CT161+CS162-DB161,IF(A162&lt;'Données projet'!$A$140,$CQ$205^A162,IF(A162='Données projet'!$A$140,'Données projet'!$B$140,CT161+CS162-DB161)))</f>
        <v>89.041666666666202</v>
      </c>
      <c r="CU162" s="17">
        <f>CT162*VLOOKUP('Données projet'!$B$13,Paramètres!$A$1:$I$89,3,0)*VLOOKUP('Données projet'!$B$13,Paramètres!$A$1:$I$89,5,0)</f>
        <v>84.73204999999956</v>
      </c>
      <c r="CV162" s="13">
        <f t="shared" si="173"/>
        <v>23.290296896276573</v>
      </c>
      <c r="CW162" s="20">
        <f t="shared" si="174"/>
        <v>188.13892084434758</v>
      </c>
      <c r="CX162" s="59">
        <f t="shared" si="122"/>
        <v>477.27448298420728</v>
      </c>
      <c r="CY162" s="59">
        <f ca="1">AVERAGE(OFFSET($CX$3,0,0,'Données projet'!$E$13+1,1))-AVERAGE(OFFSET($H$3,0,0,'Données projet'!$E$13+1,1))</f>
        <v>392.81074187112989</v>
      </c>
      <c r="CZ162" s="59">
        <f t="shared" si="150"/>
        <v>236.19146849073687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116.83322383092191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116.83322383092191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68.855153310870833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1.1618589743589709</v>
      </c>
      <c r="DO162" s="12">
        <f>IF('Données projet'!$A$166&gt;35,DO161+DN162-DW161,IF(A162&lt;'Données projet'!$A$166,$DL$205^A162,IF(A162='Données projet'!$A$166,'Données projet'!$B$166,DO161+DN162-DW161)))</f>
        <v>89.041666666666202</v>
      </c>
      <c r="DP162" s="17">
        <f>DO162*VLOOKUP('Données projet'!$B$14,Paramètres!$A$1:$I$89,3,0)*VLOOKUP('Données projet'!$B$14,Paramètres!$A$1:$I$89,5,0)</f>
        <v>95.844449999999497</v>
      </c>
      <c r="DQ162" s="13">
        <f t="shared" si="176"/>
        <v>25.969562851177422</v>
      </c>
      <c r="DR162" s="20">
        <f t="shared" si="177"/>
        <v>212.15940571579981</v>
      </c>
      <c r="DS162" s="59">
        <f t="shared" si="125"/>
        <v>501.29496785565948</v>
      </c>
      <c r="DT162" s="59">
        <f ca="1">AVERAGE(OFFSET($DS$3,0,0,'Données projet'!$E$14+1,1))-AVERAGE(OFFSET($H$3,0,0,'Données projet'!$E$14+1,1))</f>
        <v>434.77799524785502</v>
      </c>
      <c r="DU162" s="59">
        <f t="shared" si="152"/>
        <v>259.85949838170006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132.15561384153463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132.15561384153463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68.855153310870833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1.1618589743589709</v>
      </c>
      <c r="EJ162" s="12">
        <f>IF('Données projet'!$A$192&gt;35,EJ161+EI162-ER161,IF(A162&lt;'Données projet'!$A$192,$EG$205^A162,IF(A162='Données projet'!$A$192,'Données projet'!$B$192,EJ161+EI162-ER161)))</f>
        <v>89.041666666666202</v>
      </c>
      <c r="EK162" s="17">
        <f>EJ162*VLOOKUP('Données projet'!$B$15,Paramètres!$A$1:$I$89,3,0)*VLOOKUP('Données projet'!$B$15,Paramètres!$A$1:$I$89,5,0)</f>
        <v>86.121099999999558</v>
      </c>
      <c r="EL162" s="13">
        <f t="shared" si="179"/>
        <v>23.627342640685377</v>
      </c>
      <c r="EM162" s="20">
        <f t="shared" si="180"/>
        <v>191.14520426585958</v>
      </c>
      <c r="EN162" s="59">
        <f t="shared" si="128"/>
        <v>480.28076640571931</v>
      </c>
      <c r="EO162" s="59">
        <f ca="1">AVERAGE(OFFSET($EN$3,0,0,'Données projet'!$E$15+1,1))-AVERAGE(OFFSET($H$3,0,0,'Données projet'!$E$15+1,1))</f>
        <v>398.06270423055565</v>
      </c>
      <c r="EP162" s="59">
        <f t="shared" si="154"/>
        <v>239.15364562040614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118.74852258224853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118.74852258224853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68.855153310870833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-1.7053025658242404E-13</v>
      </c>
      <c r="FF162" s="17">
        <f>FE162*VLOOKUP('Données projet'!$B$16,Paramètres!$A$1:$I$89,3,0)*VLOOKUP('Données projet'!$B$16,Paramètres!$A$1:$I$89,5,0)</f>
        <v>-1.0197709343628959E-13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334.13861979962491</v>
      </c>
      <c r="FK162" s="59">
        <f t="shared" si="156"/>
        <v>416.48635183664305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21.178439847151257</v>
      </c>
      <c r="FR162" s="21">
        <f>EXP(-LN(2)/25)*FR161+(1-EXP(-LN(2)/25))/(LN(2)/25)*Calculateur!FM162*Calculateur!FO162*VLOOKUP('Données projet'!$B$16,Paramètres!$A$1:$I$89,3,0)*0.475*44/12</f>
        <v>2.5420516032291909</v>
      </c>
      <c r="FS162" s="21">
        <f>EXP(-LN(2)/2)*FS161+(1-EXP(-LN(2)/2))/(LN(2)/2)*FM162*FP162*VLOOKUP('Données projet'!$B$16,Paramètres!$A$1:$I$89,3,0)*0.475*44/12</f>
        <v>1.2688347660016893E-14</v>
      </c>
      <c r="FT162" s="22">
        <f t="shared" si="184"/>
        <v>23.720491450380461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68.855153310870833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3.4106051316484809E-13</v>
      </c>
      <c r="GA162" s="17">
        <f>FZ162*VLOOKUP('Données projet'!$B$17,Paramètres!$A$1:$I$89,3,0)*VLOOKUP('Données projet'!$B$17,Paramètres!$A$1:$I$89,5,0)</f>
        <v>1.5961632016114892E-13</v>
      </c>
      <c r="GB162" s="13">
        <f t="shared" si="185"/>
        <v>2.2708641912150958E-12</v>
      </c>
      <c r="GC162" s="20">
        <f t="shared" si="186"/>
        <v>4.2330868906469593E-12</v>
      </c>
      <c r="GD162" s="59">
        <f t="shared" si="134"/>
        <v>289.13556213986391</v>
      </c>
      <c r="GE162" s="59">
        <f ca="1">AVERAGE(OFFSET($GD$3,0,0,'Données projet'!$E$17+1,1))-AVERAGE(OFFSET($H$3,0,0,'Données projet'!$E$17+1,1))</f>
        <v>317.79829681023142</v>
      </c>
      <c r="GF162" s="59">
        <f t="shared" si="158"/>
        <v>275.07716943523621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60.136723072506221</v>
      </c>
      <c r="GM162" s="21">
        <f>EXP(-LN(2)/25)*GM161+(1-EXP(-LN(2)/25))/(LN(2)/25)*Calculateur!GH162*Calculateur!GJ162*VLOOKUP('Données projet'!$B$17,Paramètres!$A$1:$I$89,3,0)*0.475*44/12</f>
        <v>9.8276403309635292</v>
      </c>
      <c r="GN162" s="21">
        <f>EXP(-LN(2)/2)*GN161+(1-EXP(-LN(2)/2))/(LN(2)/2)*GH162*GK162*VLOOKUP('Données projet'!$B$17,Paramètres!$A$1:$I$89,3,0)*0.475*44/12</f>
        <v>1.6530335876459344E-7</v>
      </c>
      <c r="GO162" s="21">
        <f t="shared" si="187"/>
        <v>69.964363568773109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68.855153310870833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>
        <f>GU162*VLOOKUP('Données projet'!$B$18,Paramètres!$A$1:$I$89,3,0)*VLOOKUP('Données projet'!$B$18,Paramètres!$A$1:$I$89,5,0)</f>
        <v>0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336.21787234885699</v>
      </c>
      <c r="HA162" s="59">
        <f t="shared" si="160"/>
        <v>315.36156736899113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36.118322235564086</v>
      </c>
      <c r="HH162" s="21">
        <f>EXP(-LN(2)/25)*HH161+(1-EXP(-LN(2)/25))/(LN(2)/25)*Calculateur!HC162*Calculateur!HE162*VLOOKUP('Données projet'!$B$18,Paramètres!$A$1:$I$89,3,0)*0.475*44/12</f>
        <v>4.6997790525202534</v>
      </c>
      <c r="HI162" s="21">
        <f>EXP(-LN(2)/2)*HI161+(1-EXP(-LN(2)/2))/(LN(2)/2)*HC162*HF162*VLOOKUP('Données projet'!$B$18,Paramètres!$A$1:$I$89,3,0)*0.475*44/12</f>
        <v>1.6010365064124128E-12</v>
      </c>
      <c r="HJ162" s="22">
        <f t="shared" si="190"/>
        <v>40.818101288085941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3.7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13.566666666666668</v>
      </c>
      <c r="H163" s="67">
        <f t="shared" si="110"/>
        <v>202.4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68.875013841433471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5.1431925385259092E-13</v>
      </c>
      <c r="P163" s="13">
        <f t="shared" si="141"/>
        <v>6.3855359115685756E-12</v>
      </c>
      <c r="Q163" s="20">
        <f t="shared" si="162"/>
        <v>1.2017247746441865E-11</v>
      </c>
      <c r="R163" s="59">
        <f t="shared" si="109"/>
        <v>289.20838408526805</v>
      </c>
      <c r="S163" s="59">
        <f ca="1">AVERAGE(OFFSET($R$3,0,0,'Données projet'!$E$9+1,1))-AVERAGE(OFFSET($H$3,0,0,'Données projet'!$E$9+1,1))</f>
        <v>411.64357329340851</v>
      </c>
      <c r="T163" s="59">
        <f t="shared" si="142"/>
        <v>294.07942258675632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96.279813943425907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96.279813943425907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68.875013841433471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5.763922672485933E-13</v>
      </c>
      <c r="AK163" s="13">
        <f t="shared" si="164"/>
        <v>7.0619171555808457E-12</v>
      </c>
      <c r="AL163" s="20">
        <f t="shared" si="165"/>
        <v>1.3303388911427938E-11</v>
      </c>
      <c r="AM163" s="59">
        <f t="shared" si="113"/>
        <v>289.20838408526936</v>
      </c>
      <c r="AN163" s="59">
        <f ca="1">AVERAGE(OFFSET($AM$3,0,0,'Données projet'!$E$10+1,1))-AVERAGE(OFFSET($H$3,0,0,'Données projet'!$E$10+1,1))</f>
        <v>453.05577105995508</v>
      </c>
      <c r="AO163" s="59">
        <f t="shared" si="144"/>
        <v>322.6839824496758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107.89979148832215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107.89979148832215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68.875013841433471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5.1821581196581166</v>
      </c>
      <c r="BD163" s="12">
        <f>IF('Données projet'!$A$88&gt;35,BD162+BC163-BL162,IF(A163&lt;'Données projet'!$A$88,$BA$205^A163,IF(A163='Données projet'!$A$88,'Données projet'!$B$88,BD162+BC163-BL162)))</f>
        <v>257.86324786324786</v>
      </c>
      <c r="BE163" s="13">
        <f>BD163*VLOOKUP('Données projet'!$B$11,Paramètres!$A$1:$I$89,3,0)*VLOOKUP('Données projet'!$B$11,Paramètres!$A$1:$I$89,5,0)</f>
        <v>257.45066666666668</v>
      </c>
      <c r="BF163" s="13">
        <f t="shared" si="167"/>
        <v>62.178651868689698</v>
      </c>
      <c r="BG163" s="20">
        <f t="shared" si="168"/>
        <v>556.68772978241236</v>
      </c>
      <c r="BH163" s="59">
        <f t="shared" si="116"/>
        <v>845.89611386766842</v>
      </c>
      <c r="BI163" s="59">
        <f ca="1">AVERAGE(OFFSET($BH$3,0,0,'Données projet'!$E$11+1,1))-AVERAGE(OFFSET($H$3,0,0,'Données projet'!$E$11+1,1))</f>
        <v>411.38162678377478</v>
      </c>
      <c r="BJ163" s="59">
        <f t="shared" si="146"/>
        <v>177.89903563360403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42.751525001550498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42.751525001550498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68.875013841433471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212.00000000000009</v>
      </c>
      <c r="BZ163" s="13">
        <f>BY163*VLOOKUP('Données projet'!$B$12,Paramètres!$A$1:$I$89,3,0)*VLOOKUP('Données projet'!$B$12,Paramètres!$A$1:$I$89,5,0)</f>
        <v>221.58240000000012</v>
      </c>
      <c r="CA163" s="13">
        <f t="shared" si="170"/>
        <v>54.458668952651578</v>
      </c>
      <c r="CB163" s="20">
        <f t="shared" si="171"/>
        <v>480.77152842586838</v>
      </c>
      <c r="CC163" s="59">
        <f t="shared" si="119"/>
        <v>769.97991251112444</v>
      </c>
      <c r="CD163" s="59">
        <f ca="1">AVERAGE(OFFSET($CC$3,0,0,'Données projet'!$E$12+1,1))-AVERAGE(OFFSET($H$3,0,0,'Données projet'!$E$12+1,1))</f>
        <v>374.38550202939507</v>
      </c>
      <c r="CE163" s="59">
        <f t="shared" si="148"/>
        <v>324.37486924296718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5.4453708023039118</v>
      </c>
      <c r="CL163" s="21">
        <f>EXP(-LN(2)/25)*CL162+(1-EXP(-LN(2)/25))/(LN(2)/25)*Calculateur!CG163*Calculateur!CI163*VLOOKUP('Données projet'!$B$12,Paramètres!$A$1:$I$89,3,0)*0.475*44/12</f>
        <v>3.1706128533600855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8.6159836556639977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68.875013841433471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1.1618589743589709</v>
      </c>
      <c r="CT163" s="12">
        <f>IF('Données projet'!$A$140&gt;35,CT162+CS163-DB162,IF(A163&lt;'Données projet'!$A$140,$CQ$205^A163,IF(A163='Données projet'!$A$140,'Données projet'!$B$140,CT162+CS163-DB162)))</f>
        <v>90.20352564102518</v>
      </c>
      <c r="CU163" s="17">
        <f>CT163*VLOOKUP('Données projet'!$B$13,Paramètres!$A$1:$I$89,3,0)*VLOOKUP('Données projet'!$B$13,Paramètres!$A$1:$I$89,5,0)</f>
        <v>85.837674999999564</v>
      </c>
      <c r="CV163" s="13">
        <f t="shared" si="173"/>
        <v>23.558622751429791</v>
      </c>
      <c r="CW163" s="20">
        <f t="shared" si="174"/>
        <v>190.53188525040613</v>
      </c>
      <c r="CX163" s="59">
        <f t="shared" si="122"/>
        <v>479.74026933566222</v>
      </c>
      <c r="CY163" s="59">
        <f ca="1">AVERAGE(OFFSET($CX$3,0,0,'Données projet'!$E$13+1,1))-AVERAGE(OFFSET($H$3,0,0,'Données projet'!$E$13+1,1))</f>
        <v>392.81074187112989</v>
      </c>
      <c r="CZ163" s="59">
        <f t="shared" si="150"/>
        <v>236.19146849073687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114.54219557282761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114.54219557282761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68.875013841433471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1.1618589743589709</v>
      </c>
      <c r="DO163" s="12">
        <f>IF('Données projet'!$A$166&gt;35,DO162+DN163-DW162,IF(A163&lt;'Données projet'!$A$166,$DL$205^A163,IF(A163='Données projet'!$A$166,'Données projet'!$B$166,DO162+DN163-DW162)))</f>
        <v>90.20352564102518</v>
      </c>
      <c r="DP163" s="17">
        <f>DO163*VLOOKUP('Données projet'!$B$14,Paramètres!$A$1:$I$89,3,0)*VLOOKUP('Données projet'!$B$14,Paramètres!$A$1:$I$89,5,0)</f>
        <v>97.095074999999511</v>
      </c>
      <c r="DQ163" s="13">
        <f t="shared" si="176"/>
        <v>26.268756338964664</v>
      </c>
      <c r="DR163" s="20">
        <f t="shared" si="177"/>
        <v>214.8586729153626</v>
      </c>
      <c r="DS163" s="59">
        <f t="shared" si="125"/>
        <v>504.06705700061866</v>
      </c>
      <c r="DT163" s="59">
        <f ca="1">AVERAGE(OFFSET($DS$3,0,0,'Données projet'!$E$14+1,1))-AVERAGE(OFFSET($H$3,0,0,'Données projet'!$E$14+1,1))</f>
        <v>434.77799524785502</v>
      </c>
      <c r="DU163" s="59">
        <f t="shared" si="152"/>
        <v>259.85949838170006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129.56412286106729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129.56412286106729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68.875013841433471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1.1618589743589709</v>
      </c>
      <c r="EJ163" s="12">
        <f>IF('Données projet'!$A$192&gt;35,EJ162+EI163-ER162,IF(A163&lt;'Données projet'!$A$192,$EG$205^A163,IF(A163='Données projet'!$A$192,'Données projet'!$B$192,EJ162+EI163-ER162)))</f>
        <v>90.20352564102518</v>
      </c>
      <c r="EK163" s="17">
        <f>EJ163*VLOOKUP('Données projet'!$B$15,Paramètres!$A$1:$I$89,3,0)*VLOOKUP('Données projet'!$B$15,Paramètres!$A$1:$I$89,5,0)</f>
        <v>87.244849999999559</v>
      </c>
      <c r="EL163" s="13">
        <f t="shared" si="179"/>
        <v>23.899551575903931</v>
      </c>
      <c r="EM163" s="20">
        <f t="shared" si="180"/>
        <v>193.57649941136523</v>
      </c>
      <c r="EN163" s="59">
        <f t="shared" si="128"/>
        <v>482.78488349662132</v>
      </c>
      <c r="EO163" s="59">
        <f ca="1">AVERAGE(OFFSET($EN$3,0,0,'Données projet'!$E$15+1,1))-AVERAGE(OFFSET($H$3,0,0,'Données projet'!$E$15+1,1))</f>
        <v>398.06270423055565</v>
      </c>
      <c r="EP163" s="59">
        <f t="shared" si="154"/>
        <v>239.15364562040614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116.4199364838576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116.4199364838576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68.875013841433471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-1.7053025658242404E-13</v>
      </c>
      <c r="FF163" s="17">
        <f>FE163*VLOOKUP('Données projet'!$B$16,Paramètres!$A$1:$I$89,3,0)*VLOOKUP('Données projet'!$B$16,Paramètres!$A$1:$I$89,5,0)</f>
        <v>-1.0197709343628959E-13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334.13861979962491</v>
      </c>
      <c r="FK163" s="59">
        <f t="shared" si="156"/>
        <v>416.48635183664305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20.763143559321424</v>
      </c>
      <c r="FR163" s="21">
        <f>EXP(-LN(2)/25)*FR162+(1-EXP(-LN(2)/25))/(LN(2)/25)*Calculateur!FM163*Calculateur!FO163*VLOOKUP('Données projet'!$B$16,Paramètres!$A$1:$I$89,3,0)*0.475*44/12</f>
        <v>2.4725390684582047</v>
      </c>
      <c r="FS163" s="21">
        <f>EXP(-LN(2)/2)*FS162+(1-EXP(-LN(2)/2))/(LN(2)/2)*FM163*FP163*VLOOKUP('Données projet'!$B$16,Paramètres!$A$1:$I$89,3,0)*0.475*44/12</f>
        <v>8.9720166724504071E-15</v>
      </c>
      <c r="FT163" s="22">
        <f t="shared" si="184"/>
        <v>23.235682627779639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68.875013841433471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3.4106051316484809E-13</v>
      </c>
      <c r="GA163" s="17">
        <f>FZ163*VLOOKUP('Données projet'!$B$17,Paramètres!$A$1:$I$89,3,0)*VLOOKUP('Données projet'!$B$17,Paramètres!$A$1:$I$89,5,0)</f>
        <v>1.5961632016114892E-13</v>
      </c>
      <c r="GB163" s="13">
        <f t="shared" si="185"/>
        <v>2.2708641912150958E-12</v>
      </c>
      <c r="GC163" s="20">
        <f t="shared" si="186"/>
        <v>4.2330868906469593E-12</v>
      </c>
      <c r="GD163" s="59">
        <f t="shared" si="134"/>
        <v>289.20838408526026</v>
      </c>
      <c r="GE163" s="59">
        <f ca="1">AVERAGE(OFFSET($GD$3,0,0,'Données projet'!$E$17+1,1))-AVERAGE(OFFSET($H$3,0,0,'Données projet'!$E$17+1,1))</f>
        <v>317.79829681023142</v>
      </c>
      <c r="GF163" s="59">
        <f t="shared" si="158"/>
        <v>275.07716943523621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58.957478612833619</v>
      </c>
      <c r="GM163" s="21">
        <f>EXP(-LN(2)/25)*GM162+(1-EXP(-LN(2)/25))/(LN(2)/25)*Calculateur!GH163*Calculateur!GJ163*VLOOKUP('Données projet'!$B$17,Paramètres!$A$1:$I$89,3,0)*0.475*44/12</f>
        <v>9.5589029893001882</v>
      </c>
      <c r="GN163" s="21">
        <f>EXP(-LN(2)/2)*GN162+(1-EXP(-LN(2)/2))/(LN(2)/2)*GH163*GK163*VLOOKUP('Données projet'!$B$17,Paramètres!$A$1:$I$89,3,0)*0.475*44/12</f>
        <v>1.1688712593535675E-7</v>
      </c>
      <c r="GO163" s="21">
        <f t="shared" si="187"/>
        <v>68.516381719020927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68.875013841433471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>
        <f>GU163*VLOOKUP('Données projet'!$B$18,Paramètres!$A$1:$I$89,3,0)*VLOOKUP('Données projet'!$B$18,Paramètres!$A$1:$I$89,5,0)</f>
        <v>0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336.21787234885699</v>
      </c>
      <c r="HA163" s="59">
        <f t="shared" si="160"/>
        <v>315.36156736899113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35.410063966525954</v>
      </c>
      <c r="HH163" s="21">
        <f>EXP(-LN(2)/25)*HH162+(1-EXP(-LN(2)/25))/(LN(2)/25)*Calculateur!HC163*Calculateur!HE163*VLOOKUP('Données projet'!$B$18,Paramètres!$A$1:$I$89,3,0)*0.475*44/12</f>
        <v>4.5712633471784478</v>
      </c>
      <c r="HI163" s="21">
        <f>EXP(-LN(2)/2)*HI162+(1-EXP(-LN(2)/2))/(LN(2)/2)*HC163*HF163*VLOOKUP('Données projet'!$B$18,Paramètres!$A$1:$I$89,3,0)*0.475*44/12</f>
        <v>1.1321037706114364E-12</v>
      </c>
      <c r="HJ163" s="22">
        <f t="shared" si="190"/>
        <v>39.981327313705528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3.7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13.566666666666668</v>
      </c>
      <c r="H164" s="67">
        <f t="shared" si="110"/>
        <v>202.4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68.894529836192334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5.1431925385259092E-13</v>
      </c>
      <c r="P164" s="13">
        <f t="shared" si="141"/>
        <v>6.3855359115685756E-12</v>
      </c>
      <c r="Q164" s="20">
        <f t="shared" si="162"/>
        <v>1.2017247746441865E-11</v>
      </c>
      <c r="R164" s="59">
        <f t="shared" si="109"/>
        <v>289.27994273271725</v>
      </c>
      <c r="S164" s="59">
        <f ca="1">AVERAGE(OFFSET($R$3,0,0,'Données projet'!$E$9+1,1))-AVERAGE(OFFSET($H$3,0,0,'Données projet'!$E$9+1,1))</f>
        <v>411.64357329340851</v>
      </c>
      <c r="T164" s="59">
        <f t="shared" si="142"/>
        <v>294.07942258675632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94.39182551688323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94.39182551688323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68.894529836192334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5.763922672485933E-13</v>
      </c>
      <c r="AK164" s="13">
        <f t="shared" si="164"/>
        <v>7.0619171555808457E-12</v>
      </c>
      <c r="AL164" s="20">
        <f t="shared" si="165"/>
        <v>1.3303388911427938E-11</v>
      </c>
      <c r="AM164" s="59">
        <f t="shared" si="113"/>
        <v>289.27994273271855</v>
      </c>
      <c r="AN164" s="59">
        <f ca="1">AVERAGE(OFFSET($AM$3,0,0,'Données projet'!$E$10+1,1))-AVERAGE(OFFSET($H$3,0,0,'Données projet'!$E$10+1,1))</f>
        <v>453.05577105995508</v>
      </c>
      <c r="AO164" s="59">
        <f t="shared" si="144"/>
        <v>322.6839824496758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105.78394238961053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105.78394238961053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68.894529836192334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5.1821581196581166</v>
      </c>
      <c r="BD164" s="12">
        <f>IF('Données projet'!$A$88&gt;35,BD163+BC164-BL163,IF(A164&lt;'Données projet'!$A$88,$BA$205^A164,IF(A164='Données projet'!$A$88,'Données projet'!$B$88,BD163+BC164-BL163)))</f>
        <v>263.045405982906</v>
      </c>
      <c r="BE164" s="13">
        <f>BD164*VLOOKUP('Données projet'!$B$11,Paramètres!$A$1:$I$89,3,0)*VLOOKUP('Données projet'!$B$11,Paramètres!$A$1:$I$89,5,0)</f>
        <v>262.62453333333337</v>
      </c>
      <c r="BF164" s="13">
        <f t="shared" si="167"/>
        <v>63.281494962145594</v>
      </c>
      <c r="BG164" s="20">
        <f t="shared" si="168"/>
        <v>567.61966594795911</v>
      </c>
      <c r="BH164" s="59">
        <f t="shared" si="116"/>
        <v>856.89960868066441</v>
      </c>
      <c r="BI164" s="59">
        <f ca="1">AVERAGE(OFFSET($BH$3,0,0,'Données projet'!$E$11+1,1))-AVERAGE(OFFSET($H$3,0,0,'Données projet'!$E$11+1,1))</f>
        <v>411.38162678377478</v>
      </c>
      <c r="BJ164" s="59">
        <f t="shared" si="146"/>
        <v>177.89903563360403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41.913193672125566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41.913193672125566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68.894529836192334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212.00000000000009</v>
      </c>
      <c r="BZ164" s="13">
        <f>BY164*VLOOKUP('Données projet'!$B$12,Paramètres!$A$1:$I$89,3,0)*VLOOKUP('Données projet'!$B$12,Paramètres!$A$1:$I$89,5,0)</f>
        <v>221.58240000000012</v>
      </c>
      <c r="CA164" s="13">
        <f t="shared" si="170"/>
        <v>54.458668952651578</v>
      </c>
      <c r="CB164" s="20">
        <f t="shared" si="171"/>
        <v>480.77152842586838</v>
      </c>
      <c r="CC164" s="59">
        <f t="shared" si="119"/>
        <v>770.05147115857358</v>
      </c>
      <c r="CD164" s="59">
        <f ca="1">AVERAGE(OFFSET($CC$3,0,0,'Données projet'!$E$12+1,1))-AVERAGE(OFFSET($H$3,0,0,'Données projet'!$E$12+1,1))</f>
        <v>374.38550202939507</v>
      </c>
      <c r="CE164" s="59">
        <f t="shared" si="148"/>
        <v>324.37486924296718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5.3385904022189656</v>
      </c>
      <c r="CL164" s="21">
        <f>EXP(-LN(2)/25)*CL163+(1-EXP(-LN(2)/25))/(LN(2)/25)*Calculateur!CG164*Calculateur!CI164*VLOOKUP('Données projet'!$B$12,Paramètres!$A$1:$I$89,3,0)*0.475*44/12</f>
        <v>3.0839122781496706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8.4225026803686358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68.894529836192334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>
        <f>VLOOKUP(A164,'Données projet'!$A$139:$I$159,2,0)</f>
        <v>91.365384615384613</v>
      </c>
      <c r="CR164" s="12">
        <f>VLOOKUP(A164,'Données projet'!$A$139:$I$159,9,0)</f>
        <v>1.1618589743589709</v>
      </c>
      <c r="CS164" s="12">
        <f t="array" ref="CS164">INDEX(CR:CR,MIN(IF(ISNUMBER(CR164:CR360),ROW(CR164:CR360),"")))</f>
        <v>1.1618589743589709</v>
      </c>
      <c r="CT164" s="12">
        <f>IF('Données projet'!$A$140&gt;35,CT163+CS164-DB163,IF(A164&lt;'Données projet'!$A$140,$CQ$205^A164,IF(A164='Données projet'!$A$140,'Données projet'!$B$140,CT163+CS164-DB163)))</f>
        <v>91.365384615384158</v>
      </c>
      <c r="CU164" s="17">
        <f>CT164*VLOOKUP('Données projet'!$B$13,Paramètres!$A$1:$I$89,3,0)*VLOOKUP('Données projet'!$B$13,Paramètres!$A$1:$I$89,5,0)</f>
        <v>86.943299999999567</v>
      </c>
      <c r="CV164" s="13">
        <f t="shared" si="173"/>
        <v>23.826546600539892</v>
      </c>
      <c r="CW164" s="20">
        <f t="shared" si="174"/>
        <v>192.92414949593956</v>
      </c>
      <c r="CX164" s="59">
        <f t="shared" si="122"/>
        <v>482.20409222864481</v>
      </c>
      <c r="CY164" s="59">
        <f ca="1">AVERAGE(OFFSET($CX$3,0,0,'Données projet'!$E$13+1,1))-AVERAGE(OFFSET($H$3,0,0,'Données projet'!$E$13+1,1))</f>
        <v>392.81074187112989</v>
      </c>
      <c r="CZ164" s="59">
        <f t="shared" si="150"/>
        <v>236.19146849073687</v>
      </c>
      <c r="DA164" s="15">
        <f>IF(ISNA(VLOOKUP(A164,'Données projet'!$A$139:$I$159,3,0)),0,VLOOKUP(A164,'Données projet'!$A$139:$I$159,3,0))</f>
        <v>15</v>
      </c>
      <c r="DB164" s="15">
        <f>IF(ISNA(VLOOKUP(A164,'Données projet'!$A$139:$I$159,4,0)),0,VLOOKUP(A164,'Données projet'!$A$139:$I$159,4,0))</f>
        <v>91.365384615384613</v>
      </c>
      <c r="DC164" s="16">
        <f>IF(ISNA(VLOOKUP(A164,'Données projet'!$A$139:$I$159,5,0)),0%,VLOOKUP(A164,'Données projet'!$A$139:$I$159,5,0)*VLOOKUP('Données projet'!$B$13,Paramètres!$A$1:$I$89,7,0))</f>
        <v>0.38700000000000001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149.49191796398912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149.49191796398912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68.894529836192334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>
        <f>VLOOKUP(A164,'Données projet'!$A$165:$I$185,2,0)</f>
        <v>91.365384615384613</v>
      </c>
      <c r="DM164" s="12">
        <f>VLOOKUP(A164,'Données projet'!$A$165:$I$185,9,0)</f>
        <v>1.1618589743589709</v>
      </c>
      <c r="DN164" s="12">
        <f t="array" ref="DN164">INDEX(DM:DM,MIN(IF(ISNUMBER(DM164:DM360),ROW(DM164:DM360),"")))</f>
        <v>1.1618589743589709</v>
      </c>
      <c r="DO164" s="12">
        <f>IF('Données projet'!$A$166&gt;35,DO163+DN164-DW163,IF(A164&lt;'Données projet'!$A$166,$DL$205^A164,IF(A164='Données projet'!$A$166,'Données projet'!$B$166,DO163+DN164-DW163)))</f>
        <v>91.365384615384158</v>
      </c>
      <c r="DP164" s="17">
        <f>DO164*VLOOKUP('Données projet'!$B$14,Paramètres!$A$1:$I$89,3,0)*VLOOKUP('Données projet'!$B$14,Paramètres!$A$1:$I$89,5,0)</f>
        <v>98.345699999999511</v>
      </c>
      <c r="DQ164" s="13">
        <f t="shared" si="176"/>
        <v>26.567501574793177</v>
      </c>
      <c r="DR164" s="20">
        <f t="shared" si="177"/>
        <v>217.5571594094306</v>
      </c>
      <c r="DS164" s="59">
        <f t="shared" si="125"/>
        <v>506.83710214213585</v>
      </c>
      <c r="DT164" s="59">
        <f ca="1">AVERAGE(OFFSET($DS$3,0,0,'Données projet'!$E$14+1,1))-AVERAGE(OFFSET($H$3,0,0,'Données projet'!$E$14+1,1))</f>
        <v>434.77799524785502</v>
      </c>
      <c r="DU164" s="59">
        <f t="shared" si="152"/>
        <v>259.85949838170006</v>
      </c>
      <c r="DV164" s="15">
        <f>IF(ISNA(VLOOKUP(A164,'Données projet'!$A$165:$I$185,3,0)),0,VLOOKUP(A164,'Données projet'!$A$165:$I$185,3,0))</f>
        <v>15</v>
      </c>
      <c r="DW164" s="15">
        <f>IF(ISNA(VLOOKUP(A164,'Données projet'!$A$165:$I$185,4,0)),0,VLOOKUP(A164,'Données projet'!$A$165:$I$185,4,0))</f>
        <v>91.365384615384613</v>
      </c>
      <c r="DX164" s="16">
        <f>IF(ISNA(VLOOKUP(A164,'Données projet'!$A$165:$I$185,5,0)),0%,VLOOKUP(A164,'Données projet'!$A$165:$I$185,5,0)*VLOOKUP('Données projet'!$B$14,Paramètres!$A$1:$I$89,7,0))</f>
        <v>0.38700000000000001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169.09741540188932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169.09741540188932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68.894529836192334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>
        <f>VLOOKUP(A164,'Données projet'!$A$191:$I$211,2,0)</f>
        <v>91.365384615384613</v>
      </c>
      <c r="EH164" s="12">
        <f>VLOOKUP(A164,'Données projet'!$A$191:$I$211,9,0)</f>
        <v>1.1618589743589709</v>
      </c>
      <c r="EI164" s="12">
        <f t="array" ref="EI164">INDEX(EH:EH,MIN(IF(ISNUMBER(EH164:EH360),ROW(EH164:EH360),"")))</f>
        <v>1.1618589743589709</v>
      </c>
      <c r="EJ164" s="12">
        <f>IF('Données projet'!$A$192&gt;35,EJ163+EI164-ER163,IF(A164&lt;'Données projet'!$A$192,$EG$205^A164,IF(A164='Données projet'!$A$192,'Données projet'!$B$192,EJ163+EI164-ER163)))</f>
        <v>91.365384615384158</v>
      </c>
      <c r="EK164" s="17">
        <f>EJ164*VLOOKUP('Données projet'!$B$15,Paramètres!$A$1:$I$89,3,0)*VLOOKUP('Données projet'!$B$15,Paramètres!$A$1:$I$89,5,0)</f>
        <v>88.36859999999956</v>
      </c>
      <c r="EL164" s="13">
        <f t="shared" si="179"/>
        <v>24.171352687445268</v>
      </c>
      <c r="EM164" s="20">
        <f t="shared" si="180"/>
        <v>196.00708426396639</v>
      </c>
      <c r="EN164" s="59">
        <f t="shared" si="128"/>
        <v>485.28702699667167</v>
      </c>
      <c r="EO164" s="59">
        <f ca="1">AVERAGE(OFFSET($EN$3,0,0,'Données projet'!$E$15+1,1))-AVERAGE(OFFSET($H$3,0,0,'Données projet'!$E$15+1,1))</f>
        <v>398.06270423055565</v>
      </c>
      <c r="EP164" s="59">
        <f t="shared" si="154"/>
        <v>239.15364562040614</v>
      </c>
      <c r="EQ164" s="15">
        <f>IF(ISNA(VLOOKUP(A164,'Données projet'!$A$191:$I$211,3,0)),0,VLOOKUP(A164,'Données projet'!$A$191:$I$211,3,0))</f>
        <v>15</v>
      </c>
      <c r="ER164" s="15">
        <f>IF(ISNA(VLOOKUP(A164,'Données projet'!$A$191:$I$211,4,0)),0,VLOOKUP(A164,'Données projet'!$A$191:$I$211,4,0))</f>
        <v>91.365384615384613</v>
      </c>
      <c r="ES164" s="16">
        <f>IF(ISNA(VLOOKUP(A164,'Données projet'!$A$191:$I$211,5,0)),0%,VLOOKUP(A164,'Données projet'!$A$191:$I$211,5,0)*VLOOKUP('Données projet'!$B$15,Paramètres!$A$1:$I$89,7,0))</f>
        <v>0.38700000000000001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151.94260514372667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151.94260514372667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68.894529836192334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-1.7053025658242404E-13</v>
      </c>
      <c r="FF164" s="17">
        <f>FE164*VLOOKUP('Données projet'!$B$16,Paramètres!$A$1:$I$89,3,0)*VLOOKUP('Données projet'!$B$16,Paramètres!$A$1:$I$89,5,0)</f>
        <v>-1.0197709343628959E-13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334.13861979962491</v>
      </c>
      <c r="FK164" s="59">
        <f t="shared" si="156"/>
        <v>416.48635183664305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20.35599097839021</v>
      </c>
      <c r="FR164" s="21">
        <f>EXP(-LN(2)/25)*FR163+(1-EXP(-LN(2)/25))/(LN(2)/25)*Calculateur!FM164*Calculateur!FO164*VLOOKUP('Données projet'!$B$16,Paramètres!$A$1:$I$89,3,0)*0.475*44/12</f>
        <v>2.4049273576060366</v>
      </c>
      <c r="FS164" s="21">
        <f>EXP(-LN(2)/2)*FS163+(1-EXP(-LN(2)/2))/(LN(2)/2)*FM164*FP164*VLOOKUP('Données projet'!$B$16,Paramètres!$A$1:$I$89,3,0)*0.475*44/12</f>
        <v>6.3441738300084463E-15</v>
      </c>
      <c r="FT164" s="22">
        <f t="shared" si="184"/>
        <v>22.760918335996255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68.894529836192334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3.4106051316484809E-13</v>
      </c>
      <c r="GA164" s="17">
        <f>FZ164*VLOOKUP('Données projet'!$B$17,Paramètres!$A$1:$I$89,3,0)*VLOOKUP('Données projet'!$B$17,Paramètres!$A$1:$I$89,5,0)</f>
        <v>1.5961632016114892E-13</v>
      </c>
      <c r="GB164" s="13">
        <f t="shared" si="185"/>
        <v>2.2708641912150958E-12</v>
      </c>
      <c r="GC164" s="20">
        <f t="shared" si="186"/>
        <v>4.2330868906469593E-12</v>
      </c>
      <c r="GD164" s="59">
        <f t="shared" si="134"/>
        <v>289.27994273270946</v>
      </c>
      <c r="GE164" s="59">
        <f ca="1">AVERAGE(OFFSET($GD$3,0,0,'Données projet'!$E$17+1,1))-AVERAGE(OFFSET($H$3,0,0,'Données projet'!$E$17+1,1))</f>
        <v>317.79829681023142</v>
      </c>
      <c r="GF164" s="59">
        <f t="shared" si="158"/>
        <v>275.07716943523621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57.801358417747096</v>
      </c>
      <c r="GM164" s="21">
        <f>EXP(-LN(2)/25)*GM163+(1-EXP(-LN(2)/25))/(LN(2)/25)*Calculateur!GH164*Calculateur!GJ164*VLOOKUP('Données projet'!$B$17,Paramètres!$A$1:$I$89,3,0)*0.475*44/12</f>
        <v>9.2975142843769127</v>
      </c>
      <c r="GN164" s="21">
        <f>EXP(-LN(2)/2)*GN163+(1-EXP(-LN(2)/2))/(LN(2)/2)*GH164*GK164*VLOOKUP('Données projet'!$B$17,Paramètres!$A$1:$I$89,3,0)*0.475*44/12</f>
        <v>8.2651679382296732E-8</v>
      </c>
      <c r="GO164" s="21">
        <f t="shared" si="187"/>
        <v>67.098872784775693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68.894529836192334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>
        <f>GU164*VLOOKUP('Données projet'!$B$18,Paramètres!$A$1:$I$89,3,0)*VLOOKUP('Données projet'!$B$18,Paramètres!$A$1:$I$89,5,0)</f>
        <v>0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336.21787234885699</v>
      </c>
      <c r="HA164" s="59">
        <f t="shared" si="160"/>
        <v>315.36156736899113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34.715694210148776</v>
      </c>
      <c r="HH164" s="21">
        <f>EXP(-LN(2)/25)*HH163+(1-EXP(-LN(2)/25))/(LN(2)/25)*Calculateur!HC164*Calculateur!HE164*VLOOKUP('Données projet'!$B$18,Paramètres!$A$1:$I$89,3,0)*0.475*44/12</f>
        <v>4.4462619105575616</v>
      </c>
      <c r="HI164" s="21">
        <f>EXP(-LN(2)/2)*HI163+(1-EXP(-LN(2)/2))/(LN(2)/2)*HC164*HF164*VLOOKUP('Données projet'!$B$18,Paramètres!$A$1:$I$89,3,0)*0.475*44/12</f>
        <v>8.0051825320620638E-13</v>
      </c>
      <c r="HJ164" s="22">
        <f t="shared" si="190"/>
        <v>39.161956120707138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3.7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13.566666666666668</v>
      </c>
      <c r="H165" s="67">
        <f t="shared" si="110"/>
        <v>202.4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68.913707272073353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5.1431925385259092E-13</v>
      </c>
      <c r="P165" s="13">
        <f t="shared" si="141"/>
        <v>6.3855359115685756E-12</v>
      </c>
      <c r="Q165" s="20">
        <f t="shared" si="162"/>
        <v>1.2017247746441865E-11</v>
      </c>
      <c r="R165" s="59">
        <f t="shared" si="109"/>
        <v>289.35025999761427</v>
      </c>
      <c r="S165" s="59">
        <f ca="1">AVERAGE(OFFSET($R$3,0,0,'Données projet'!$E$9+1,1))-AVERAGE(OFFSET($H$3,0,0,'Données projet'!$E$9+1,1))</f>
        <v>411.64357329340851</v>
      </c>
      <c r="T165" s="59">
        <f t="shared" si="142"/>
        <v>294.07942258675632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92.540859391825819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92.540859391825819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68.913707272073353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5.763922672485933E-13</v>
      </c>
      <c r="AK165" s="13">
        <f t="shared" si="164"/>
        <v>7.0619171555808457E-12</v>
      </c>
      <c r="AL165" s="20">
        <f t="shared" si="165"/>
        <v>1.3303388911427938E-11</v>
      </c>
      <c r="AM165" s="59">
        <f t="shared" si="113"/>
        <v>289.35025999761558</v>
      </c>
      <c r="AN165" s="59">
        <f ca="1">AVERAGE(OFFSET($AM$3,0,0,'Données projet'!$E$10+1,1))-AVERAGE(OFFSET($H$3,0,0,'Données projet'!$E$10+1,1))</f>
        <v>453.05577105995508</v>
      </c>
      <c r="AO165" s="59">
        <f t="shared" si="144"/>
        <v>322.6839824496758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103.70958380118412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103.70958380118412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68.913707272073353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5.1821581196581166</v>
      </c>
      <c r="BD165" s="12">
        <f>IF('Données projet'!$A$88&gt;35,BD164+BC165-BL164,IF(A165&lt;'Données projet'!$A$88,$BA$205^A165,IF(A165='Données projet'!$A$88,'Données projet'!$B$88,BD164+BC165-BL164)))</f>
        <v>268.22756410256414</v>
      </c>
      <c r="BE165" s="13">
        <f>BD165*VLOOKUP('Données projet'!$B$11,Paramètres!$A$1:$I$89,3,0)*VLOOKUP('Données projet'!$B$11,Paramètres!$A$1:$I$89,5,0)</f>
        <v>267.79840000000007</v>
      </c>
      <c r="BF165" s="13">
        <f t="shared" si="167"/>
        <v>64.381811793029854</v>
      </c>
      <c r="BG165" s="20">
        <f t="shared" si="168"/>
        <v>578.54720220619367</v>
      </c>
      <c r="BH165" s="59">
        <f t="shared" si="116"/>
        <v>867.89746220379595</v>
      </c>
      <c r="BI165" s="59">
        <f ca="1">AVERAGE(OFFSET($BH$3,0,0,'Données projet'!$E$11+1,1))-AVERAGE(OFFSET($H$3,0,0,'Données projet'!$E$11+1,1))</f>
        <v>411.38162678377478</v>
      </c>
      <c r="BJ165" s="59">
        <f t="shared" si="146"/>
        <v>177.89903563360403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41.091301508739036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41.091301508739036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68.913707272073353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212.00000000000009</v>
      </c>
      <c r="BZ165" s="13">
        <f>BY165*VLOOKUP('Données projet'!$B$12,Paramètres!$A$1:$I$89,3,0)*VLOOKUP('Données projet'!$B$12,Paramètres!$A$1:$I$89,5,0)</f>
        <v>221.58240000000012</v>
      </c>
      <c r="CA165" s="13">
        <f t="shared" si="170"/>
        <v>54.458668952651578</v>
      </c>
      <c r="CB165" s="20">
        <f t="shared" si="171"/>
        <v>480.77152842586838</v>
      </c>
      <c r="CC165" s="59">
        <f t="shared" si="119"/>
        <v>770.12178842347066</v>
      </c>
      <c r="CD165" s="59">
        <f ca="1">AVERAGE(OFFSET($CC$3,0,0,'Données projet'!$E$12+1,1))-AVERAGE(OFFSET($H$3,0,0,'Données projet'!$E$12+1,1))</f>
        <v>374.38550202939507</v>
      </c>
      <c r="CE165" s="59">
        <f t="shared" si="148"/>
        <v>324.37486924296718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5.2339039006500725</v>
      </c>
      <c r="CL165" s="21">
        <f>EXP(-LN(2)/25)*CL164+(1-EXP(-LN(2)/25))/(LN(2)/25)*Calculateur!CG165*Calculateur!CI165*VLOOKUP('Données projet'!$B$12,Paramètres!$A$1:$I$89,3,0)*0.475*44/12</f>
        <v>2.9995825347277694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8.2334864353778414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68.913707272073353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-4.5474735088646412E-13</v>
      </c>
      <c r="CU165" s="17">
        <f>CT165*VLOOKUP('Données projet'!$B$13,Paramètres!$A$1:$I$89,3,0)*VLOOKUP('Données projet'!$B$13,Paramètres!$A$1:$I$89,5,0)</f>
        <v>-4.3273757910355926E-13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392.81074187112989</v>
      </c>
      <c r="CZ165" s="59">
        <f t="shared" si="150"/>
        <v>236.19146849073687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146.56047263378187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146.56047263378187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68.913707272073353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-4.5474735088646412E-13</v>
      </c>
      <c r="DP165" s="17">
        <f>DO165*VLOOKUP('Données projet'!$B$14,Paramètres!$A$1:$I$89,3,0)*VLOOKUP('Données projet'!$B$14,Paramètres!$A$1:$I$89,5,0)</f>
        <v>-4.8949004849418999E-13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434.77799524785502</v>
      </c>
      <c r="DU165" s="59">
        <f t="shared" si="152"/>
        <v>259.85949838170006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165.7815182250975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165.7815182250975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68.913707272073353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-4.5474735088646412E-13</v>
      </c>
      <c r="EK165" s="17">
        <f>EJ165*VLOOKUP('Données projet'!$B$15,Paramètres!$A$1:$I$89,3,0)*VLOOKUP('Données projet'!$B$15,Paramètres!$A$1:$I$89,5,0)</f>
        <v>-4.3983163777738812E-13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398.06270423055565</v>
      </c>
      <c r="EP165" s="59">
        <f t="shared" si="154"/>
        <v>239.15364562040614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148.96310333269633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148.96310333269633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68.913707272073353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-1.7053025658242404E-13</v>
      </c>
      <c r="FF165" s="17">
        <f>FE165*VLOOKUP('Données projet'!$B$16,Paramètres!$A$1:$I$89,3,0)*VLOOKUP('Données projet'!$B$16,Paramètres!$A$1:$I$89,5,0)</f>
        <v>-1.0197709343628959E-13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334.13861979962491</v>
      </c>
      <c r="FK165" s="59">
        <f t="shared" si="156"/>
        <v>416.48635183664305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19.956822411232505</v>
      </c>
      <c r="FR165" s="21">
        <f>EXP(-LN(2)/25)*FR164+(1-EXP(-LN(2)/25))/(LN(2)/25)*Calculateur!FM165*Calculateur!FO165*VLOOKUP('Données projet'!$B$16,Paramètres!$A$1:$I$89,3,0)*0.475*44/12</f>
        <v>2.3391644925426665</v>
      </c>
      <c r="FS165" s="21">
        <f>EXP(-LN(2)/2)*FS164+(1-EXP(-LN(2)/2))/(LN(2)/2)*FM165*FP165*VLOOKUP('Données projet'!$B$16,Paramètres!$A$1:$I$89,3,0)*0.475*44/12</f>
        <v>4.4860083362252035E-15</v>
      </c>
      <c r="FT165" s="22">
        <f t="shared" si="184"/>
        <v>22.295986903775177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68.913707272073353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3.4106051316484809E-13</v>
      </c>
      <c r="GA165" s="17">
        <f>FZ165*VLOOKUP('Données projet'!$B$17,Paramètres!$A$1:$I$89,3,0)*VLOOKUP('Données projet'!$B$17,Paramètres!$A$1:$I$89,5,0)</f>
        <v>1.5961632016114892E-13</v>
      </c>
      <c r="GB165" s="13">
        <f t="shared" si="185"/>
        <v>2.2708641912150958E-12</v>
      </c>
      <c r="GC165" s="20">
        <f t="shared" si="186"/>
        <v>4.2330868906469593E-12</v>
      </c>
      <c r="GD165" s="59">
        <f t="shared" si="134"/>
        <v>289.35025999760649</v>
      </c>
      <c r="GE165" s="59">
        <f ca="1">AVERAGE(OFFSET($GD$3,0,0,'Données projet'!$E$17+1,1))-AVERAGE(OFFSET($H$3,0,0,'Données projet'!$E$17+1,1))</f>
        <v>317.79829681023142</v>
      </c>
      <c r="GF165" s="59">
        <f t="shared" si="158"/>
        <v>275.07716943523621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56.66790903452253</v>
      </c>
      <c r="GM165" s="21">
        <f>EXP(-LN(2)/25)*GM164+(1-EXP(-LN(2)/25))/(LN(2)/25)*Calculateur!GH165*Calculateur!GJ165*VLOOKUP('Données projet'!$B$17,Paramètres!$A$1:$I$89,3,0)*0.475*44/12</f>
        <v>9.0432732673356</v>
      </c>
      <c r="GN165" s="21">
        <f>EXP(-LN(2)/2)*GN164+(1-EXP(-LN(2)/2))/(LN(2)/2)*GH165*GK165*VLOOKUP('Données projet'!$B$17,Paramètres!$A$1:$I$89,3,0)*0.475*44/12</f>
        <v>5.8443562967678381E-8</v>
      </c>
      <c r="GO165" s="21">
        <f t="shared" si="187"/>
        <v>65.711182360301692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68.913707272073353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>
        <f>GU165*VLOOKUP('Données projet'!$B$18,Paramètres!$A$1:$I$89,3,0)*VLOOKUP('Données projet'!$B$18,Paramètres!$A$1:$I$89,5,0)</f>
        <v>0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336.21787234885699</v>
      </c>
      <c r="HA165" s="59">
        <f t="shared" si="160"/>
        <v>315.36156736899113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34.034940621170421</v>
      </c>
      <c r="HH165" s="21">
        <f>EXP(-LN(2)/25)*HH164+(1-EXP(-LN(2)/25))/(LN(2)/25)*Calculateur!HC165*Calculateur!HE165*VLOOKUP('Données projet'!$B$18,Paramètres!$A$1:$I$89,3,0)*0.475*44/12</f>
        <v>4.3246786447946128</v>
      </c>
      <c r="HI165" s="21">
        <f>EXP(-LN(2)/2)*HI164+(1-EXP(-LN(2)/2))/(LN(2)/2)*HC165*HF165*VLOOKUP('Données projet'!$B$18,Paramètres!$A$1:$I$89,3,0)*0.475*44/12</f>
        <v>5.6605188530571821E-13</v>
      </c>
      <c r="HJ165" s="22">
        <f t="shared" si="190"/>
        <v>38.359619265965605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3.7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13.566666666666668</v>
      </c>
      <c r="H166" s="67">
        <f t="shared" si="110"/>
        <v>202.4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68.932552022316173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5.1431925385259092E-13</v>
      </c>
      <c r="P166" s="13">
        <f t="shared" si="141"/>
        <v>6.3855359115685756E-12</v>
      </c>
      <c r="Q166" s="20">
        <f t="shared" si="162"/>
        <v>1.2017247746441865E-11</v>
      </c>
      <c r="R166" s="59">
        <f t="shared" si="109"/>
        <v>289.41935741517131</v>
      </c>
      <c r="S166" s="59">
        <f ca="1">AVERAGE(OFFSET($R$3,0,0,'Données projet'!$E$9+1,1))-AVERAGE(OFFSET($H$3,0,0,'Données projet'!$E$9+1,1))</f>
        <v>411.64357329340851</v>
      </c>
      <c r="T166" s="59">
        <f t="shared" si="142"/>
        <v>294.07942258675632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90.726189583502929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90.726189583502929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68.932552022316173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5.763922672485933E-13</v>
      </c>
      <c r="AK166" s="13">
        <f t="shared" si="164"/>
        <v>7.0619171555808457E-12</v>
      </c>
      <c r="AL166" s="20">
        <f t="shared" si="165"/>
        <v>1.3303388911427938E-11</v>
      </c>
      <c r="AM166" s="59">
        <f t="shared" si="113"/>
        <v>289.41935741517261</v>
      </c>
      <c r="AN166" s="59">
        <f ca="1">AVERAGE(OFFSET($AM$3,0,0,'Données projet'!$E$10+1,1))-AVERAGE(OFFSET($H$3,0,0,'Données projet'!$E$10+1,1))</f>
        <v>453.05577105995508</v>
      </c>
      <c r="AO166" s="59">
        <f t="shared" si="144"/>
        <v>322.6839824496758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101.67590211944295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101.67590211944295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68.932552022316173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5.1821581196581166</v>
      </c>
      <c r="BD166" s="12">
        <f>IF('Données projet'!$A$88&gt;35,BD165+BC166-BL165,IF(A166&lt;'Données projet'!$A$88,$BA$205^A166,IF(A166='Données projet'!$A$88,'Données projet'!$B$88,BD165+BC166-BL165)))</f>
        <v>273.40972222222229</v>
      </c>
      <c r="BE166" s="13">
        <f>BD166*VLOOKUP('Données projet'!$B$11,Paramètres!$A$1:$I$89,3,0)*VLOOKUP('Données projet'!$B$11,Paramètres!$A$1:$I$89,5,0)</f>
        <v>272.97226666666677</v>
      </c>
      <c r="BF166" s="13">
        <f t="shared" si="167"/>
        <v>65.479656795542525</v>
      </c>
      <c r="BG166" s="20">
        <f t="shared" si="168"/>
        <v>589.47043336334775</v>
      </c>
      <c r="BH166" s="59">
        <f t="shared" si="116"/>
        <v>878.88979077850706</v>
      </c>
      <c r="BI166" s="59">
        <f ca="1">AVERAGE(OFFSET($BH$3,0,0,'Données projet'!$E$11+1,1))-AVERAGE(OFFSET($H$3,0,0,'Données projet'!$E$11+1,1))</f>
        <v>411.38162678377478</v>
      </c>
      <c r="BJ166" s="59">
        <f t="shared" si="146"/>
        <v>177.89903563360403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40.285526149371798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40.285526149371798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68.932552022316173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212.00000000000009</v>
      </c>
      <c r="BZ166" s="13">
        <f>BY166*VLOOKUP('Données projet'!$B$12,Paramètres!$A$1:$I$89,3,0)*VLOOKUP('Données projet'!$B$12,Paramètres!$A$1:$I$89,5,0)</f>
        <v>221.58240000000012</v>
      </c>
      <c r="CA166" s="13">
        <f t="shared" si="170"/>
        <v>54.458668952651578</v>
      </c>
      <c r="CB166" s="20">
        <f t="shared" si="171"/>
        <v>480.77152842586838</v>
      </c>
      <c r="CC166" s="59">
        <f t="shared" si="119"/>
        <v>770.19088584102769</v>
      </c>
      <c r="CD166" s="59">
        <f ca="1">AVERAGE(OFFSET($CC$3,0,0,'Données projet'!$E$12+1,1))-AVERAGE(OFFSET($H$3,0,0,'Données projet'!$E$12+1,1))</f>
        <v>374.38550202939507</v>
      </c>
      <c r="CE166" s="59">
        <f t="shared" si="148"/>
        <v>324.37486924296718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5.1312702375244843</v>
      </c>
      <c r="CL166" s="21">
        <f>EXP(-LN(2)/25)*CL165+(1-EXP(-LN(2)/25))/(LN(2)/25)*Calculateur!CG166*Calculateur!CI166*VLOOKUP('Données projet'!$B$12,Paramètres!$A$1:$I$89,3,0)*0.475*44/12</f>
        <v>2.9175587925744488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8.0488290300989327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68.932552022316173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-4.5474735088646412E-13</v>
      </c>
      <c r="CU166" s="17">
        <f>CT166*VLOOKUP('Données projet'!$B$13,Paramètres!$A$1:$I$89,3,0)*VLOOKUP('Données projet'!$B$13,Paramètres!$A$1:$I$89,5,0)</f>
        <v>-4.3273757910355926E-13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392.81074187112989</v>
      </c>
      <c r="CZ166" s="59">
        <f t="shared" si="150"/>
        <v>236.19146849073687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143.68651115849488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143.68651115849488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68.932552022316173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-4.5474735088646412E-13</v>
      </c>
      <c r="DP166" s="17">
        <f>DO166*VLOOKUP('Données projet'!$B$14,Paramètres!$A$1:$I$89,3,0)*VLOOKUP('Données projet'!$B$14,Paramètres!$A$1:$I$89,5,0)</f>
        <v>-4.8949004849418999E-13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434.77799524785502</v>
      </c>
      <c r="DU166" s="59">
        <f t="shared" si="152"/>
        <v>259.85949838170006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162.53064376944499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162.53064376944499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68.932552022316173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-4.5474735088646412E-13</v>
      </c>
      <c r="EK166" s="17">
        <f>EJ166*VLOOKUP('Données projet'!$B$15,Paramètres!$A$1:$I$89,3,0)*VLOOKUP('Données projet'!$B$15,Paramètres!$A$1:$I$89,5,0)</f>
        <v>-4.3983163777738812E-13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398.06270423055565</v>
      </c>
      <c r="EP166" s="59">
        <f t="shared" si="154"/>
        <v>239.15364562040614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146.04202773486367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146.04202773486367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68.932552022316173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-1.7053025658242404E-13</v>
      </c>
      <c r="FF166" s="17">
        <f>FE166*VLOOKUP('Données projet'!$B$16,Paramètres!$A$1:$I$89,3,0)*VLOOKUP('Données projet'!$B$16,Paramètres!$A$1:$I$89,5,0)</f>
        <v>-1.0197709343628959E-13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334.13861979962491</v>
      </c>
      <c r="FK166" s="59">
        <f t="shared" si="156"/>
        <v>416.48635183664305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19.565481296207977</v>
      </c>
      <c r="FR166" s="21">
        <f>EXP(-LN(2)/25)*FR165+(1-EXP(-LN(2)/25))/(LN(2)/25)*Calculateur!FM166*Calculateur!FO166*VLOOKUP('Données projet'!$B$16,Paramètres!$A$1:$I$89,3,0)*0.475*44/12</f>
        <v>2.275199916482773</v>
      </c>
      <c r="FS166" s="21">
        <f>EXP(-LN(2)/2)*FS165+(1-EXP(-LN(2)/2))/(LN(2)/2)*FM166*FP166*VLOOKUP('Données projet'!$B$16,Paramètres!$A$1:$I$89,3,0)*0.475*44/12</f>
        <v>3.1720869150042232E-15</v>
      </c>
      <c r="FT166" s="22">
        <f t="shared" si="184"/>
        <v>21.840681212690754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68.932552022316173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3.4106051316484809E-13</v>
      </c>
      <c r="GA166" s="17">
        <f>FZ166*VLOOKUP('Données projet'!$B$17,Paramètres!$A$1:$I$89,3,0)*VLOOKUP('Données projet'!$B$17,Paramètres!$A$1:$I$89,5,0)</f>
        <v>1.5961632016114892E-13</v>
      </c>
      <c r="GB166" s="13">
        <f t="shared" si="185"/>
        <v>2.2708641912150958E-12</v>
      </c>
      <c r="GC166" s="20">
        <f t="shared" si="186"/>
        <v>4.2330868906469593E-12</v>
      </c>
      <c r="GD166" s="59">
        <f t="shared" si="134"/>
        <v>289.41935741516352</v>
      </c>
      <c r="GE166" s="59">
        <f ca="1">AVERAGE(OFFSET($GD$3,0,0,'Données projet'!$E$17+1,1))-AVERAGE(OFFSET($H$3,0,0,'Données projet'!$E$17+1,1))</f>
        <v>317.79829681023142</v>
      </c>
      <c r="GF166" s="59">
        <f t="shared" si="158"/>
        <v>275.07716943523621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55.556685902367143</v>
      </c>
      <c r="GM166" s="21">
        <f>EXP(-LN(2)/25)*GM165+(1-EXP(-LN(2)/25))/(LN(2)/25)*Calculateur!GH166*Calculateur!GJ166*VLOOKUP('Données projet'!$B$17,Paramètres!$A$1:$I$89,3,0)*0.475*44/12</f>
        <v>8.7959844842752357</v>
      </c>
      <c r="GN166" s="21">
        <f>EXP(-LN(2)/2)*GN165+(1-EXP(-LN(2)/2))/(LN(2)/2)*GH166*GK166*VLOOKUP('Données projet'!$B$17,Paramètres!$A$1:$I$89,3,0)*0.475*44/12</f>
        <v>4.1325839691148372E-8</v>
      </c>
      <c r="GO166" s="21">
        <f t="shared" si="187"/>
        <v>64.352670427968206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68.932552022316173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>
        <f>GU166*VLOOKUP('Données projet'!$B$18,Paramètres!$A$1:$I$89,3,0)*VLOOKUP('Données projet'!$B$18,Paramètres!$A$1:$I$89,5,0)</f>
        <v>0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336.21787234885699</v>
      </c>
      <c r="HA166" s="59">
        <f t="shared" si="160"/>
        <v>315.36156736899113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33.367536194853244</v>
      </c>
      <c r="HH166" s="21">
        <f>EXP(-LN(2)/25)*HH165+(1-EXP(-LN(2)/25))/(LN(2)/25)*Calculateur!HC166*Calculateur!HE166*VLOOKUP('Données projet'!$B$18,Paramètres!$A$1:$I$89,3,0)*0.475*44/12</f>
        <v>4.2064200798277387</v>
      </c>
      <c r="HI166" s="21">
        <f>EXP(-LN(2)/2)*HI165+(1-EXP(-LN(2)/2))/(LN(2)/2)*HC166*HF166*VLOOKUP('Données projet'!$B$18,Paramètres!$A$1:$I$89,3,0)*0.475*44/12</f>
        <v>4.0025912660310319E-13</v>
      </c>
      <c r="HJ166" s="22">
        <f t="shared" si="190"/>
        <v>37.573956274681379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3.7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13.566666666666668</v>
      </c>
      <c r="H167" s="67">
        <f t="shared" si="110"/>
        <v>202.4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68.951069858272831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5.1431925385259092E-13</v>
      </c>
      <c r="P167" s="13">
        <f t="shared" si="141"/>
        <v>6.3855359115685756E-12</v>
      </c>
      <c r="Q167" s="20">
        <f t="shared" si="162"/>
        <v>1.2017247746441865E-11</v>
      </c>
      <c r="R167" s="59">
        <f t="shared" si="109"/>
        <v>289.48725614701237</v>
      </c>
      <c r="S167" s="59">
        <f ca="1">AVERAGE(OFFSET($R$3,0,0,'Données projet'!$E$9+1,1))-AVERAGE(OFFSET($H$3,0,0,'Données projet'!$E$9+1,1))</f>
        <v>411.64357329340851</v>
      </c>
      <c r="T167" s="59">
        <f t="shared" si="142"/>
        <v>294.07942258675632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88.947104343281964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88.947104343281964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68.951069858272831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5.763922672485933E-13</v>
      </c>
      <c r="AK167" s="13">
        <f t="shared" si="164"/>
        <v>7.0619171555808457E-12</v>
      </c>
      <c r="AL167" s="20">
        <f t="shared" si="165"/>
        <v>1.3303388911427938E-11</v>
      </c>
      <c r="AM167" s="59">
        <f t="shared" si="113"/>
        <v>289.48725614701368</v>
      </c>
      <c r="AN167" s="59">
        <f ca="1">AVERAGE(OFFSET($AM$3,0,0,'Données projet'!$E$10+1,1))-AVERAGE(OFFSET($H$3,0,0,'Données projet'!$E$10+1,1))</f>
        <v>453.05577105995508</v>
      </c>
      <c r="AO167" s="59">
        <f t="shared" si="144"/>
        <v>322.6839824496758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99.682099695057374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99.682099695057374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68.951069858272831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5.1821581196581166</v>
      </c>
      <c r="BD167" s="12">
        <f>IF('Données projet'!$A$88&gt;35,BD166+BC167-BL166,IF(A167&lt;'Données projet'!$A$88,$BA$205^A167,IF(A167='Données projet'!$A$88,'Données projet'!$B$88,BD166+BC167-BL166)))</f>
        <v>278.59188034188043</v>
      </c>
      <c r="BE167" s="13">
        <f>BD167*VLOOKUP('Données projet'!$B$11,Paramètres!$A$1:$I$89,3,0)*VLOOKUP('Données projet'!$B$11,Paramètres!$A$1:$I$89,5,0)</f>
        <v>278.14613333333347</v>
      </c>
      <c r="BF167" s="13">
        <f t="shared" si="167"/>
        <v>66.575082222333336</v>
      </c>
      <c r="BG167" s="20">
        <f t="shared" si="168"/>
        <v>600.38945042611965</v>
      </c>
      <c r="BH167" s="59">
        <f t="shared" si="116"/>
        <v>889.87670657312003</v>
      </c>
      <c r="BI167" s="59">
        <f ca="1">AVERAGE(OFFSET($BH$3,0,0,'Données projet'!$E$11+1,1))-AVERAGE(OFFSET($H$3,0,0,'Données projet'!$E$11+1,1))</f>
        <v>411.38162678377478</v>
      </c>
      <c r="BJ167" s="59">
        <f t="shared" si="146"/>
        <v>177.89903563360403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39.49555155332731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39.49555155332731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68.951069858272831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212.00000000000009</v>
      </c>
      <c r="BZ167" s="13">
        <f>BY167*VLOOKUP('Données projet'!$B$12,Paramètres!$A$1:$I$89,3,0)*VLOOKUP('Données projet'!$B$12,Paramètres!$A$1:$I$89,5,0)</f>
        <v>221.58240000000012</v>
      </c>
      <c r="CA167" s="13">
        <f t="shared" si="170"/>
        <v>54.458668952651578</v>
      </c>
      <c r="CB167" s="20">
        <f t="shared" si="171"/>
        <v>480.77152842586838</v>
      </c>
      <c r="CC167" s="59">
        <f t="shared" si="119"/>
        <v>770.25878457286876</v>
      </c>
      <c r="CD167" s="59">
        <f ca="1">AVERAGE(OFFSET($CC$3,0,0,'Données projet'!$E$12+1,1))-AVERAGE(OFFSET($H$3,0,0,'Données projet'!$E$12+1,1))</f>
        <v>374.38550202939507</v>
      </c>
      <c r="CE167" s="59">
        <f t="shared" si="148"/>
        <v>324.37486924296718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5.0306491579324355</v>
      </c>
      <c r="CL167" s="21">
        <f>EXP(-LN(2)/25)*CL166+(1-EXP(-LN(2)/25))/(LN(2)/25)*Calculateur!CG167*Calculateur!CI167*VLOOKUP('Données projet'!$B$12,Paramètres!$A$1:$I$89,3,0)*0.475*44/12</f>
        <v>2.8377779939637517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7.8684271518961868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68.951069858272831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-4.5474735088646412E-13</v>
      </c>
      <c r="CU167" s="17">
        <f>CT167*VLOOKUP('Données projet'!$B$13,Paramètres!$A$1:$I$89,3,0)*VLOOKUP('Données projet'!$B$13,Paramètres!$A$1:$I$89,5,0)</f>
        <v>-4.3273757910355926E-13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392.81074187112989</v>
      </c>
      <c r="CZ167" s="59">
        <f t="shared" si="150"/>
        <v>236.19146849073687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140.86890631479486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140.86890631479486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68.951069858272831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-4.5474735088646412E-13</v>
      </c>
      <c r="DP167" s="17">
        <f>DO167*VLOOKUP('Données projet'!$B$14,Paramètres!$A$1:$I$89,3,0)*VLOOKUP('Données projet'!$B$14,Paramètres!$A$1:$I$89,5,0)</f>
        <v>-4.8949004849418999E-13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434.77799524785502</v>
      </c>
      <c r="DU167" s="59">
        <f t="shared" si="152"/>
        <v>259.85949838170006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159.34351697903023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159.34351697903023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68.951069858272831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-4.5474735088646412E-13</v>
      </c>
      <c r="EK167" s="17">
        <f>EJ167*VLOOKUP('Données projet'!$B$15,Paramètres!$A$1:$I$89,3,0)*VLOOKUP('Données projet'!$B$15,Paramètres!$A$1:$I$89,5,0)</f>
        <v>-4.3983163777738812E-13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398.06270423055565</v>
      </c>
      <c r="EP167" s="59">
        <f t="shared" si="154"/>
        <v>239.15364562040614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143.1782326478243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143.1782326478243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68.951069858272831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-1.7053025658242404E-13</v>
      </c>
      <c r="FF167" s="17">
        <f>FE167*VLOOKUP('Données projet'!$B$16,Paramètres!$A$1:$I$89,3,0)*VLOOKUP('Données projet'!$B$16,Paramètres!$A$1:$I$89,5,0)</f>
        <v>-1.0197709343628959E-13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334.13861979962491</v>
      </c>
      <c r="FK167" s="59">
        <f t="shared" si="156"/>
        <v>416.48635183664305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19.181814141754568</v>
      </c>
      <c r="FR167" s="21">
        <f>EXP(-LN(2)/25)*FR166+(1-EXP(-LN(2)/25))/(LN(2)/25)*Calculateur!FM167*Calculateur!FO167*VLOOKUP('Données projet'!$B$16,Paramètres!$A$1:$I$89,3,0)*0.475*44/12</f>
        <v>2.2129844551189879</v>
      </c>
      <c r="FS167" s="21">
        <f>EXP(-LN(2)/2)*FS166+(1-EXP(-LN(2)/2))/(LN(2)/2)*FM167*FP167*VLOOKUP('Données projet'!$B$16,Paramètres!$A$1:$I$89,3,0)*0.475*44/12</f>
        <v>2.2430041681126018E-15</v>
      </c>
      <c r="FT167" s="22">
        <f t="shared" si="184"/>
        <v>21.39479859687356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68.951069858272831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3.4106051316484809E-13</v>
      </c>
      <c r="GA167" s="17">
        <f>FZ167*VLOOKUP('Données projet'!$B$17,Paramètres!$A$1:$I$89,3,0)*VLOOKUP('Données projet'!$B$17,Paramètres!$A$1:$I$89,5,0)</f>
        <v>1.5961632016114892E-13</v>
      </c>
      <c r="GB167" s="13">
        <f t="shared" si="185"/>
        <v>2.2708641912150958E-12</v>
      </c>
      <c r="GC167" s="20">
        <f t="shared" si="186"/>
        <v>4.2330868906469593E-12</v>
      </c>
      <c r="GD167" s="59">
        <f t="shared" si="134"/>
        <v>289.48725614700459</v>
      </c>
      <c r="GE167" s="59">
        <f ca="1">AVERAGE(OFFSET($GD$3,0,0,'Données projet'!$E$17+1,1))-AVERAGE(OFFSET($H$3,0,0,'Données projet'!$E$17+1,1))</f>
        <v>317.79829681023142</v>
      </c>
      <c r="GF167" s="59">
        <f t="shared" si="158"/>
        <v>275.07716943523621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54.467253178054136</v>
      </c>
      <c r="GM167" s="21">
        <f>EXP(-LN(2)/25)*GM166+(1-EXP(-LN(2)/25))/(LN(2)/25)*Calculateur!GH167*Calculateur!GJ167*VLOOKUP('Données projet'!$B$17,Paramètres!$A$1:$I$89,3,0)*0.475*44/12</f>
        <v>8.5554578259920095</v>
      </c>
      <c r="GN167" s="21">
        <f>EXP(-LN(2)/2)*GN166+(1-EXP(-LN(2)/2))/(LN(2)/2)*GH167*GK167*VLOOKUP('Données projet'!$B$17,Paramètres!$A$1:$I$89,3,0)*0.475*44/12</f>
        <v>2.9221781483839194E-8</v>
      </c>
      <c r="GO167" s="21">
        <f t="shared" si="187"/>
        <v>63.022711033267925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68.951069858272831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>
        <f>GU167*VLOOKUP('Données projet'!$B$18,Paramètres!$A$1:$I$89,3,0)*VLOOKUP('Données projet'!$B$18,Paramètres!$A$1:$I$89,5,0)</f>
        <v>0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336.21787234885699</v>
      </c>
      <c r="HA167" s="59">
        <f t="shared" si="160"/>
        <v>315.36156736899113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32.713219162259641</v>
      </c>
      <c r="HH167" s="21">
        <f>EXP(-LN(2)/25)*HH166+(1-EXP(-LN(2)/25))/(LN(2)/25)*Calculateur!HC167*Calculateur!HE167*VLOOKUP('Données projet'!$B$18,Paramètres!$A$1:$I$89,3,0)*0.475*44/12</f>
        <v>4.0913953015388307</v>
      </c>
      <c r="HI167" s="21">
        <f>EXP(-LN(2)/2)*HI166+(1-EXP(-LN(2)/2))/(LN(2)/2)*HC167*HF167*VLOOKUP('Données projet'!$B$18,Paramètres!$A$1:$I$89,3,0)*0.475*44/12</f>
        <v>2.8302594265285911E-13</v>
      </c>
      <c r="HJ167" s="22">
        <f t="shared" si="190"/>
        <v>36.804614463798757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3.7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13.566666666666668</v>
      </c>
      <c r="H168" s="67">
        <f t="shared" si="110"/>
        <v>202.4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68.969266451175315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5.1431925385259092E-13</v>
      </c>
      <c r="P168" s="13">
        <f t="shared" si="141"/>
        <v>6.3855359115685756E-12</v>
      </c>
      <c r="Q168" s="20">
        <f t="shared" si="162"/>
        <v>1.2017247746441865E-11</v>
      </c>
      <c r="R168" s="59">
        <f t="shared" si="109"/>
        <v>289.55397698765478</v>
      </c>
      <c r="S168" s="59">
        <f ca="1">AVERAGE(OFFSET($R$3,0,0,'Données projet'!$E$9+1,1))-AVERAGE(OFFSET($H$3,0,0,'Données projet'!$E$9+1,1))</f>
        <v>411.64357329340851</v>
      </c>
      <c r="T168" s="59">
        <f t="shared" si="142"/>
        <v>294.07942258675632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87.202905879486877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87.202905879486877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68.969266451175315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5.763922672485933E-13</v>
      </c>
      <c r="AK168" s="13">
        <f t="shared" si="164"/>
        <v>7.0619171555808457E-12</v>
      </c>
      <c r="AL168" s="20">
        <f t="shared" si="165"/>
        <v>1.3303388911427938E-11</v>
      </c>
      <c r="AM168" s="59">
        <f t="shared" si="113"/>
        <v>289.55397698765609</v>
      </c>
      <c r="AN168" s="59">
        <f ca="1">AVERAGE(OFFSET($AM$3,0,0,'Données projet'!$E$10+1,1))-AVERAGE(OFFSET($H$3,0,0,'Données projet'!$E$10+1,1))</f>
        <v>453.05577105995508</v>
      </c>
      <c r="AO168" s="59">
        <f t="shared" si="144"/>
        <v>322.6839824496758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97.727394520114601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97.727394520114601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68.969266451175315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5.1821581196581166</v>
      </c>
      <c r="BD168" s="12">
        <f>IF('Données projet'!$A$88&gt;35,BD167+BC168-BL167,IF(A168&lt;'Données projet'!$A$88,$BA$205^A168,IF(A168='Données projet'!$A$88,'Données projet'!$B$88,BD167+BC168-BL167)))</f>
        <v>283.77403846153857</v>
      </c>
      <c r="BE168" s="13">
        <f>BD168*VLOOKUP('Données projet'!$B$11,Paramètres!$A$1:$I$89,3,0)*VLOOKUP('Données projet'!$B$11,Paramètres!$A$1:$I$89,5,0)</f>
        <v>283.32000000000016</v>
      </c>
      <c r="BF168" s="13">
        <f t="shared" si="167"/>
        <v>67.668138270855991</v>
      </c>
      <c r="BG168" s="20">
        <f t="shared" si="168"/>
        <v>611.30434082174111</v>
      </c>
      <c r="BH168" s="59">
        <f t="shared" si="116"/>
        <v>900.85831780938383</v>
      </c>
      <c r="BI168" s="59">
        <f ca="1">AVERAGE(OFFSET($BH$3,0,0,'Données projet'!$E$11+1,1))-AVERAGE(OFFSET($H$3,0,0,'Données projet'!$E$11+1,1))</f>
        <v>411.38162678377478</v>
      </c>
      <c r="BJ168" s="59">
        <f t="shared" si="146"/>
        <v>177.89903563360403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38.721067877274329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38.721067877274329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68.969266451175315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212.00000000000009</v>
      </c>
      <c r="BZ168" s="13">
        <f>BY168*VLOOKUP('Données projet'!$B$12,Paramètres!$A$1:$I$89,3,0)*VLOOKUP('Données projet'!$B$12,Paramètres!$A$1:$I$89,5,0)</f>
        <v>221.58240000000012</v>
      </c>
      <c r="CA168" s="13">
        <f t="shared" si="170"/>
        <v>54.458668952651578</v>
      </c>
      <c r="CB168" s="20">
        <f t="shared" si="171"/>
        <v>480.77152842586838</v>
      </c>
      <c r="CC168" s="59">
        <f t="shared" si="119"/>
        <v>770.32550541351111</v>
      </c>
      <c r="CD168" s="59">
        <f ca="1">AVERAGE(OFFSET($CC$3,0,0,'Données projet'!$E$12+1,1))-AVERAGE(OFFSET($H$3,0,0,'Données projet'!$E$12+1,1))</f>
        <v>374.38550202939507</v>
      </c>
      <c r="CE168" s="59">
        <f t="shared" si="148"/>
        <v>324.37486924296718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4.9320011963383878</v>
      </c>
      <c r="CL168" s="21">
        <f>EXP(-LN(2)/25)*CL167+(1-EXP(-LN(2)/25))/(LN(2)/25)*Calculateur!CG168*Calculateur!CI168*VLOOKUP('Données projet'!$B$12,Paramètres!$A$1:$I$89,3,0)*0.475*44/12</f>
        <v>2.7601788054865541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7.6921800018249424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68.969266451175315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-4.5474735088646412E-13</v>
      </c>
      <c r="CU168" s="17">
        <f>CT168*VLOOKUP('Données projet'!$B$13,Paramètres!$A$1:$I$89,3,0)*VLOOKUP('Données projet'!$B$13,Paramètres!$A$1:$I$89,5,0)</f>
        <v>-4.3273757910355926E-13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392.81074187112989</v>
      </c>
      <c r="CZ168" s="59">
        <f t="shared" si="150"/>
        <v>236.19146849073687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138.10655298351054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138.10655298351054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68.969266451175315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-4.5474735088646412E-13</v>
      </c>
      <c r="DP168" s="17">
        <f>DO168*VLOOKUP('Données projet'!$B$14,Paramètres!$A$1:$I$89,3,0)*VLOOKUP('Données projet'!$B$14,Paramètres!$A$1:$I$89,5,0)</f>
        <v>-4.8949004849418999E-13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434.77799524785502</v>
      </c>
      <c r="DU168" s="59">
        <f t="shared" si="152"/>
        <v>259.85949838170006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156.21888780102009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156.21888780102009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68.969266451175315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-4.5474735088646412E-13</v>
      </c>
      <c r="EK168" s="17">
        <f>EJ168*VLOOKUP('Données projet'!$B$15,Paramètres!$A$1:$I$89,3,0)*VLOOKUP('Données projet'!$B$15,Paramètres!$A$1:$I$89,5,0)</f>
        <v>-4.3983163777738812E-13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398.06270423055565</v>
      </c>
      <c r="EP168" s="59">
        <f t="shared" si="154"/>
        <v>239.15364562040614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140.37059483569925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140.37059483569925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68.969266451175315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-1.7053025658242404E-13</v>
      </c>
      <c r="FF168" s="17">
        <f>FE168*VLOOKUP('Données projet'!$B$16,Paramètres!$A$1:$I$89,3,0)*VLOOKUP('Données projet'!$B$16,Paramètres!$A$1:$I$89,5,0)</f>
        <v>-1.0197709343628959E-13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334.13861979962491</v>
      </c>
      <c r="FK168" s="59">
        <f t="shared" si="156"/>
        <v>416.48635183664305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18.805670466186132</v>
      </c>
      <c r="FR168" s="21">
        <f>EXP(-LN(2)/25)*FR167+(1-EXP(-LN(2)/25))/(LN(2)/25)*Calculateur!FM168*Calculateur!FO168*VLOOKUP('Données projet'!$B$16,Paramètres!$A$1:$I$89,3,0)*0.475*44/12</f>
        <v>2.1524702788179644</v>
      </c>
      <c r="FS168" s="21">
        <f>EXP(-LN(2)/2)*FS167+(1-EXP(-LN(2)/2))/(LN(2)/2)*FM168*FP168*VLOOKUP('Données projet'!$B$16,Paramètres!$A$1:$I$89,3,0)*0.475*44/12</f>
        <v>1.5860434575021116E-15</v>
      </c>
      <c r="FT168" s="22">
        <f t="shared" si="184"/>
        <v>20.958140745004098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68.969266451175315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3.4106051316484809E-13</v>
      </c>
      <c r="GA168" s="17">
        <f>FZ168*VLOOKUP('Données projet'!$B$17,Paramètres!$A$1:$I$89,3,0)*VLOOKUP('Données projet'!$B$17,Paramètres!$A$1:$I$89,5,0)</f>
        <v>1.5961632016114892E-13</v>
      </c>
      <c r="GB168" s="13">
        <f t="shared" si="185"/>
        <v>2.2708641912150958E-12</v>
      </c>
      <c r="GC168" s="20">
        <f t="shared" si="186"/>
        <v>4.2330868906469593E-12</v>
      </c>
      <c r="GD168" s="59">
        <f t="shared" si="134"/>
        <v>289.55397698764699</v>
      </c>
      <c r="GE168" s="59">
        <f ca="1">AVERAGE(OFFSET($GD$3,0,0,'Données projet'!$E$17+1,1))-AVERAGE(OFFSET($H$3,0,0,'Données projet'!$E$17+1,1))</f>
        <v>317.79829681023142</v>
      </c>
      <c r="GF168" s="59">
        <f t="shared" si="158"/>
        <v>275.07716943523621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53.39918356497656</v>
      </c>
      <c r="GM168" s="21">
        <f>EXP(-LN(2)/25)*GM167+(1-EXP(-LN(2)/25))/(LN(2)/25)*Calculateur!GH168*Calculateur!GJ168*VLOOKUP('Données projet'!$B$17,Paramètres!$A$1:$I$89,3,0)*0.475*44/12</f>
        <v>8.3215083818282842</v>
      </c>
      <c r="GN168" s="21">
        <f>EXP(-LN(2)/2)*GN167+(1-EXP(-LN(2)/2))/(LN(2)/2)*GH168*GK168*VLOOKUP('Données projet'!$B$17,Paramètres!$A$1:$I$89,3,0)*0.475*44/12</f>
        <v>2.066291984557419E-8</v>
      </c>
      <c r="GO168" s="21">
        <f t="shared" si="187"/>
        <v>61.720691967467765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68.969266451175315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>
        <f>GU168*VLOOKUP('Données projet'!$B$18,Paramètres!$A$1:$I$89,3,0)*VLOOKUP('Données projet'!$B$18,Paramètres!$A$1:$I$89,5,0)</f>
        <v>0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336.21787234885699</v>
      </c>
      <c r="HA168" s="59">
        <f t="shared" si="160"/>
        <v>315.36156736899113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32.071732887581213</v>
      </c>
      <c r="HH168" s="21">
        <f>EXP(-LN(2)/25)*HH167+(1-EXP(-LN(2)/25))/(LN(2)/25)*Calculateur!HC168*Calculateur!HE168*VLOOKUP('Données projet'!$B$18,Paramètres!$A$1:$I$89,3,0)*0.475*44/12</f>
        <v>3.9795158818611234</v>
      </c>
      <c r="HI168" s="21">
        <f>EXP(-LN(2)/2)*HI167+(1-EXP(-LN(2)/2))/(LN(2)/2)*HC168*HF168*VLOOKUP('Données projet'!$B$18,Paramètres!$A$1:$I$89,3,0)*0.475*44/12</f>
        <v>2.001295633015516E-13</v>
      </c>
      <c r="HJ168" s="22">
        <f t="shared" si="190"/>
        <v>36.051248769442537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3.7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13.566666666666668</v>
      </c>
      <c r="H169" s="67">
        <f t="shared" si="110"/>
        <v>202.4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68.987147373872432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5.1431925385259092E-13</v>
      </c>
      <c r="P169" s="13">
        <f t="shared" si="141"/>
        <v>6.3855359115685756E-12</v>
      </c>
      <c r="Q169" s="20">
        <f t="shared" si="162"/>
        <v>1.2017247746441865E-11</v>
      </c>
      <c r="R169" s="59">
        <f t="shared" si="109"/>
        <v>289.61954037087759</v>
      </c>
      <c r="S169" s="59">
        <f ca="1">AVERAGE(OFFSET($R$3,0,0,'Données projet'!$E$9+1,1))-AVERAGE(OFFSET($H$3,0,0,'Données projet'!$E$9+1,1))</f>
        <v>411.64357329340851</v>
      </c>
      <c r="T169" s="59">
        <f t="shared" si="142"/>
        <v>294.07942258675632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85.492910083710797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85.492910083710797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68.987147373872432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5.763922672485933E-13</v>
      </c>
      <c r="AK169" s="13">
        <f t="shared" si="164"/>
        <v>7.0619171555808457E-12</v>
      </c>
      <c r="AL169" s="20">
        <f t="shared" si="165"/>
        <v>1.3303388911427938E-11</v>
      </c>
      <c r="AM169" s="59">
        <f t="shared" si="113"/>
        <v>289.61954037087889</v>
      </c>
      <c r="AN169" s="59">
        <f ca="1">AVERAGE(OFFSET($AM$3,0,0,'Données projet'!$E$10+1,1))-AVERAGE(OFFSET($H$3,0,0,'Données projet'!$E$10+1,1))</f>
        <v>453.05577105995508</v>
      </c>
      <c r="AO169" s="59">
        <f t="shared" si="144"/>
        <v>322.6839824496758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95.811019921400032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95.811019921400032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68.987147373872432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5.1821581196581166</v>
      </c>
      <c r="BD169" s="12">
        <f>IF('Données projet'!$A$88&gt;35,BD168+BC169-BL168,IF(A169&lt;'Données projet'!$A$88,$BA$205^A169,IF(A169='Données projet'!$A$88,'Données projet'!$B$88,BD168+BC169-BL168)))</f>
        <v>288.95619658119671</v>
      </c>
      <c r="BE169" s="13">
        <f>BD169*VLOOKUP('Données projet'!$B$11,Paramètres!$A$1:$I$89,3,0)*VLOOKUP('Données projet'!$B$11,Paramètres!$A$1:$I$89,5,0)</f>
        <v>288.4938666666668</v>
      </c>
      <c r="BF169" s="13">
        <f t="shared" si="167"/>
        <v>68.758873200232131</v>
      </c>
      <c r="BG169" s="20">
        <f t="shared" si="168"/>
        <v>622.21518860151571</v>
      </c>
      <c r="BH169" s="59">
        <f t="shared" si="116"/>
        <v>911.8347289723813</v>
      </c>
      <c r="BI169" s="59">
        <f ca="1">AVERAGE(OFFSET($BH$3,0,0,'Données projet'!$E$11+1,1))-AVERAGE(OFFSET($H$3,0,0,'Données projet'!$E$11+1,1))</f>
        <v>411.38162678377478</v>
      </c>
      <c r="BJ169" s="59">
        <f t="shared" si="146"/>
        <v>177.89903563360403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37.961771353720351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37.961771353720351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68.987147373872432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212.00000000000009</v>
      </c>
      <c r="BZ169" s="13">
        <f>BY169*VLOOKUP('Données projet'!$B$12,Paramètres!$A$1:$I$89,3,0)*VLOOKUP('Données projet'!$B$12,Paramètres!$A$1:$I$89,5,0)</f>
        <v>221.58240000000012</v>
      </c>
      <c r="CA169" s="13">
        <f t="shared" si="170"/>
        <v>54.458668952651578</v>
      </c>
      <c r="CB169" s="20">
        <f t="shared" si="171"/>
        <v>480.77152842586838</v>
      </c>
      <c r="CC169" s="59">
        <f t="shared" si="119"/>
        <v>770.39106879673398</v>
      </c>
      <c r="CD169" s="59">
        <f ca="1">AVERAGE(OFFSET($CC$3,0,0,'Données projet'!$E$12+1,1))-AVERAGE(OFFSET($H$3,0,0,'Données projet'!$E$12+1,1))</f>
        <v>374.38550202939507</v>
      </c>
      <c r="CE169" s="59">
        <f t="shared" si="148"/>
        <v>324.37486924296718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4.8352876611018845</v>
      </c>
      <c r="CL169" s="21">
        <f>EXP(-LN(2)/25)*CL168+(1-EXP(-LN(2)/25))/(LN(2)/25)*Calculateur!CG169*Calculateur!CI169*VLOOKUP('Données projet'!$B$12,Paramètres!$A$1:$I$89,3,0)*0.475*44/12</f>
        <v>2.6847015708990294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7.5199892320009134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68.987147373872432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-4.5474735088646412E-13</v>
      </c>
      <c r="CU169" s="17">
        <f>CT169*VLOOKUP('Données projet'!$B$13,Paramètres!$A$1:$I$89,3,0)*VLOOKUP('Données projet'!$B$13,Paramètres!$A$1:$I$89,5,0)</f>
        <v>-4.3273757910355926E-13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392.81074187112989</v>
      </c>
      <c r="CZ169" s="59">
        <f t="shared" si="150"/>
        <v>236.19146849073687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135.39836771618354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135.39836771618354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68.987147373872432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-4.5474735088646412E-13</v>
      </c>
      <c r="DP169" s="17">
        <f>DO169*VLOOKUP('Données projet'!$B$14,Paramètres!$A$1:$I$89,3,0)*VLOOKUP('Données projet'!$B$14,Paramètres!$A$1:$I$89,5,0)</f>
        <v>-4.8949004849418999E-13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434.77799524785502</v>
      </c>
      <c r="DU169" s="59">
        <f t="shared" si="152"/>
        <v>259.85949838170006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153.15553069535511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153.15553069535511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68.987147373872432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-4.5474735088646412E-13</v>
      </c>
      <c r="EK169" s="17">
        <f>EJ169*VLOOKUP('Données projet'!$B$15,Paramètres!$A$1:$I$89,3,0)*VLOOKUP('Données projet'!$B$15,Paramètres!$A$1:$I$89,5,0)</f>
        <v>-4.3983163777738812E-13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398.06270423055565</v>
      </c>
      <c r="EP169" s="59">
        <f t="shared" si="154"/>
        <v>239.15364562040614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137.61801308858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137.61801308858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68.987147373872432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-1.7053025658242404E-13</v>
      </c>
      <c r="FF169" s="17">
        <f>FE169*VLOOKUP('Données projet'!$B$16,Paramètres!$A$1:$I$89,3,0)*VLOOKUP('Données projet'!$B$16,Paramètres!$A$1:$I$89,5,0)</f>
        <v>-1.0197709343628959E-13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334.13861979962491</v>
      </c>
      <c r="FK169" s="59">
        <f t="shared" si="156"/>
        <v>416.48635183664305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18.436902738670607</v>
      </c>
      <c r="FR169" s="21">
        <f>EXP(-LN(2)/25)*FR168+(1-EXP(-LN(2)/25))/(LN(2)/25)*Calculateur!FM169*Calculateur!FO169*VLOOKUP('Données projet'!$B$16,Paramètres!$A$1:$I$89,3,0)*0.475*44/12</f>
        <v>2.0936108658501946</v>
      </c>
      <c r="FS169" s="21">
        <f>EXP(-LN(2)/2)*FS168+(1-EXP(-LN(2)/2))/(LN(2)/2)*FM169*FP169*VLOOKUP('Données projet'!$B$16,Paramètres!$A$1:$I$89,3,0)*0.475*44/12</f>
        <v>1.1215020840563009E-15</v>
      </c>
      <c r="FT169" s="22">
        <f t="shared" si="184"/>
        <v>20.530513604520802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68.987147373872432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3.4106051316484809E-13</v>
      </c>
      <c r="GA169" s="17">
        <f>FZ169*VLOOKUP('Données projet'!$B$17,Paramètres!$A$1:$I$89,3,0)*VLOOKUP('Données projet'!$B$17,Paramètres!$A$1:$I$89,5,0)</f>
        <v>1.5961632016114892E-13</v>
      </c>
      <c r="GB169" s="13">
        <f t="shared" si="185"/>
        <v>2.2708641912150958E-12</v>
      </c>
      <c r="GC169" s="20">
        <f t="shared" si="186"/>
        <v>4.2330868906469593E-12</v>
      </c>
      <c r="GD169" s="59">
        <f t="shared" si="134"/>
        <v>289.6195403708698</v>
      </c>
      <c r="GE169" s="59">
        <f ca="1">AVERAGE(OFFSET($GD$3,0,0,'Données projet'!$E$17+1,1))-AVERAGE(OFFSET($H$3,0,0,'Données projet'!$E$17+1,1))</f>
        <v>317.79829681023142</v>
      </c>
      <c r="GF169" s="59">
        <f t="shared" si="158"/>
        <v>275.07716943523621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52.352058145553293</v>
      </c>
      <c r="GM169" s="21">
        <f>EXP(-LN(2)/25)*GM168+(1-EXP(-LN(2)/25))/(LN(2)/25)*Calculateur!GH169*Calculateur!GJ169*VLOOKUP('Données projet'!$B$17,Paramètres!$A$1:$I$89,3,0)*0.475*44/12</f>
        <v>8.0939562975180834</v>
      </c>
      <c r="GN169" s="21">
        <f>EXP(-LN(2)/2)*GN168+(1-EXP(-LN(2)/2))/(LN(2)/2)*GH169*GK169*VLOOKUP('Données projet'!$B$17,Paramètres!$A$1:$I$89,3,0)*0.475*44/12</f>
        <v>1.46108907419196E-8</v>
      </c>
      <c r="GO169" s="21">
        <f t="shared" si="187"/>
        <v>60.446014457682267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68.987147373872432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>
        <f>GU169*VLOOKUP('Données projet'!$B$18,Paramètres!$A$1:$I$89,3,0)*VLOOKUP('Données projet'!$B$18,Paramètres!$A$1:$I$89,5,0)</f>
        <v>0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336.21787234885699</v>
      </c>
      <c r="HA169" s="59">
        <f t="shared" si="160"/>
        <v>315.36156736899113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31.442825767481239</v>
      </c>
      <c r="HH169" s="21">
        <f>EXP(-LN(2)/25)*HH168+(1-EXP(-LN(2)/25))/(LN(2)/25)*Calculateur!HC169*Calculateur!HE169*VLOOKUP('Données projet'!$B$18,Paramètres!$A$1:$I$89,3,0)*0.475*44/12</f>
        <v>3.8706958107979861</v>
      </c>
      <c r="HI169" s="21">
        <f>EXP(-LN(2)/2)*HI168+(1-EXP(-LN(2)/2))/(LN(2)/2)*HC169*HF169*VLOOKUP('Données projet'!$B$18,Paramètres!$A$1:$I$89,3,0)*0.475*44/12</f>
        <v>1.4151297132642955E-13</v>
      </c>
      <c r="HJ169" s="22">
        <f t="shared" si="190"/>
        <v>35.313521578279364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3.7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13.566666666666668</v>
      </c>
      <c r="H170" s="67">
        <f t="shared" si="110"/>
        <v>202.4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69.004718102536501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5.1431925385259092E-13</v>
      </c>
      <c r="P170" s="13">
        <f t="shared" si="141"/>
        <v>6.3855359115685756E-12</v>
      </c>
      <c r="Q170" s="20">
        <f t="shared" si="162"/>
        <v>1.2017247746441865E-11</v>
      </c>
      <c r="R170" s="59">
        <f t="shared" si="109"/>
        <v>289.68396637597914</v>
      </c>
      <c r="S170" s="59">
        <f ca="1">AVERAGE(OFFSET($R$3,0,0,'Données projet'!$E$9+1,1))-AVERAGE(OFFSET($H$3,0,0,'Données projet'!$E$9+1,1))</f>
        <v>411.64357329340851</v>
      </c>
      <c r="T170" s="59">
        <f t="shared" si="142"/>
        <v>294.07942258675632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83.816446262495433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83.816446262495433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69.004718102536501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5.763922672485933E-13</v>
      </c>
      <c r="AK170" s="13">
        <f t="shared" si="164"/>
        <v>7.0619171555808457E-12</v>
      </c>
      <c r="AL170" s="20">
        <f t="shared" si="165"/>
        <v>1.3303388911427938E-11</v>
      </c>
      <c r="AM170" s="59">
        <f t="shared" si="113"/>
        <v>289.68396637598045</v>
      </c>
      <c r="AN170" s="59">
        <f ca="1">AVERAGE(OFFSET($AM$3,0,0,'Données projet'!$E$10+1,1))-AVERAGE(OFFSET($H$3,0,0,'Données projet'!$E$10+1,1))</f>
        <v>453.05577105995508</v>
      </c>
      <c r="AO170" s="59">
        <f t="shared" si="144"/>
        <v>322.6839824496758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93.932224259693157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93.932224259693157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69.004718102536501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5.1821581196581166</v>
      </c>
      <c r="BD170" s="12">
        <f>IF('Données projet'!$A$88&gt;35,BD169+BC170-BL169,IF(A170&lt;'Données projet'!$A$88,$BA$205^A170,IF(A170='Données projet'!$A$88,'Données projet'!$B$88,BD169+BC170-BL169)))</f>
        <v>294.13835470085485</v>
      </c>
      <c r="BE170" s="13">
        <f>BD170*VLOOKUP('Données projet'!$B$11,Paramètres!$A$1:$I$89,3,0)*VLOOKUP('Données projet'!$B$11,Paramètres!$A$1:$I$89,5,0)</f>
        <v>293.6677333333335</v>
      </c>
      <c r="BF170" s="13">
        <f t="shared" si="167"/>
        <v>69.847333439493923</v>
      </c>
      <c r="BG170" s="20">
        <f t="shared" si="168"/>
        <v>633.122074629341</v>
      </c>
      <c r="BH170" s="59">
        <f t="shared" si="116"/>
        <v>922.80604100530809</v>
      </c>
      <c r="BI170" s="59">
        <f ca="1">AVERAGE(OFFSET($BH$3,0,0,'Données projet'!$E$11+1,1))-AVERAGE(OFFSET($H$3,0,0,'Données projet'!$E$11+1,1))</f>
        <v>411.38162678377478</v>
      </c>
      <c r="BJ170" s="59">
        <f t="shared" si="146"/>
        <v>177.89903563360403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37.217364171868113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37.217364171868113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69.004718102536501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212.00000000000009</v>
      </c>
      <c r="BZ170" s="13">
        <f>BY170*VLOOKUP('Données projet'!$B$12,Paramètres!$A$1:$I$89,3,0)*VLOOKUP('Données projet'!$B$12,Paramètres!$A$1:$I$89,5,0)</f>
        <v>221.58240000000012</v>
      </c>
      <c r="CA170" s="13">
        <f t="shared" si="170"/>
        <v>54.458668952651578</v>
      </c>
      <c r="CB170" s="20">
        <f t="shared" si="171"/>
        <v>480.77152842586838</v>
      </c>
      <c r="CC170" s="59">
        <f t="shared" si="119"/>
        <v>770.45549480183558</v>
      </c>
      <c r="CD170" s="59">
        <f ca="1">AVERAGE(OFFSET($CC$3,0,0,'Données projet'!$E$12+1,1))-AVERAGE(OFFSET($H$3,0,0,'Données projet'!$E$12+1,1))</f>
        <v>374.38550202939507</v>
      </c>
      <c r="CE170" s="59">
        <f t="shared" si="148"/>
        <v>324.37486924296718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4.740470619301937</v>
      </c>
      <c r="CL170" s="21">
        <f>EXP(-LN(2)/25)*CL169+(1-EXP(-LN(2)/25))/(LN(2)/25)*Calculateur!CG170*Calculateur!CI170*VLOOKUP('Données projet'!$B$12,Paramètres!$A$1:$I$89,3,0)*0.475*44/12</f>
        <v>2.6112882652604759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7.3517588845624129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69.004718102536501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-4.5474735088646412E-13</v>
      </c>
      <c r="CU170" s="17">
        <f>CT170*VLOOKUP('Données projet'!$B$13,Paramètres!$A$1:$I$89,3,0)*VLOOKUP('Données projet'!$B$13,Paramètres!$A$1:$I$89,5,0)</f>
        <v>-4.3273757910355926E-13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392.81074187112989</v>
      </c>
      <c r="CZ170" s="59">
        <f t="shared" si="150"/>
        <v>236.19146849073687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132.74328831011891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132.74328831011891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69.004718102536501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-4.5474735088646412E-13</v>
      </c>
      <c r="DP170" s="17">
        <f>DO170*VLOOKUP('Données projet'!$B$14,Paramètres!$A$1:$I$89,3,0)*VLOOKUP('Données projet'!$B$14,Paramètres!$A$1:$I$89,5,0)</f>
        <v>-4.8949004849418999E-13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434.77799524785502</v>
      </c>
      <c r="DU170" s="59">
        <f t="shared" si="152"/>
        <v>259.85949838170006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150.15224415406888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150.15224415406888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69.004718102536501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-4.5474735088646412E-13</v>
      </c>
      <c r="EK170" s="17">
        <f>EJ170*VLOOKUP('Données projet'!$B$15,Paramètres!$A$1:$I$89,3,0)*VLOOKUP('Données projet'!$B$15,Paramètres!$A$1:$I$89,5,0)</f>
        <v>-4.3983163777738812E-13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398.06270423055565</v>
      </c>
      <c r="EP170" s="59">
        <f t="shared" si="154"/>
        <v>239.15364562040614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134.91940779061267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134.91940779061267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69.004718102536501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-1.7053025658242404E-13</v>
      </c>
      <c r="FF170" s="17">
        <f>FE170*VLOOKUP('Données projet'!$B$16,Paramètres!$A$1:$I$89,3,0)*VLOOKUP('Données projet'!$B$16,Paramètres!$A$1:$I$89,5,0)</f>
        <v>-1.0197709343628959E-13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334.13861979962491</v>
      </c>
      <c r="FK170" s="59">
        <f t="shared" si="156"/>
        <v>416.48635183664305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18.075366321365557</v>
      </c>
      <c r="FR170" s="21">
        <f>EXP(-LN(2)/25)*FR169+(1-EXP(-LN(2)/25))/(LN(2)/25)*Calculateur!FM170*Calculateur!FO170*VLOOKUP('Données projet'!$B$16,Paramètres!$A$1:$I$89,3,0)*0.475*44/12</f>
        <v>2.0363609666253106</v>
      </c>
      <c r="FS170" s="21">
        <f>EXP(-LN(2)/2)*FS169+(1-EXP(-LN(2)/2))/(LN(2)/2)*FM170*FP170*VLOOKUP('Données projet'!$B$16,Paramètres!$A$1:$I$89,3,0)*0.475*44/12</f>
        <v>7.9302172875105579E-16</v>
      </c>
      <c r="FT170" s="22">
        <f t="shared" si="184"/>
        <v>20.111727287990867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69.004718102536501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3.4106051316484809E-13</v>
      </c>
      <c r="GA170" s="17">
        <f>FZ170*VLOOKUP('Données projet'!$B$17,Paramètres!$A$1:$I$89,3,0)*VLOOKUP('Données projet'!$B$17,Paramètres!$A$1:$I$89,5,0)</f>
        <v>1.5961632016114892E-13</v>
      </c>
      <c r="GB170" s="13">
        <f t="shared" si="185"/>
        <v>2.2708641912150958E-12</v>
      </c>
      <c r="GC170" s="20">
        <f t="shared" si="186"/>
        <v>4.2330868906469593E-12</v>
      </c>
      <c r="GD170" s="59">
        <f t="shared" si="134"/>
        <v>289.68396637597135</v>
      </c>
      <c r="GE170" s="59">
        <f ca="1">AVERAGE(OFFSET($GD$3,0,0,'Données projet'!$E$17+1,1))-AVERAGE(OFFSET($H$3,0,0,'Données projet'!$E$17+1,1))</f>
        <v>317.79829681023142</v>
      </c>
      <c r="GF170" s="59">
        <f t="shared" si="158"/>
        <v>275.07716943523621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51.325466216921477</v>
      </c>
      <c r="GM170" s="21">
        <f>EXP(-LN(2)/25)*GM169+(1-EXP(-LN(2)/25))/(LN(2)/25)*Calculateur!GH170*Calculateur!GJ170*VLOOKUP('Données projet'!$B$17,Paramètres!$A$1:$I$89,3,0)*0.475*44/12</f>
        <v>7.8726266369197884</v>
      </c>
      <c r="GN170" s="21">
        <f>EXP(-LN(2)/2)*GN169+(1-EXP(-LN(2)/2))/(LN(2)/2)*GH170*GK170*VLOOKUP('Données projet'!$B$17,Paramètres!$A$1:$I$89,3,0)*0.475*44/12</f>
        <v>1.0331459922787096E-8</v>
      </c>
      <c r="GO170" s="21">
        <f t="shared" si="187"/>
        <v>59.198092864172729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69.004718102536501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>
        <f>GU170*VLOOKUP('Données projet'!$B$18,Paramètres!$A$1:$I$89,3,0)*VLOOKUP('Données projet'!$B$18,Paramètres!$A$1:$I$89,5,0)</f>
        <v>0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336.21787234885699</v>
      </c>
      <c r="HA170" s="59">
        <f t="shared" si="160"/>
        <v>315.36156736899113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30.826251132410956</v>
      </c>
      <c r="HH170" s="21">
        <f>EXP(-LN(2)/25)*HH169+(1-EXP(-LN(2)/25))/(LN(2)/25)*Calculateur!HC170*Calculateur!HE170*VLOOKUP('Données projet'!$B$18,Paramètres!$A$1:$I$89,3,0)*0.475*44/12</f>
        <v>3.764851430300669</v>
      </c>
      <c r="HI170" s="21">
        <f>EXP(-LN(2)/2)*HI169+(1-EXP(-LN(2)/2))/(LN(2)/2)*HC170*HF170*VLOOKUP('Données projet'!$B$18,Paramètres!$A$1:$I$89,3,0)*0.475*44/12</f>
        <v>1.000647816507758E-13</v>
      </c>
      <c r="HJ170" s="22">
        <f t="shared" si="190"/>
        <v>34.591102562711725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3.7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13.566666666666668</v>
      </c>
      <c r="H171" s="67">
        <f t="shared" si="110"/>
        <v>202.4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69.021984018340518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5.1431925385259092E-13</v>
      </c>
      <c r="P171" s="13">
        <f t="shared" si="141"/>
        <v>6.3855359115685756E-12</v>
      </c>
      <c r="Q171" s="20">
        <f t="shared" si="162"/>
        <v>1.2017247746441865E-11</v>
      </c>
      <c r="R171" s="59">
        <f t="shared" si="109"/>
        <v>289.74727473392721</v>
      </c>
      <c r="S171" s="59">
        <f ca="1">AVERAGE(OFFSET($R$3,0,0,'Données projet'!$E$9+1,1))-AVERAGE(OFFSET($H$3,0,0,'Données projet'!$E$9+1,1))</f>
        <v>411.64357329340851</v>
      </c>
      <c r="T171" s="59">
        <f t="shared" si="142"/>
        <v>294.07942258675632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82.172856874272142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82.172856874272142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69.021984018340518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5.763922672485933E-13</v>
      </c>
      <c r="AK171" s="13">
        <f t="shared" si="164"/>
        <v>7.0619171555808457E-12</v>
      </c>
      <c r="AL171" s="20">
        <f t="shared" si="165"/>
        <v>1.3303388911427938E-11</v>
      </c>
      <c r="AM171" s="59">
        <f t="shared" si="113"/>
        <v>289.74727473392852</v>
      </c>
      <c r="AN171" s="59">
        <f ca="1">AVERAGE(OFFSET($AM$3,0,0,'Données projet'!$E$10+1,1))-AVERAGE(OFFSET($H$3,0,0,'Données projet'!$E$10+1,1))</f>
        <v>453.05577105995508</v>
      </c>
      <c r="AO171" s="59">
        <f t="shared" si="144"/>
        <v>322.6839824496758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92.090270634960163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92.090270634960163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69.021984018340518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>
        <f>VLOOKUP(A171,'Données projet'!$A$87:$I$107,2,0)</f>
        <v>299.32051282051276</v>
      </c>
      <c r="BB171" s="12">
        <f>VLOOKUP(A171,'Données projet'!$A$87:$I$107,9,0)</f>
        <v>5.1821581196581166</v>
      </c>
      <c r="BC171" s="12">
        <f t="array" ref="BC171">INDEX(BB:BB,MIN(IF(ISNUMBER(BB171:BB367),ROW(BB171:BB367),"")))</f>
        <v>5.1821581196581166</v>
      </c>
      <c r="BD171" s="12">
        <f>IF('Données projet'!$A$88&gt;35,BD170+BC171-BL170,IF(A171&lt;'Données projet'!$A$88,$BA$205^A171,IF(A171='Données projet'!$A$88,'Données projet'!$B$88,BD170+BC171-BL170)))</f>
        <v>299.32051282051299</v>
      </c>
      <c r="BE171" s="13">
        <f>BD171*VLOOKUP('Données projet'!$B$11,Paramètres!$A$1:$I$89,3,0)*VLOOKUP('Données projet'!$B$11,Paramètres!$A$1:$I$89,5,0)</f>
        <v>298.84160000000014</v>
      </c>
      <c r="BF171" s="13">
        <f t="shared" si="167"/>
        <v>70.933563687983167</v>
      </c>
      <c r="BG171" s="20">
        <f t="shared" si="168"/>
        <v>644.02507675657091</v>
      </c>
      <c r="BH171" s="59">
        <f t="shared" si="116"/>
        <v>933.77235149048613</v>
      </c>
      <c r="BI171" s="59">
        <f ca="1">AVERAGE(OFFSET($BH$3,0,0,'Données projet'!$E$11+1,1))-AVERAGE(OFFSET($H$3,0,0,'Données projet'!$E$11+1,1))</f>
        <v>411.38162678377478</v>
      </c>
      <c r="BJ171" s="59">
        <f t="shared" si="146"/>
        <v>177.89903563360403</v>
      </c>
      <c r="BK171" s="15">
        <f>IF(ISNA(VLOOKUP(A171,'Données projet'!$A$87:$I$107,3,0)),0,VLOOKUP(A171,'Données projet'!$A$87:$I$107,3,0))</f>
        <v>12</v>
      </c>
      <c r="BL171" s="15">
        <f>IF(ISNA(VLOOKUP(A171,'Données projet'!$A$87:$I$107,4,0)),0,VLOOKUP(A171,'Données projet'!$A$87:$I$107,4,0))</f>
        <v>49.102564102564095</v>
      </c>
      <c r="BM171" s="16">
        <f>IF(ISNA(VLOOKUP(A171,'Données projet'!$A$87:$I$107,5,0)),0%,VLOOKUP(A171,'Données projet'!$A$87:$I$107,5,0)*VLOOKUP('Données projet'!$B$11,Paramètres!$A$1:$I$89,7,0))</f>
        <v>0.38700000000000001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57.460856776776886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57.460856776776886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69.021984018340518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212.00000000000009</v>
      </c>
      <c r="BZ171" s="13">
        <f>BY171*VLOOKUP('Données projet'!$B$12,Paramètres!$A$1:$I$89,3,0)*VLOOKUP('Données projet'!$B$12,Paramètres!$A$1:$I$89,5,0)</f>
        <v>221.58240000000012</v>
      </c>
      <c r="CA171" s="13">
        <f t="shared" si="170"/>
        <v>54.458668952651578</v>
      </c>
      <c r="CB171" s="20">
        <f t="shared" si="171"/>
        <v>480.77152842586838</v>
      </c>
      <c r="CC171" s="59">
        <f t="shared" si="119"/>
        <v>770.5188031597836</v>
      </c>
      <c r="CD171" s="59">
        <f ca="1">AVERAGE(OFFSET($CC$3,0,0,'Données projet'!$E$12+1,1))-AVERAGE(OFFSET($H$3,0,0,'Données projet'!$E$12+1,1))</f>
        <v>374.38550202939507</v>
      </c>
      <c r="CE171" s="59">
        <f t="shared" si="148"/>
        <v>324.37486924296718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4.6475128818590017</v>
      </c>
      <c r="CL171" s="21">
        <f>EXP(-LN(2)/25)*CL170+(1-EXP(-LN(2)/25))/(LN(2)/25)*Calculateur!CG171*Calculateur!CI171*VLOOKUP('Données projet'!$B$12,Paramètres!$A$1:$I$89,3,0)*0.475*44/12</f>
        <v>2.5398824503252464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7.1873953321842485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69.021984018340518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-4.5474735088646412E-13</v>
      </c>
      <c r="CU171" s="17">
        <f>CT171*VLOOKUP('Données projet'!$B$13,Paramètres!$A$1:$I$89,3,0)*VLOOKUP('Données projet'!$B$13,Paramètres!$A$1:$I$89,5,0)</f>
        <v>-4.3273757910355926E-13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392.81074187112989</v>
      </c>
      <c r="CZ171" s="59">
        <f t="shared" si="150"/>
        <v>236.19146849073687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130.14027339176869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130.14027339176869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69.021984018340518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-4.5474735088646412E-13</v>
      </c>
      <c r="DP171" s="17">
        <f>DO171*VLOOKUP('Données projet'!$B$14,Paramètres!$A$1:$I$89,3,0)*VLOOKUP('Données projet'!$B$14,Paramètres!$A$1:$I$89,5,0)</f>
        <v>-4.8949004849418999E-13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434.77799524785502</v>
      </c>
      <c r="DU171" s="59">
        <f t="shared" si="152"/>
        <v>259.85949838170006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147.20785023003339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147.20785023003339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69.021984018340518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-4.5474735088646412E-13</v>
      </c>
      <c r="EK171" s="17">
        <f>EJ171*VLOOKUP('Données projet'!$B$15,Paramètres!$A$1:$I$89,3,0)*VLOOKUP('Données projet'!$B$15,Paramètres!$A$1:$I$89,5,0)</f>
        <v>-4.3983163777738812E-13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398.06270423055565</v>
      </c>
      <c r="EP171" s="59">
        <f t="shared" si="154"/>
        <v>239.15364562040614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132.27372049655176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132.27372049655176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69.021984018340518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-1.7053025658242404E-13</v>
      </c>
      <c r="FF171" s="17">
        <f>FE171*VLOOKUP('Données projet'!$B$16,Paramètres!$A$1:$I$89,3,0)*VLOOKUP('Données projet'!$B$16,Paramètres!$A$1:$I$89,5,0)</f>
        <v>-1.0197709343628959E-13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334.13861979962491</v>
      </c>
      <c r="FK171" s="59">
        <f t="shared" si="156"/>
        <v>416.48635183664305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17.720919412688417</v>
      </c>
      <c r="FR171" s="21">
        <f>EXP(-LN(2)/25)*FR170+(1-EXP(-LN(2)/25))/(LN(2)/25)*Calculateur!FM171*Calculateur!FO171*VLOOKUP('Données projet'!$B$16,Paramètres!$A$1:$I$89,3,0)*0.475*44/12</f>
        <v>1.9806765689053725</v>
      </c>
      <c r="FS171" s="21">
        <f>EXP(-LN(2)/2)*FS170+(1-EXP(-LN(2)/2))/(LN(2)/2)*FM171*FP171*VLOOKUP('Données projet'!$B$16,Paramètres!$A$1:$I$89,3,0)*0.475*44/12</f>
        <v>5.6075104202815044E-16</v>
      </c>
      <c r="FT171" s="22">
        <f t="shared" si="184"/>
        <v>19.70159598159379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69.021984018340518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3.4106051316484809E-13</v>
      </c>
      <c r="GA171" s="17">
        <f>FZ171*VLOOKUP('Données projet'!$B$17,Paramètres!$A$1:$I$89,3,0)*VLOOKUP('Données projet'!$B$17,Paramètres!$A$1:$I$89,5,0)</f>
        <v>1.5961632016114892E-13</v>
      </c>
      <c r="GB171" s="13">
        <f t="shared" si="185"/>
        <v>2.2708641912150958E-12</v>
      </c>
      <c r="GC171" s="20">
        <f t="shared" si="186"/>
        <v>4.2330868906469593E-12</v>
      </c>
      <c r="GD171" s="59">
        <f t="shared" si="134"/>
        <v>289.74727473391943</v>
      </c>
      <c r="GE171" s="59">
        <f ca="1">AVERAGE(OFFSET($GD$3,0,0,'Données projet'!$E$17+1,1))-AVERAGE(OFFSET($H$3,0,0,'Données projet'!$E$17+1,1))</f>
        <v>317.79829681023142</v>
      </c>
      <c r="GF171" s="59">
        <f t="shared" si="158"/>
        <v>275.07716943523621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50.319005129850886</v>
      </c>
      <c r="GM171" s="21">
        <f>EXP(-LN(2)/25)*GM170+(1-EXP(-LN(2)/25))/(LN(2)/25)*Calculateur!GH171*Calculateur!GJ171*VLOOKUP('Données projet'!$B$17,Paramètres!$A$1:$I$89,3,0)*0.475*44/12</f>
        <v>7.6573492475297753</v>
      </c>
      <c r="GN171" s="21">
        <f>EXP(-LN(2)/2)*GN170+(1-EXP(-LN(2)/2))/(LN(2)/2)*GH171*GK171*VLOOKUP('Données projet'!$B$17,Paramètres!$A$1:$I$89,3,0)*0.475*44/12</f>
        <v>7.3054453709598009E-9</v>
      </c>
      <c r="GO171" s="21">
        <f t="shared" si="187"/>
        <v>57.976354384686104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69.021984018340518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>
        <f>GU171*VLOOKUP('Données projet'!$B$18,Paramètres!$A$1:$I$89,3,0)*VLOOKUP('Données projet'!$B$18,Paramètres!$A$1:$I$89,5,0)</f>
        <v>0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336.21787234885699</v>
      </c>
      <c r="HA171" s="59">
        <f t="shared" si="160"/>
        <v>315.36156736899113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30.221767149861009</v>
      </c>
      <c r="HH171" s="21">
        <f>EXP(-LN(2)/25)*HH170+(1-EXP(-LN(2)/25))/(LN(2)/25)*Calculateur!HC171*Calculateur!HE171*VLOOKUP('Données projet'!$B$18,Paramètres!$A$1:$I$89,3,0)*0.475*44/12</f>
        <v>3.6619013699541654</v>
      </c>
      <c r="HI171" s="21">
        <f>EXP(-LN(2)/2)*HI170+(1-EXP(-LN(2)/2))/(LN(2)/2)*HC171*HF171*VLOOKUP('Données projet'!$B$18,Paramètres!$A$1:$I$89,3,0)*0.475*44/12</f>
        <v>7.0756485663214777E-14</v>
      </c>
      <c r="HJ171" s="22">
        <f t="shared" si="190"/>
        <v>33.883668519815245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3.7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13.566666666666668</v>
      </c>
      <c r="H172" s="67">
        <f t="shared" si="110"/>
        <v>202.4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69.03895040910615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5.1431925385259092E-13</v>
      </c>
      <c r="P172" s="13">
        <f t="shared" si="141"/>
        <v>6.3855359115685756E-12</v>
      </c>
      <c r="Q172" s="20">
        <f t="shared" si="162"/>
        <v>1.2017247746441865E-11</v>
      </c>
      <c r="R172" s="59">
        <f t="shared" si="109"/>
        <v>289.8094848334012</v>
      </c>
      <c r="S172" s="59">
        <f ca="1">AVERAGE(OFFSET($R$3,0,0,'Données projet'!$E$9+1,1))-AVERAGE(OFFSET($H$3,0,0,'Données projet'!$E$9+1,1))</f>
        <v>411.64357329340851</v>
      </c>
      <c r="T172" s="59">
        <f t="shared" si="142"/>
        <v>294.07942258675632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80.561497271461377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80.561497271461377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69.03895040910615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5.763922672485933E-13</v>
      </c>
      <c r="AK172" s="13">
        <f t="shared" si="164"/>
        <v>7.0619171555808457E-12</v>
      </c>
      <c r="AL172" s="20">
        <f t="shared" si="165"/>
        <v>1.3303388911427938E-11</v>
      </c>
      <c r="AM172" s="59">
        <f t="shared" si="113"/>
        <v>289.80948483340251</v>
      </c>
      <c r="AN172" s="59">
        <f ca="1">AVERAGE(OFFSET($AM$3,0,0,'Données projet'!$E$10+1,1))-AVERAGE(OFFSET($H$3,0,0,'Données projet'!$E$10+1,1))</f>
        <v>453.05577105995508</v>
      </c>
      <c r="AO172" s="59">
        <f t="shared" si="144"/>
        <v>322.6839824496758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90.284436597327399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90.284436597327399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69.03895040910615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5.175213675213679</v>
      </c>
      <c r="BD172" s="12">
        <f>IF('Données projet'!$A$88&gt;35,BD171+BC172-BL171,IF(A172&lt;'Données projet'!$A$88,$BA$205^A172,IF(A172='Données projet'!$A$88,'Données projet'!$B$88,BD171+BC172-BL171)))</f>
        <v>255.39316239316258</v>
      </c>
      <c r="BE172" s="13">
        <f>BD172*VLOOKUP('Données projet'!$B$11,Paramètres!$A$1:$I$89,3,0)*VLOOKUP('Données projet'!$B$11,Paramètres!$A$1:$I$89,5,0)</f>
        <v>254.98453333333353</v>
      </c>
      <c r="BF172" s="13">
        <f t="shared" si="167"/>
        <v>61.652074172073057</v>
      </c>
      <c r="BG172" s="20">
        <f t="shared" si="168"/>
        <v>551.47542473858311</v>
      </c>
      <c r="BH172" s="59">
        <f t="shared" si="116"/>
        <v>841.28490957197232</v>
      </c>
      <c r="BI172" s="59">
        <f ca="1">AVERAGE(OFFSET($BH$3,0,0,'Données projet'!$E$11+1,1))-AVERAGE(OFFSET($H$3,0,0,'Données projet'!$E$11+1,1))</f>
        <v>411.38162678377478</v>
      </c>
      <c r="BJ172" s="59">
        <f t="shared" si="146"/>
        <v>177.89903563360403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56.334084423046257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56.334084423046257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69.03895040910615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212.00000000000009</v>
      </c>
      <c r="BZ172" s="13">
        <f>BY172*VLOOKUP('Données projet'!$B$12,Paramètres!$A$1:$I$89,3,0)*VLOOKUP('Données projet'!$B$12,Paramètres!$A$1:$I$89,5,0)</f>
        <v>221.58240000000012</v>
      </c>
      <c r="CA172" s="13">
        <f t="shared" si="170"/>
        <v>54.458668952651578</v>
      </c>
      <c r="CB172" s="20">
        <f t="shared" si="171"/>
        <v>480.77152842586838</v>
      </c>
      <c r="CC172" s="59">
        <f t="shared" si="119"/>
        <v>770.58101325925759</v>
      </c>
      <c r="CD172" s="59">
        <f ca="1">AVERAGE(OFFSET($CC$3,0,0,'Données projet'!$E$12+1,1))-AVERAGE(OFFSET($H$3,0,0,'Données projet'!$E$12+1,1))</f>
        <v>374.38550202939507</v>
      </c>
      <c r="CE172" s="59">
        <f t="shared" si="148"/>
        <v>324.37486924296718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4.5563779889487011</v>
      </c>
      <c r="CL172" s="21">
        <f>EXP(-LN(2)/25)*CL171+(1-EXP(-LN(2)/25))/(LN(2)/25)*Calculateur!CG172*Calculateur!CI172*VLOOKUP('Données projet'!$B$12,Paramètres!$A$1:$I$89,3,0)*0.475*44/12</f>
        <v>2.4704292311544895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7.0268072201031906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69.03895040910615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-4.5474735088646412E-13</v>
      </c>
      <c r="CU172" s="17">
        <f>CT172*VLOOKUP('Données projet'!$B$13,Paramètres!$A$1:$I$89,3,0)*VLOOKUP('Données projet'!$B$13,Paramètres!$A$1:$I$89,5,0)</f>
        <v>-4.3273757910355926E-13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392.81074187112989</v>
      </c>
      <c r="CZ172" s="59">
        <f t="shared" si="150"/>
        <v>236.19146849073687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127.58830200828497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127.58830200828497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69.03895040910615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-4.5474735088646412E-13</v>
      </c>
      <c r="DP172" s="17">
        <f>DO172*VLOOKUP('Données projet'!$B$14,Paramètres!$A$1:$I$89,3,0)*VLOOKUP('Données projet'!$B$14,Paramètres!$A$1:$I$89,5,0)</f>
        <v>-4.8949004849418999E-13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434.77799524785502</v>
      </c>
      <c r="DU172" s="59">
        <f t="shared" si="152"/>
        <v>259.85949838170006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144.32119407494525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144.32119407494525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69.03895040910615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-4.5474735088646412E-13</v>
      </c>
      <c r="EK172" s="17">
        <f>EJ172*VLOOKUP('Données projet'!$B$15,Paramètres!$A$1:$I$89,3,0)*VLOOKUP('Données projet'!$B$15,Paramètres!$A$1:$I$89,5,0)</f>
        <v>-4.3983163777738812E-13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398.06270423055565</v>
      </c>
      <c r="EP172" s="59">
        <f t="shared" si="154"/>
        <v>239.15364562040614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129.67991351661749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129.67991351661749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69.03895040910615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-1.7053025658242404E-13</v>
      </c>
      <c r="FF172" s="17">
        <f>FE172*VLOOKUP('Données projet'!$B$16,Paramètres!$A$1:$I$89,3,0)*VLOOKUP('Données projet'!$B$16,Paramètres!$A$1:$I$89,5,0)</f>
        <v>-1.0197709343628959E-13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334.13861979962491</v>
      </c>
      <c r="FK172" s="59">
        <f t="shared" si="156"/>
        <v>416.48635183664305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17.373422991699169</v>
      </c>
      <c r="FR172" s="21">
        <f>EXP(-LN(2)/25)*FR171+(1-EXP(-LN(2)/25))/(LN(2)/25)*Calculateur!FM172*Calculateur!FO172*VLOOKUP('Données projet'!$B$16,Paramètres!$A$1:$I$89,3,0)*0.475*44/12</f>
        <v>1.9265148639694012</v>
      </c>
      <c r="FS172" s="21">
        <f>EXP(-LN(2)/2)*FS171+(1-EXP(-LN(2)/2))/(LN(2)/2)*FM172*FP172*VLOOKUP('Données projet'!$B$16,Paramètres!$A$1:$I$89,3,0)*0.475*44/12</f>
        <v>3.965108643755279E-16</v>
      </c>
      <c r="FT172" s="22">
        <f t="shared" si="184"/>
        <v>19.299937855668571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69.03895040910615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3.4106051316484809E-13</v>
      </c>
      <c r="GA172" s="17">
        <f>FZ172*VLOOKUP('Données projet'!$B$17,Paramètres!$A$1:$I$89,3,0)*VLOOKUP('Données projet'!$B$17,Paramètres!$A$1:$I$89,5,0)</f>
        <v>1.5961632016114892E-13</v>
      </c>
      <c r="GB172" s="13">
        <f t="shared" si="185"/>
        <v>2.2708641912150958E-12</v>
      </c>
      <c r="GC172" s="20">
        <f t="shared" si="186"/>
        <v>4.2330868906469593E-12</v>
      </c>
      <c r="GD172" s="59">
        <f t="shared" si="134"/>
        <v>289.80948483339341</v>
      </c>
      <c r="GE172" s="59">
        <f ca="1">AVERAGE(OFFSET($GD$3,0,0,'Données projet'!$E$17+1,1))-AVERAGE(OFFSET($H$3,0,0,'Données projet'!$E$17+1,1))</f>
        <v>317.79829681023142</v>
      </c>
      <c r="GF172" s="59">
        <f t="shared" si="158"/>
        <v>275.07716943523621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49.332280130817097</v>
      </c>
      <c r="GM172" s="21">
        <f>EXP(-LN(2)/25)*GM171+(1-EXP(-LN(2)/25))/(LN(2)/25)*Calculateur!GH172*Calculateur!GJ172*VLOOKUP('Données projet'!$B$17,Paramètres!$A$1:$I$89,3,0)*0.475*44/12</f>
        <v>7.447958629673578</v>
      </c>
      <c r="GN172" s="21">
        <f>EXP(-LN(2)/2)*GN171+(1-EXP(-LN(2)/2))/(LN(2)/2)*GH172*GK172*VLOOKUP('Données projet'!$B$17,Paramètres!$A$1:$I$89,3,0)*0.475*44/12</f>
        <v>5.165729961393549E-9</v>
      </c>
      <c r="GO172" s="21">
        <f t="shared" si="187"/>
        <v>56.780238765656406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69.03895040910615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>
        <f>GU172*VLOOKUP('Données projet'!$B$18,Paramètres!$A$1:$I$89,3,0)*VLOOKUP('Données projet'!$B$18,Paramètres!$A$1:$I$89,5,0)</f>
        <v>0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336.21787234885699</v>
      </c>
      <c r="HA172" s="59">
        <f t="shared" si="160"/>
        <v>315.36156736899113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29.629136729510044</v>
      </c>
      <c r="HH172" s="21">
        <f>EXP(-LN(2)/25)*HH171+(1-EXP(-LN(2)/25))/(LN(2)/25)*Calculateur!HC172*Calculateur!HE172*VLOOKUP('Données projet'!$B$18,Paramètres!$A$1:$I$89,3,0)*0.475*44/12</f>
        <v>3.5617664844217449</v>
      </c>
      <c r="HI172" s="21">
        <f>EXP(-LN(2)/2)*HI171+(1-EXP(-LN(2)/2))/(LN(2)/2)*HC172*HF172*VLOOKUP('Données projet'!$B$18,Paramètres!$A$1:$I$89,3,0)*0.475*44/12</f>
        <v>5.0032390825387899E-14</v>
      </c>
      <c r="HJ172" s="22">
        <f t="shared" si="190"/>
        <v>33.19090321393184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3.7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13.566666666666668</v>
      </c>
      <c r="H173" s="67">
        <f t="shared" si="110"/>
        <v>202.4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69.05562247092314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5.1431925385259092E-13</v>
      </c>
      <c r="P173" s="13">
        <f t="shared" si="141"/>
        <v>6.3855359115685756E-12</v>
      </c>
      <c r="Q173" s="20">
        <f t="shared" si="162"/>
        <v>1.2017247746441865E-11</v>
      </c>
      <c r="R173" s="59">
        <f t="shared" si="109"/>
        <v>289.87061572673019</v>
      </c>
      <c r="S173" s="59">
        <f ca="1">AVERAGE(OFFSET($R$3,0,0,'Données projet'!$E$9+1,1))-AVERAGE(OFFSET($H$3,0,0,'Données projet'!$E$9+1,1))</f>
        <v>411.64357329340851</v>
      </c>
      <c r="T173" s="59">
        <f t="shared" si="142"/>
        <v>294.07942258675632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78.981735447629418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78.981735447629418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69.05562247092314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5.763922672485933E-13</v>
      </c>
      <c r="AK173" s="13">
        <f t="shared" si="164"/>
        <v>7.0619171555808457E-12</v>
      </c>
      <c r="AL173" s="20">
        <f t="shared" si="165"/>
        <v>1.3303388911427938E-11</v>
      </c>
      <c r="AM173" s="59">
        <f t="shared" si="113"/>
        <v>289.8706157267315</v>
      </c>
      <c r="AN173" s="59">
        <f ca="1">AVERAGE(OFFSET($AM$3,0,0,'Données projet'!$E$10+1,1))-AVERAGE(OFFSET($H$3,0,0,'Données projet'!$E$10+1,1))</f>
        <v>453.05577105995508</v>
      </c>
      <c r="AO173" s="59">
        <f t="shared" si="144"/>
        <v>322.6839824496758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88.51401386372261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88.51401386372261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69.05562247092314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5.175213675213679</v>
      </c>
      <c r="BD173" s="12">
        <f>IF('Données projet'!$A$88&gt;35,BD172+BC173-BL172,IF(A173&lt;'Données projet'!$A$88,$BA$205^A173,IF(A173='Données projet'!$A$88,'Données projet'!$B$88,BD172+BC173-BL172)))</f>
        <v>260.56837606837627</v>
      </c>
      <c r="BE173" s="13">
        <f>BD173*VLOOKUP('Données projet'!$B$11,Paramètres!$A$1:$I$89,3,0)*VLOOKUP('Données projet'!$B$11,Paramètres!$A$1:$I$89,5,0)</f>
        <v>260.15146666666686</v>
      </c>
      <c r="BF173" s="13">
        <f t="shared" si="167"/>
        <v>62.754663434143005</v>
      </c>
      <c r="BG173" s="20">
        <f t="shared" si="168"/>
        <v>562.39484325891044</v>
      </c>
      <c r="BH173" s="59">
        <f t="shared" si="116"/>
        <v>852.26545898562858</v>
      </c>
      <c r="BI173" s="59">
        <f ca="1">AVERAGE(OFFSET($BH$3,0,0,'Données projet'!$E$11+1,1))-AVERAGE(OFFSET($H$3,0,0,'Données projet'!$E$11+1,1))</f>
        <v>411.38162678377478</v>
      </c>
      <c r="BJ173" s="59">
        <f t="shared" si="146"/>
        <v>177.89903563360403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55.229407387909006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55.229407387909006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69.05562247092314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212.00000000000009</v>
      </c>
      <c r="BZ173" s="13">
        <f>BY173*VLOOKUP('Données projet'!$B$12,Paramètres!$A$1:$I$89,3,0)*VLOOKUP('Données projet'!$B$12,Paramètres!$A$1:$I$89,5,0)</f>
        <v>221.58240000000012</v>
      </c>
      <c r="CA173" s="13">
        <f t="shared" si="170"/>
        <v>54.458668952651578</v>
      </c>
      <c r="CB173" s="20">
        <f t="shared" si="171"/>
        <v>480.77152842586838</v>
      </c>
      <c r="CC173" s="59">
        <f t="shared" si="119"/>
        <v>770.64214415258652</v>
      </c>
      <c r="CD173" s="59">
        <f ca="1">AVERAGE(OFFSET($CC$3,0,0,'Données projet'!$E$12+1,1))-AVERAGE(OFFSET($H$3,0,0,'Données projet'!$E$12+1,1))</f>
        <v>374.38550202939507</v>
      </c>
      <c r="CE173" s="59">
        <f t="shared" si="148"/>
        <v>324.37486924296718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4.4670301957015752</v>
      </c>
      <c r="CL173" s="21">
        <f>EXP(-LN(2)/25)*CL172+(1-EXP(-LN(2)/25))/(LN(2)/25)*Calculateur!CG173*Calculateur!CI173*VLOOKUP('Données projet'!$B$12,Paramètres!$A$1:$I$89,3,0)*0.475*44/12</f>
        <v>2.402875213914343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6.8699054096159182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69.05562247092314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-4.5474735088646412E-13</v>
      </c>
      <c r="CU173" s="17">
        <f>CT173*VLOOKUP('Données projet'!$B$13,Paramètres!$A$1:$I$89,3,0)*VLOOKUP('Données projet'!$B$13,Paramètres!$A$1:$I$89,5,0)</f>
        <v>-4.3273757910355926E-13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392.81074187112989</v>
      </c>
      <c r="CZ173" s="59">
        <f t="shared" si="150"/>
        <v>236.19146849073687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125.08637322708252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125.08637322708252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69.05562247092314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-4.5474735088646412E-13</v>
      </c>
      <c r="DP173" s="17">
        <f>DO173*VLOOKUP('Données projet'!$B$14,Paramètres!$A$1:$I$89,3,0)*VLOOKUP('Données projet'!$B$14,Paramètres!$A$1:$I$89,5,0)</f>
        <v>-4.8949004849418999E-13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434.77799524785502</v>
      </c>
      <c r="DU173" s="59">
        <f t="shared" si="152"/>
        <v>259.85949838170006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141.49114348637198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141.49114348637198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69.05562247092314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-4.5474735088646412E-13</v>
      </c>
      <c r="EK173" s="17">
        <f>EJ173*VLOOKUP('Données projet'!$B$15,Paramètres!$A$1:$I$89,3,0)*VLOOKUP('Données projet'!$B$15,Paramètres!$A$1:$I$89,5,0)</f>
        <v>-4.3983163777738812E-13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398.06270423055565</v>
      </c>
      <c r="EP173" s="59">
        <f t="shared" si="154"/>
        <v>239.15364562040614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127.1369695094937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127.1369695094937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69.05562247092314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-1.7053025658242404E-13</v>
      </c>
      <c r="FF173" s="17">
        <f>FE173*VLOOKUP('Données projet'!$B$16,Paramètres!$A$1:$I$89,3,0)*VLOOKUP('Données projet'!$B$16,Paramètres!$A$1:$I$89,5,0)</f>
        <v>-1.0197709343628959E-13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334.13861979962491</v>
      </c>
      <c r="FK173" s="59">
        <f t="shared" si="156"/>
        <v>416.48635183664305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17.032740763573631</v>
      </c>
      <c r="FR173" s="21">
        <f>EXP(-LN(2)/25)*FR172+(1-EXP(-LN(2)/25))/(LN(2)/25)*Calculateur!FM173*Calculateur!FO173*VLOOKUP('Données projet'!$B$16,Paramètres!$A$1:$I$89,3,0)*0.475*44/12</f>
        <v>1.8738342137031443</v>
      </c>
      <c r="FS173" s="21">
        <f>EXP(-LN(2)/2)*FS172+(1-EXP(-LN(2)/2))/(LN(2)/2)*FM173*FP173*VLOOKUP('Données projet'!$B$16,Paramètres!$A$1:$I$89,3,0)*0.475*44/12</f>
        <v>2.8037552101407522E-16</v>
      </c>
      <c r="FT173" s="22">
        <f t="shared" si="184"/>
        <v>18.906574977276776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69.05562247092314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3.4106051316484809E-13</v>
      </c>
      <c r="GA173" s="17">
        <f>FZ173*VLOOKUP('Données projet'!$B$17,Paramètres!$A$1:$I$89,3,0)*VLOOKUP('Données projet'!$B$17,Paramètres!$A$1:$I$89,5,0)</f>
        <v>1.5961632016114892E-13</v>
      </c>
      <c r="GB173" s="13">
        <f t="shared" si="185"/>
        <v>2.2708641912150958E-12</v>
      </c>
      <c r="GC173" s="20">
        <f t="shared" si="186"/>
        <v>4.2330868906469593E-12</v>
      </c>
      <c r="GD173" s="59">
        <f t="shared" si="134"/>
        <v>289.87061572672241</v>
      </c>
      <c r="GE173" s="59">
        <f ca="1">AVERAGE(OFFSET($GD$3,0,0,'Données projet'!$E$17+1,1))-AVERAGE(OFFSET($H$3,0,0,'Données projet'!$E$17+1,1))</f>
        <v>317.79829681023142</v>
      </c>
      <c r="GF173" s="59">
        <f t="shared" si="158"/>
        <v>275.07716943523621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48.364904207171541</v>
      </c>
      <c r="GM173" s="21">
        <f>EXP(-LN(2)/25)*GM172+(1-EXP(-LN(2)/25))/(LN(2)/25)*Calculateur!GH173*Calculateur!GJ173*VLOOKUP('Données projet'!$B$17,Paramètres!$A$1:$I$89,3,0)*0.475*44/12</f>
        <v>7.2442938092740325</v>
      </c>
      <c r="GN173" s="21">
        <f>EXP(-LN(2)/2)*GN172+(1-EXP(-LN(2)/2))/(LN(2)/2)*GH173*GK173*VLOOKUP('Données projet'!$B$17,Paramètres!$A$1:$I$89,3,0)*0.475*44/12</f>
        <v>3.6527226854799013E-9</v>
      </c>
      <c r="GO173" s="21">
        <f t="shared" si="187"/>
        <v>55.609198020098297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69.05562247092314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>
        <f>GU173*VLOOKUP('Données projet'!$B$18,Paramètres!$A$1:$I$89,3,0)*VLOOKUP('Données projet'!$B$18,Paramètres!$A$1:$I$89,5,0)</f>
        <v>0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336.21787234885699</v>
      </c>
      <c r="HA173" s="59">
        <f t="shared" si="160"/>
        <v>315.36156736899113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29.048127430233297</v>
      </c>
      <c r="HH173" s="21">
        <f>EXP(-LN(2)/25)*HH172+(1-EXP(-LN(2)/25))/(LN(2)/25)*Calculateur!HC173*Calculateur!HE173*VLOOKUP('Données projet'!$B$18,Paramètres!$A$1:$I$89,3,0)*0.475*44/12</f>
        <v>3.4643697926000736</v>
      </c>
      <c r="HI173" s="21">
        <f>EXP(-LN(2)/2)*HI172+(1-EXP(-LN(2)/2))/(LN(2)/2)*HC173*HF173*VLOOKUP('Données projet'!$B$18,Paramètres!$A$1:$I$89,3,0)*0.475*44/12</f>
        <v>3.5378242831607388E-14</v>
      </c>
      <c r="HJ173" s="22">
        <f t="shared" si="190"/>
        <v>32.512497222833403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3.7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13.566666666666668</v>
      </c>
      <c r="H174" s="67">
        <f t="shared" si="110"/>
        <v>202.4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69.072005309740774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5.1431925385259092E-13</v>
      </c>
      <c r="P174" s="13">
        <f t="shared" si="141"/>
        <v>6.3855359115685756E-12</v>
      </c>
      <c r="Q174" s="20">
        <f t="shared" si="162"/>
        <v>1.2017247746441865E-11</v>
      </c>
      <c r="R174" s="59">
        <f t="shared" si="109"/>
        <v>289.93068613572814</v>
      </c>
      <c r="S174" s="59">
        <f ca="1">AVERAGE(OFFSET($R$3,0,0,'Données projet'!$E$9+1,1))-AVERAGE(OFFSET($H$3,0,0,'Données projet'!$E$9+1,1))</f>
        <v>411.64357329340851</v>
      </c>
      <c r="T174" s="59">
        <f t="shared" si="142"/>
        <v>294.07942258675632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77.432951789603237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77.432951789603237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69.072005309740774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5.763922672485933E-13</v>
      </c>
      <c r="AK174" s="13">
        <f t="shared" si="164"/>
        <v>7.0619171555808457E-12</v>
      </c>
      <c r="AL174" s="20">
        <f t="shared" si="165"/>
        <v>1.3303388911427938E-11</v>
      </c>
      <c r="AM174" s="59">
        <f t="shared" si="113"/>
        <v>289.93068613572945</v>
      </c>
      <c r="AN174" s="59">
        <f ca="1">AVERAGE(OFFSET($AM$3,0,0,'Données projet'!$E$10+1,1))-AVERAGE(OFFSET($H$3,0,0,'Données projet'!$E$10+1,1))</f>
        <v>453.05577105995508</v>
      </c>
      <c r="AO174" s="59">
        <f t="shared" si="144"/>
        <v>322.6839824496758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86.778308040072574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86.778308040072574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69.072005309740774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5.175213675213679</v>
      </c>
      <c r="BD174" s="12">
        <f>IF('Données projet'!$A$88&gt;35,BD173+BC174-BL173,IF(A174&lt;'Données projet'!$A$88,$BA$205^A174,IF(A174='Données projet'!$A$88,'Données projet'!$B$88,BD173+BC174-BL173)))</f>
        <v>265.74358974358995</v>
      </c>
      <c r="BE174" s="13">
        <f>BD174*VLOOKUP('Données projet'!$B$11,Paramètres!$A$1:$I$89,3,0)*VLOOKUP('Données projet'!$B$11,Paramètres!$A$1:$I$89,5,0)</f>
        <v>265.31840000000022</v>
      </c>
      <c r="BF174" s="13">
        <f t="shared" si="167"/>
        <v>63.854706443019154</v>
      </c>
      <c r="BG174" s="20">
        <f t="shared" si="168"/>
        <v>573.30982705492534</v>
      </c>
      <c r="BH174" s="59">
        <f t="shared" si="116"/>
        <v>863.24051319064142</v>
      </c>
      <c r="BI174" s="59">
        <f ca="1">AVERAGE(OFFSET($BH$3,0,0,'Données projet'!$E$11+1,1))-AVERAGE(OFFSET($H$3,0,0,'Données projet'!$E$11+1,1))</f>
        <v>411.38162678377478</v>
      </c>
      <c r="BJ174" s="59">
        <f t="shared" si="146"/>
        <v>177.89903563360403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54.146392395644341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54.146392395644341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69.072005309740774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212.00000000000009</v>
      </c>
      <c r="BZ174" s="13">
        <f>BY174*VLOOKUP('Données projet'!$B$12,Paramètres!$A$1:$I$89,3,0)*VLOOKUP('Données projet'!$B$12,Paramètres!$A$1:$I$89,5,0)</f>
        <v>221.58240000000012</v>
      </c>
      <c r="CA174" s="13">
        <f t="shared" si="170"/>
        <v>54.458668952651578</v>
      </c>
      <c r="CB174" s="20">
        <f t="shared" si="171"/>
        <v>480.77152842586838</v>
      </c>
      <c r="CC174" s="59">
        <f t="shared" si="119"/>
        <v>770.70221456158447</v>
      </c>
      <c r="CD174" s="59">
        <f ca="1">AVERAGE(OFFSET($CC$3,0,0,'Données projet'!$E$12+1,1))-AVERAGE(OFFSET($H$3,0,0,'Données projet'!$E$12+1,1))</f>
        <v>374.38550202939507</v>
      </c>
      <c r="CE174" s="59">
        <f t="shared" si="148"/>
        <v>324.37486924296718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4.3794344581832529</v>
      </c>
      <c r="CL174" s="21">
        <f>EXP(-LN(2)/25)*CL173+(1-EXP(-LN(2)/25))/(LN(2)/25)*Calculateur!CG174*Calculateur!CI174*VLOOKUP('Données projet'!$B$12,Paramètres!$A$1:$I$89,3,0)*0.475*44/12</f>
        <v>2.3371684648281397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6.7166029230113926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69.072005309740774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-4.5474735088646412E-13</v>
      </c>
      <c r="CU174" s="17">
        <f>CT174*VLOOKUP('Données projet'!$B$13,Paramètres!$A$1:$I$89,3,0)*VLOOKUP('Données projet'!$B$13,Paramètres!$A$1:$I$89,5,0)</f>
        <v>-4.3273757910355926E-13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392.81074187112989</v>
      </c>
      <c r="CZ174" s="59">
        <f t="shared" si="150"/>
        <v>236.19146849073687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122.63350574325358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122.63350574325358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69.072005309740774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-4.5474735088646412E-13</v>
      </c>
      <c r="DP174" s="17">
        <f>DO174*VLOOKUP('Données projet'!$B$14,Paramètres!$A$1:$I$89,3,0)*VLOOKUP('Données projet'!$B$14,Paramètres!$A$1:$I$89,5,0)</f>
        <v>-4.8949004849418999E-13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434.77799524785502</v>
      </c>
      <c r="DU174" s="59">
        <f t="shared" si="152"/>
        <v>259.85949838170006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138.71658846368024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138.71658846368024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69.072005309740774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-4.5474735088646412E-13</v>
      </c>
      <c r="EK174" s="17">
        <f>EJ174*VLOOKUP('Données projet'!$B$15,Paramètres!$A$1:$I$89,3,0)*VLOOKUP('Données projet'!$B$15,Paramètres!$A$1:$I$89,5,0)</f>
        <v>-4.3983163777738812E-13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398.06270423055565</v>
      </c>
      <c r="EP174" s="59">
        <f t="shared" si="154"/>
        <v>239.15364562040614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124.6438910833069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124.6438910833069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69.072005309740774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-1.7053025658242404E-13</v>
      </c>
      <c r="FF174" s="17">
        <f>FE174*VLOOKUP('Données projet'!$B$16,Paramètres!$A$1:$I$89,3,0)*VLOOKUP('Données projet'!$B$16,Paramètres!$A$1:$I$89,5,0)</f>
        <v>-1.0197709343628959E-13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334.13861979962491</v>
      </c>
      <c r="FK174" s="59">
        <f t="shared" si="156"/>
        <v>416.48635183664305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16.698739106145997</v>
      </c>
      <c r="FR174" s="21">
        <f>EXP(-LN(2)/25)*FR173+(1-EXP(-LN(2)/25))/(LN(2)/25)*Calculateur!FM174*Calculateur!FO174*VLOOKUP('Données projet'!$B$16,Paramètres!$A$1:$I$89,3,0)*0.475*44/12</f>
        <v>1.8225941185887733</v>
      </c>
      <c r="FS174" s="21">
        <f>EXP(-LN(2)/2)*FS173+(1-EXP(-LN(2)/2))/(LN(2)/2)*FM174*FP174*VLOOKUP('Données projet'!$B$16,Paramètres!$A$1:$I$89,3,0)*0.475*44/12</f>
        <v>1.9825543218776395E-16</v>
      </c>
      <c r="FT174" s="22">
        <f t="shared" si="184"/>
        <v>18.521333224734772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69.072005309740774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3.4106051316484809E-13</v>
      </c>
      <c r="GA174" s="17">
        <f>FZ174*VLOOKUP('Données projet'!$B$17,Paramètres!$A$1:$I$89,3,0)*VLOOKUP('Données projet'!$B$17,Paramètres!$A$1:$I$89,5,0)</f>
        <v>1.5961632016114892E-13</v>
      </c>
      <c r="GB174" s="13">
        <f t="shared" si="185"/>
        <v>2.2708641912150958E-12</v>
      </c>
      <c r="GC174" s="20">
        <f t="shared" si="186"/>
        <v>4.2330868906469593E-12</v>
      </c>
      <c r="GD174" s="59">
        <f t="shared" si="134"/>
        <v>289.93068613572035</v>
      </c>
      <c r="GE174" s="59">
        <f ca="1">AVERAGE(OFFSET($GD$3,0,0,'Données projet'!$E$17+1,1))-AVERAGE(OFFSET($H$3,0,0,'Données projet'!$E$17+1,1))</f>
        <v>317.79829681023142</v>
      </c>
      <c r="GF174" s="59">
        <f t="shared" si="158"/>
        <v>275.07716943523621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47.416497935347621</v>
      </c>
      <c r="GM174" s="21">
        <f>EXP(-LN(2)/25)*GM173+(1-EXP(-LN(2)/25))/(LN(2)/25)*Calculateur!GH174*Calculateur!GJ174*VLOOKUP('Données projet'!$B$17,Paramètres!$A$1:$I$89,3,0)*0.475*44/12</f>
        <v>7.0461982140985802</v>
      </c>
      <c r="GN174" s="21">
        <f>EXP(-LN(2)/2)*GN173+(1-EXP(-LN(2)/2))/(LN(2)/2)*GH174*GK174*VLOOKUP('Données projet'!$B$17,Paramètres!$A$1:$I$89,3,0)*0.475*44/12</f>
        <v>2.5828649806967749E-9</v>
      </c>
      <c r="GO174" s="21">
        <f t="shared" si="187"/>
        <v>54.462696152029068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69.072005309740774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>
        <f>GU174*VLOOKUP('Données projet'!$B$18,Paramètres!$A$1:$I$89,3,0)*VLOOKUP('Données projet'!$B$18,Paramètres!$A$1:$I$89,5,0)</f>
        <v>0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336.21787234885699</v>
      </c>
      <c r="HA174" s="59">
        <f t="shared" si="160"/>
        <v>315.36156736899113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28.478511368934686</v>
      </c>
      <c r="HH174" s="21">
        <f>EXP(-LN(2)/25)*HH173+(1-EXP(-LN(2)/25))/(LN(2)/25)*Calculateur!HC174*Calculateur!HE174*VLOOKUP('Données projet'!$B$18,Paramètres!$A$1:$I$89,3,0)*0.475*44/12</f>
        <v>3.3696364184381351</v>
      </c>
      <c r="HI174" s="21">
        <f>EXP(-LN(2)/2)*HI173+(1-EXP(-LN(2)/2))/(LN(2)/2)*HC174*HF174*VLOOKUP('Données projet'!$B$18,Paramètres!$A$1:$I$89,3,0)*0.475*44/12</f>
        <v>2.5016195412693949E-14</v>
      </c>
      <c r="HJ174" s="22">
        <f t="shared" si="190"/>
        <v>31.848147787372845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3.7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13.566666666666668</v>
      </c>
      <c r="H175" s="67">
        <f t="shared" si="110"/>
        <v>202.4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69.088103942931454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5.1431925385259092E-13</v>
      </c>
      <c r="P175" s="13">
        <f t="shared" si="141"/>
        <v>6.3855359115685756E-12</v>
      </c>
      <c r="Q175" s="20">
        <f t="shared" si="162"/>
        <v>1.2017247746441865E-11</v>
      </c>
      <c r="R175" s="59">
        <f t="shared" si="109"/>
        <v>289.98971445742734</v>
      </c>
      <c r="S175" s="59">
        <f ca="1">AVERAGE(OFFSET($R$3,0,0,'Données projet'!$E$9+1,1))-AVERAGE(OFFSET($H$3,0,0,'Données projet'!$E$9+1,1))</f>
        <v>411.64357329340851</v>
      </c>
      <c r="T175" s="59">
        <f t="shared" si="142"/>
        <v>294.07942258675632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75.914538834446191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75.914538834446191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69.088103942931454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5.763922672485933E-13</v>
      </c>
      <c r="AK175" s="13">
        <f t="shared" si="164"/>
        <v>7.0619171555808457E-12</v>
      </c>
      <c r="AL175" s="20">
        <f t="shared" si="165"/>
        <v>1.3303388911427938E-11</v>
      </c>
      <c r="AM175" s="59">
        <f t="shared" si="113"/>
        <v>289.98971445742865</v>
      </c>
      <c r="AN175" s="59">
        <f ca="1">AVERAGE(OFFSET($AM$3,0,0,'Données projet'!$E$10+1,1))-AVERAGE(OFFSET($H$3,0,0,'Données projet'!$E$10+1,1))</f>
        <v>453.05577105995508</v>
      </c>
      <c r="AO175" s="59">
        <f t="shared" si="144"/>
        <v>322.6839824496758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85.076638348948293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85.076638348948293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69.088103942931454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5.175213675213679</v>
      </c>
      <c r="BD175" s="12">
        <f>IF('Données projet'!$A$88&gt;35,BD174+BC175-BL174,IF(A175&lt;'Données projet'!$A$88,$BA$205^A175,IF(A175='Données projet'!$A$88,'Données projet'!$B$88,BD174+BC175-BL174)))</f>
        <v>270.91880341880363</v>
      </c>
      <c r="BE175" s="13">
        <f>BD175*VLOOKUP('Données projet'!$B$11,Paramètres!$A$1:$I$89,3,0)*VLOOKUP('Données projet'!$B$11,Paramètres!$A$1:$I$89,5,0)</f>
        <v>270.48533333333359</v>
      </c>
      <c r="BF175" s="13">
        <f t="shared" si="167"/>
        <v>64.952258501887897</v>
      </c>
      <c r="BG175" s="20">
        <f t="shared" si="168"/>
        <v>584.22047244634405</v>
      </c>
      <c r="BH175" s="59">
        <f t="shared" si="116"/>
        <v>874.21018690375945</v>
      </c>
      <c r="BI175" s="59">
        <f ca="1">AVERAGE(OFFSET($BH$3,0,0,'Données projet'!$E$11+1,1))-AVERAGE(OFFSET($H$3,0,0,'Données projet'!$E$11+1,1))</f>
        <v>411.38162678377478</v>
      </c>
      <c r="BJ175" s="59">
        <f t="shared" si="146"/>
        <v>177.89903563360403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53.084614666804065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53.084614666804065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69.088103942931454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212.00000000000009</v>
      </c>
      <c r="BZ175" s="13">
        <f>BY175*VLOOKUP('Données projet'!$B$12,Paramètres!$A$1:$I$89,3,0)*VLOOKUP('Données projet'!$B$12,Paramètres!$A$1:$I$89,5,0)</f>
        <v>221.58240000000012</v>
      </c>
      <c r="CA175" s="13">
        <f t="shared" si="170"/>
        <v>54.458668952651578</v>
      </c>
      <c r="CB175" s="20">
        <f t="shared" si="171"/>
        <v>480.77152842586838</v>
      </c>
      <c r="CC175" s="59">
        <f t="shared" si="119"/>
        <v>770.76124288328378</v>
      </c>
      <c r="CD175" s="59">
        <f ca="1">AVERAGE(OFFSET($CC$3,0,0,'Données projet'!$E$12+1,1))-AVERAGE(OFFSET($H$3,0,0,'Données projet'!$E$12+1,1))</f>
        <v>374.38550202939507</v>
      </c>
      <c r="CE175" s="59">
        <f t="shared" si="148"/>
        <v>324.37486924296718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4.2935564196495406</v>
      </c>
      <c r="CL175" s="21">
        <f>EXP(-LN(2)/25)*CL174+(1-EXP(-LN(2)/25))/(LN(2)/25)*Calculateur!CG175*Calculateur!CI175*VLOOKUP('Données projet'!$B$12,Paramètres!$A$1:$I$89,3,0)*0.475*44/12</f>
        <v>2.2732584702510663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6.5668148899006074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69.088103942931454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-4.5474735088646412E-13</v>
      </c>
      <c r="CU175" s="17">
        <f>CT175*VLOOKUP('Données projet'!$B$13,Paramètres!$A$1:$I$89,3,0)*VLOOKUP('Données projet'!$B$13,Paramètres!$A$1:$I$89,5,0)</f>
        <v>-4.3273757910355926E-13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392.81074187112989</v>
      </c>
      <c r="CZ175" s="59">
        <f t="shared" si="150"/>
        <v>236.19146849073687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120.22873749468108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120.22873749468108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69.088103942931454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-4.5474735088646412E-13</v>
      </c>
      <c r="DP175" s="17">
        <f>DO175*VLOOKUP('Données projet'!$B$14,Paramètres!$A$1:$I$89,3,0)*VLOOKUP('Données projet'!$B$14,Paramètres!$A$1:$I$89,5,0)</f>
        <v>-4.8949004849418999E-13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434.77799524785502</v>
      </c>
      <c r="DU175" s="59">
        <f t="shared" si="152"/>
        <v>259.85949838170006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135.996440772672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135.996440772672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69.088103942931454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-4.5474735088646412E-13</v>
      </c>
      <c r="EK175" s="17">
        <f>EJ175*VLOOKUP('Données projet'!$B$15,Paramètres!$A$1:$I$89,3,0)*VLOOKUP('Données projet'!$B$15,Paramètres!$A$1:$I$89,5,0)</f>
        <v>-4.3983163777738812E-13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398.06270423055565</v>
      </c>
      <c r="EP175" s="59">
        <f t="shared" si="154"/>
        <v>239.15364562040614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122.19970040442993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122.19970040442993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69.088103942931454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-1.7053025658242404E-13</v>
      </c>
      <c r="FF175" s="17">
        <f>FE175*VLOOKUP('Données projet'!$B$16,Paramètres!$A$1:$I$89,3,0)*VLOOKUP('Données projet'!$B$16,Paramètres!$A$1:$I$89,5,0)</f>
        <v>-1.0197709343628959E-13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334.13861979962491</v>
      </c>
      <c r="FK175" s="59">
        <f t="shared" si="156"/>
        <v>416.48635183664305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16.371287017499622</v>
      </c>
      <c r="FR175" s="21">
        <f>EXP(-LN(2)/25)*FR174+(1-EXP(-LN(2)/25))/(LN(2)/25)*Calculateur!FM175*Calculateur!FO175*VLOOKUP('Données projet'!$B$16,Paramètres!$A$1:$I$89,3,0)*0.475*44/12</f>
        <v>1.7727551865699043</v>
      </c>
      <c r="FS175" s="21">
        <f>EXP(-LN(2)/2)*FS174+(1-EXP(-LN(2)/2))/(LN(2)/2)*FM175*FP175*VLOOKUP('Données projet'!$B$16,Paramètres!$A$1:$I$89,3,0)*0.475*44/12</f>
        <v>1.4018776050703761E-16</v>
      </c>
      <c r="FT175" s="22">
        <f t="shared" si="184"/>
        <v>18.144042204069525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69.088103942931454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3.4106051316484809E-13</v>
      </c>
      <c r="GA175" s="17">
        <f>FZ175*VLOOKUP('Données projet'!$B$17,Paramètres!$A$1:$I$89,3,0)*VLOOKUP('Données projet'!$B$17,Paramètres!$A$1:$I$89,5,0)</f>
        <v>1.5961632016114892E-13</v>
      </c>
      <c r="GB175" s="13">
        <f t="shared" si="185"/>
        <v>2.2708641912150958E-12</v>
      </c>
      <c r="GC175" s="20">
        <f t="shared" si="186"/>
        <v>4.2330868906469593E-12</v>
      </c>
      <c r="GD175" s="59">
        <f t="shared" si="134"/>
        <v>289.98971445741955</v>
      </c>
      <c r="GE175" s="59">
        <f ca="1">AVERAGE(OFFSET($GD$3,0,0,'Données projet'!$E$17+1,1))-AVERAGE(OFFSET($H$3,0,0,'Données projet'!$E$17+1,1))</f>
        <v>317.79829681023142</v>
      </c>
      <c r="GF175" s="59">
        <f t="shared" si="158"/>
        <v>275.07716943523621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46.486689332043461</v>
      </c>
      <c r="GM175" s="21">
        <f>EXP(-LN(2)/25)*GM174+(1-EXP(-LN(2)/25))/(LN(2)/25)*Calculateur!GH175*Calculateur!GJ175*VLOOKUP('Données projet'!$B$17,Paramètres!$A$1:$I$89,3,0)*0.475*44/12</f>
        <v>6.853519553390595</v>
      </c>
      <c r="GN175" s="21">
        <f>EXP(-LN(2)/2)*GN174+(1-EXP(-LN(2)/2))/(LN(2)/2)*GH175*GK175*VLOOKUP('Données projet'!$B$17,Paramètres!$A$1:$I$89,3,0)*0.475*44/12</f>
        <v>1.8263613427399508E-9</v>
      </c>
      <c r="GO175" s="21">
        <f t="shared" si="187"/>
        <v>53.340208887260424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69.088103942931454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>
        <f>GU175*VLOOKUP('Données projet'!$B$18,Paramètres!$A$1:$I$89,3,0)*VLOOKUP('Données projet'!$B$18,Paramètres!$A$1:$I$89,5,0)</f>
        <v>0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336.21787234885699</v>
      </c>
      <c r="HA175" s="59">
        <f t="shared" si="160"/>
        <v>315.36156736899113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27.920065131166648</v>
      </c>
      <c r="HH175" s="21">
        <f>EXP(-LN(2)/25)*HH174+(1-EXP(-LN(2)/25))/(LN(2)/25)*Calculateur!HC175*Calculateur!HE175*VLOOKUP('Données projet'!$B$18,Paramètres!$A$1:$I$89,3,0)*0.475*44/12</f>
        <v>3.2774935333744666</v>
      </c>
      <c r="HI175" s="21">
        <f>EXP(-LN(2)/2)*HI174+(1-EXP(-LN(2)/2))/(LN(2)/2)*HC175*HF175*VLOOKUP('Données projet'!$B$18,Paramètres!$A$1:$I$89,3,0)*0.475*44/12</f>
        <v>1.7689121415803694E-14</v>
      </c>
      <c r="HJ175" s="22">
        <f t="shared" si="190"/>
        <v>31.197558664541134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3.7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13.566666666666668</v>
      </c>
      <c r="H176" s="67">
        <f t="shared" si="110"/>
        <v>202.4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69.103923300827418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5.1431925385259092E-13</v>
      </c>
      <c r="P176" s="13">
        <f t="shared" si="141"/>
        <v>6.3855359115685756E-12</v>
      </c>
      <c r="Q176" s="20">
        <f t="shared" si="162"/>
        <v>1.2017247746441865E-11</v>
      </c>
      <c r="R176" s="59">
        <f t="shared" si="109"/>
        <v>290.04771876971256</v>
      </c>
      <c r="S176" s="59">
        <f ca="1">AVERAGE(OFFSET($R$3,0,0,'Données projet'!$E$9+1,1))-AVERAGE(OFFSET($H$3,0,0,'Données projet'!$E$9+1,1))</f>
        <v>411.64357329340851</v>
      </c>
      <c r="T176" s="59">
        <f t="shared" si="142"/>
        <v>294.07942258675632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74.425901031199317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74.425901031199317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69.103923300827418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5.763922672485933E-13</v>
      </c>
      <c r="AK176" s="13">
        <f t="shared" si="164"/>
        <v>7.0619171555808457E-12</v>
      </c>
      <c r="AL176" s="20">
        <f t="shared" si="165"/>
        <v>1.3303388911427938E-11</v>
      </c>
      <c r="AM176" s="59">
        <f t="shared" si="113"/>
        <v>290.04771876971387</v>
      </c>
      <c r="AN176" s="59">
        <f ca="1">AVERAGE(OFFSET($AM$3,0,0,'Données projet'!$E$10+1,1))-AVERAGE(OFFSET($H$3,0,0,'Données projet'!$E$10+1,1))</f>
        <v>453.05577105995508</v>
      </c>
      <c r="AO176" s="59">
        <f t="shared" si="144"/>
        <v>322.6839824496758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83.408337362550938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83.408337362550938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69.103923300827418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5.175213675213679</v>
      </c>
      <c r="BD176" s="12">
        <f>IF('Données projet'!$A$88&gt;35,BD175+BC176-BL175,IF(A176&lt;'Données projet'!$A$88,$BA$205^A176,IF(A176='Données projet'!$A$88,'Données projet'!$B$88,BD175+BC176-BL175)))</f>
        <v>276.09401709401732</v>
      </c>
      <c r="BE176" s="13">
        <f>BD176*VLOOKUP('Données projet'!$B$11,Paramètres!$A$1:$I$89,3,0)*VLOOKUP('Données projet'!$B$11,Paramètres!$A$1:$I$89,5,0)</f>
        <v>275.65226666666689</v>
      </c>
      <c r="BF176" s="13">
        <f t="shared" si="167"/>
        <v>66.047372680191202</v>
      </c>
      <c r="BG176" s="20">
        <f t="shared" si="168"/>
        <v>595.12687186244455</v>
      </c>
      <c r="BH176" s="59">
        <f t="shared" si="116"/>
        <v>885.17459063214505</v>
      </c>
      <c r="BI176" s="59">
        <f ca="1">AVERAGE(OFFSET($BH$3,0,0,'Données projet'!$E$11+1,1))-AVERAGE(OFFSET($H$3,0,0,'Données projet'!$E$11+1,1))</f>
        <v>411.38162678377478</v>
      </c>
      <c r="BJ176" s="59">
        <f t="shared" si="146"/>
        <v>177.89903563360403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52.043657751605878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52.043657751605878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69.103923300827418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212.00000000000009</v>
      </c>
      <c r="BZ176" s="13">
        <f>BY176*VLOOKUP('Données projet'!$B$12,Paramètres!$A$1:$I$89,3,0)*VLOOKUP('Données projet'!$B$12,Paramètres!$A$1:$I$89,5,0)</f>
        <v>221.58240000000012</v>
      </c>
      <c r="CA176" s="13">
        <f t="shared" si="170"/>
        <v>54.458668952651578</v>
      </c>
      <c r="CB176" s="20">
        <f t="shared" si="171"/>
        <v>480.77152842586838</v>
      </c>
      <c r="CC176" s="59">
        <f t="shared" si="119"/>
        <v>770.81924719556901</v>
      </c>
      <c r="CD176" s="59">
        <f ca="1">AVERAGE(OFFSET($CC$3,0,0,'Données projet'!$E$12+1,1))-AVERAGE(OFFSET($H$3,0,0,'Données projet'!$E$12+1,1))</f>
        <v>374.38550202939507</v>
      </c>
      <c r="CE176" s="59">
        <f t="shared" si="148"/>
        <v>324.37486924296718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4.2093623970710432</v>
      </c>
      <c r="CL176" s="21">
        <f>EXP(-LN(2)/25)*CL175+(1-EXP(-LN(2)/25))/(LN(2)/25)*Calculateur!CG176*Calculateur!CI176*VLOOKUP('Données projet'!$B$12,Paramètres!$A$1:$I$89,3,0)*0.475*44/12</f>
        <v>2.2110960978365837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6.4204584949076269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69.103923300827418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-4.5474735088646412E-13</v>
      </c>
      <c r="CU176" s="17">
        <f>CT176*VLOOKUP('Données projet'!$B$13,Paramètres!$A$1:$I$89,3,0)*VLOOKUP('Données projet'!$B$13,Paramètres!$A$1:$I$89,5,0)</f>
        <v>-4.3273757910355926E-13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392.81074187112989</v>
      </c>
      <c r="CZ176" s="59">
        <f t="shared" si="150"/>
        <v>236.19146849073687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117.8711252846993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117.8711252846993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69.103923300827418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-4.5474735088646412E-13</v>
      </c>
      <c r="DP176" s="17">
        <f>DO176*VLOOKUP('Données projet'!$B$14,Paramètres!$A$1:$I$89,3,0)*VLOOKUP('Données projet'!$B$14,Paramètres!$A$1:$I$89,5,0)</f>
        <v>-4.8949004849418999E-13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434.77799524785502</v>
      </c>
      <c r="DU176" s="59">
        <f t="shared" si="152"/>
        <v>259.85949838170006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133.32963351875819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133.32963351875819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69.103923300827418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-4.5474735088646412E-13</v>
      </c>
      <c r="EK176" s="17">
        <f>EJ176*VLOOKUP('Données projet'!$B$15,Paramètres!$A$1:$I$89,3,0)*VLOOKUP('Données projet'!$B$15,Paramètres!$A$1:$I$89,5,0)</f>
        <v>-4.3983163777738812E-13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398.06270423055565</v>
      </c>
      <c r="EP176" s="59">
        <f t="shared" si="154"/>
        <v>239.15364562040614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119.80343881395665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119.80343881395665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69.103923300827418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-1.7053025658242404E-13</v>
      </c>
      <c r="FF176" s="17">
        <f>FE176*VLOOKUP('Données projet'!$B$16,Paramètres!$A$1:$I$89,3,0)*VLOOKUP('Données projet'!$B$16,Paramètres!$A$1:$I$89,5,0)</f>
        <v>-1.0197709343628959E-13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334.13861979962491</v>
      </c>
      <c r="FK176" s="59">
        <f t="shared" si="156"/>
        <v>416.48635183664305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16.05025606458555</v>
      </c>
      <c r="FR176" s="21">
        <f>EXP(-LN(2)/25)*FR175+(1-EXP(-LN(2)/25))/(LN(2)/25)*Calculateur!FM176*Calculateur!FO176*VLOOKUP('Données projet'!$B$16,Paramètres!$A$1:$I$89,3,0)*0.475*44/12</f>
        <v>1.7242791027680067</v>
      </c>
      <c r="FS176" s="21">
        <f>EXP(-LN(2)/2)*FS175+(1-EXP(-LN(2)/2))/(LN(2)/2)*FM176*FP176*VLOOKUP('Données projet'!$B$16,Paramètres!$A$1:$I$89,3,0)*0.475*44/12</f>
        <v>9.9127716093881974E-17</v>
      </c>
      <c r="FT176" s="22">
        <f t="shared" si="184"/>
        <v>17.774535167353555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69.103923300827418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3.4106051316484809E-13</v>
      </c>
      <c r="GA176" s="17">
        <f>FZ176*VLOOKUP('Données projet'!$B$17,Paramètres!$A$1:$I$89,3,0)*VLOOKUP('Données projet'!$B$17,Paramètres!$A$1:$I$89,5,0)</f>
        <v>1.5961632016114892E-13</v>
      </c>
      <c r="GB176" s="13">
        <f t="shared" si="185"/>
        <v>2.2708641912150958E-12</v>
      </c>
      <c r="GC176" s="20">
        <f t="shared" si="186"/>
        <v>4.2330868906469593E-12</v>
      </c>
      <c r="GD176" s="59">
        <f t="shared" si="134"/>
        <v>290.04771876970477</v>
      </c>
      <c r="GE176" s="59">
        <f ca="1">AVERAGE(OFFSET($GD$3,0,0,'Données projet'!$E$17+1,1))-AVERAGE(OFFSET($H$3,0,0,'Données projet'!$E$17+1,1))</f>
        <v>317.79829681023142</v>
      </c>
      <c r="GF176" s="59">
        <f t="shared" si="158"/>
        <v>275.07716943523621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45.575113708322846</v>
      </c>
      <c r="GM176" s="21">
        <f>EXP(-LN(2)/25)*GM175+(1-EXP(-LN(2)/25))/(LN(2)/25)*Calculateur!GH176*Calculateur!GJ176*VLOOKUP('Données projet'!$B$17,Paramètres!$A$1:$I$89,3,0)*0.475*44/12</f>
        <v>6.6661097007921999</v>
      </c>
      <c r="GN176" s="21">
        <f>EXP(-LN(2)/2)*GN175+(1-EXP(-LN(2)/2))/(LN(2)/2)*GH176*GK176*VLOOKUP('Données projet'!$B$17,Paramètres!$A$1:$I$89,3,0)*0.475*44/12</f>
        <v>1.2914324903483877E-9</v>
      </c>
      <c r="GO176" s="21">
        <f t="shared" si="187"/>
        <v>52.241223410406477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69.103923300827418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>
        <f>GU176*VLOOKUP('Données projet'!$B$18,Paramètres!$A$1:$I$89,3,0)*VLOOKUP('Données projet'!$B$18,Paramètres!$A$1:$I$89,5,0)</f>
        <v>0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336.21787234885699</v>
      </c>
      <c r="HA176" s="59">
        <f t="shared" si="160"/>
        <v>315.36156736899113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27.372569683502672</v>
      </c>
      <c r="HH176" s="21">
        <f>EXP(-LN(2)/25)*HH175+(1-EXP(-LN(2)/25))/(LN(2)/25)*Calculateur!HC176*Calculateur!HE176*VLOOKUP('Données projet'!$B$18,Paramètres!$A$1:$I$89,3,0)*0.475*44/12</f>
        <v>3.1878703003484476</v>
      </c>
      <c r="HI176" s="21">
        <f>EXP(-LN(2)/2)*HI175+(1-EXP(-LN(2)/2))/(LN(2)/2)*HC176*HF176*VLOOKUP('Données projet'!$B$18,Paramètres!$A$1:$I$89,3,0)*0.475*44/12</f>
        <v>1.2508097706346975E-14</v>
      </c>
      <c r="HJ176" s="22">
        <f t="shared" si="190"/>
        <v>30.560439983851133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3.7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13.566666666666668</v>
      </c>
      <c r="H177" s="67">
        <f t="shared" si="110"/>
        <v>202.4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69.119468228230687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5.1431925385259092E-13</v>
      </c>
      <c r="P177" s="13">
        <f t="shared" si="141"/>
        <v>6.3855359115685756E-12</v>
      </c>
      <c r="Q177" s="20">
        <f t="shared" si="162"/>
        <v>1.2017247746441865E-11</v>
      </c>
      <c r="R177" s="59">
        <f t="shared" si="109"/>
        <v>290.10471683685785</v>
      </c>
      <c r="S177" s="59">
        <f ca="1">AVERAGE(OFFSET($R$3,0,0,'Données projet'!$E$9+1,1))-AVERAGE(OFFSET($H$3,0,0,'Données projet'!$E$9+1,1))</f>
        <v>411.64357329340851</v>
      </c>
      <c r="T177" s="59">
        <f t="shared" si="142"/>
        <v>294.07942258675632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72.966454507294713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72.966454507294713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69.119468228230687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5.763922672485933E-13</v>
      </c>
      <c r="AK177" s="13">
        <f t="shared" si="164"/>
        <v>7.0619171555808457E-12</v>
      </c>
      <c r="AL177" s="20">
        <f t="shared" si="165"/>
        <v>1.3303388911427938E-11</v>
      </c>
      <c r="AM177" s="59">
        <f t="shared" si="113"/>
        <v>290.10471683685915</v>
      </c>
      <c r="AN177" s="59">
        <f ca="1">AVERAGE(OFFSET($AM$3,0,0,'Données projet'!$E$10+1,1))-AVERAGE(OFFSET($H$3,0,0,'Données projet'!$E$10+1,1))</f>
        <v>453.05577105995508</v>
      </c>
      <c r="AO177" s="59">
        <f t="shared" si="144"/>
        <v>322.6839824496758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81.772750740933702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81.772750740933702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69.119468228230687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5.175213675213679</v>
      </c>
      <c r="BD177" s="12">
        <f>IF('Données projet'!$A$88&gt;35,BD176+BC177-BL176,IF(A177&lt;'Données projet'!$A$88,$BA$205^A177,IF(A177='Données projet'!$A$88,'Données projet'!$B$88,BD176+BC177-BL176)))</f>
        <v>281.269230769231</v>
      </c>
      <c r="BE177" s="13">
        <f>BD177*VLOOKUP('Données projet'!$B$11,Paramètres!$A$1:$I$89,3,0)*VLOOKUP('Données projet'!$B$11,Paramètres!$A$1:$I$89,5,0)</f>
        <v>280.81920000000025</v>
      </c>
      <c r="BF177" s="13">
        <f t="shared" si="167"/>
        <v>67.14009994399926</v>
      </c>
      <c r="BG177" s="20">
        <f t="shared" si="168"/>
        <v>606.02911406913233</v>
      </c>
      <c r="BH177" s="59">
        <f t="shared" si="116"/>
        <v>896.13383090597813</v>
      </c>
      <c r="BI177" s="59">
        <f ca="1">AVERAGE(OFFSET($BH$3,0,0,'Données projet'!$E$11+1,1))-AVERAGE(OFFSET($H$3,0,0,'Données projet'!$E$11+1,1))</f>
        <v>411.38162678377478</v>
      </c>
      <c r="BJ177" s="59">
        <f t="shared" si="146"/>
        <v>177.89903563360403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51.023113366593705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51.023113366593705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69.119468228230687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212.00000000000009</v>
      </c>
      <c r="BZ177" s="13">
        <f>BY177*VLOOKUP('Données projet'!$B$12,Paramètres!$A$1:$I$89,3,0)*VLOOKUP('Données projet'!$B$12,Paramètres!$A$1:$I$89,5,0)</f>
        <v>221.58240000000012</v>
      </c>
      <c r="CA177" s="13">
        <f t="shared" si="170"/>
        <v>54.458668952651578</v>
      </c>
      <c r="CB177" s="20">
        <f t="shared" si="171"/>
        <v>480.77152842586838</v>
      </c>
      <c r="CC177" s="59">
        <f t="shared" si="119"/>
        <v>770.87624526271429</v>
      </c>
      <c r="CD177" s="59">
        <f ca="1">AVERAGE(OFFSET($CC$3,0,0,'Données projet'!$E$12+1,1))-AVERAGE(OFFSET($H$3,0,0,'Données projet'!$E$12+1,1))</f>
        <v>374.38550202939507</v>
      </c>
      <c r="CE177" s="59">
        <f t="shared" si="148"/>
        <v>324.37486924296718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4.1268193679220273</v>
      </c>
      <c r="CL177" s="21">
        <f>EXP(-LN(2)/25)*CL176+(1-EXP(-LN(2)/25))/(LN(2)/25)*Calculateur!CG177*Calculateur!CI177*VLOOKUP('Données projet'!$B$12,Paramètres!$A$1:$I$89,3,0)*0.475*44/12</f>
        <v>2.1506335587647518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6.2774529266867791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69.119468228230687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-4.5474735088646412E-13</v>
      </c>
      <c r="CU177" s="17">
        <f>CT177*VLOOKUP('Données projet'!$B$13,Paramètres!$A$1:$I$89,3,0)*VLOOKUP('Données projet'!$B$13,Paramètres!$A$1:$I$89,5,0)</f>
        <v>-4.3273757910355926E-13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392.81074187112989</v>
      </c>
      <c r="CZ177" s="59">
        <f t="shared" si="150"/>
        <v>236.19146849073687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115.5597444121538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115.5597444121538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69.119468228230687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-4.5474735088646412E-13</v>
      </c>
      <c r="DP177" s="17">
        <f>DO177*VLOOKUP('Données projet'!$B$14,Paramètres!$A$1:$I$89,3,0)*VLOOKUP('Données projet'!$B$14,Paramètres!$A$1:$I$89,5,0)</f>
        <v>-4.8949004849418999E-13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434.77799524785502</v>
      </c>
      <c r="DU177" s="59">
        <f t="shared" si="152"/>
        <v>259.85949838170006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130.7151207285018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130.7151207285018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69.119468228230687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-4.5474735088646412E-13</v>
      </c>
      <c r="EK177" s="17">
        <f>EJ177*VLOOKUP('Données projet'!$B$15,Paramètres!$A$1:$I$89,3,0)*VLOOKUP('Données projet'!$B$15,Paramètres!$A$1:$I$89,5,0)</f>
        <v>-4.3983163777738812E-13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398.06270423055565</v>
      </c>
      <c r="EP177" s="59">
        <f t="shared" si="154"/>
        <v>239.15364562040614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117.45416645169729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117.45416645169729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69.119468228230687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-1.7053025658242404E-13</v>
      </c>
      <c r="FF177" s="17">
        <f>FE177*VLOOKUP('Données projet'!$B$16,Paramètres!$A$1:$I$89,3,0)*VLOOKUP('Données projet'!$B$16,Paramètres!$A$1:$I$89,5,0)</f>
        <v>-1.0197709343628959E-13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334.13861979962491</v>
      </c>
      <c r="FK177" s="59">
        <f t="shared" si="156"/>
        <v>416.48635183664305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15.735520332848575</v>
      </c>
      <c r="FR177" s="21">
        <f>EXP(-LN(2)/25)*FR176+(1-EXP(-LN(2)/25))/(LN(2)/25)*Calculateur!FM177*Calculateur!FO177*VLOOKUP('Données projet'!$B$16,Paramètres!$A$1:$I$89,3,0)*0.475*44/12</f>
        <v>1.6771286000269183</v>
      </c>
      <c r="FS177" s="21">
        <f>EXP(-LN(2)/2)*FS176+(1-EXP(-LN(2)/2))/(LN(2)/2)*FM177*FP177*VLOOKUP('Données projet'!$B$16,Paramètres!$A$1:$I$89,3,0)*0.475*44/12</f>
        <v>7.0093880253518805E-17</v>
      </c>
      <c r="FT177" s="22">
        <f t="shared" si="184"/>
        <v>17.412648932875491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69.119468228230687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3.4106051316484809E-13</v>
      </c>
      <c r="GA177" s="17">
        <f>FZ177*VLOOKUP('Données projet'!$B$17,Paramètres!$A$1:$I$89,3,0)*VLOOKUP('Données projet'!$B$17,Paramètres!$A$1:$I$89,5,0)</f>
        <v>1.5961632016114892E-13</v>
      </c>
      <c r="GB177" s="13">
        <f t="shared" si="185"/>
        <v>2.2708641912150958E-12</v>
      </c>
      <c r="GC177" s="20">
        <f t="shared" si="186"/>
        <v>4.2330868906469593E-12</v>
      </c>
      <c r="GD177" s="59">
        <f t="shared" si="134"/>
        <v>290.10471683685006</v>
      </c>
      <c r="GE177" s="59">
        <f ca="1">AVERAGE(OFFSET($GD$3,0,0,'Données projet'!$E$17+1,1))-AVERAGE(OFFSET($H$3,0,0,'Données projet'!$E$17+1,1))</f>
        <v>317.79829681023142</v>
      </c>
      <c r="GF177" s="59">
        <f t="shared" si="158"/>
        <v>275.07716943523621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44.681413526577167</v>
      </c>
      <c r="GM177" s="21">
        <f>EXP(-LN(2)/25)*GM176+(1-EXP(-LN(2)/25))/(LN(2)/25)*Calculateur!GH177*Calculateur!GJ177*VLOOKUP('Données projet'!$B$17,Paramètres!$A$1:$I$89,3,0)*0.475*44/12</f>
        <v>6.4838245804685632</v>
      </c>
      <c r="GN177" s="21">
        <f>EXP(-LN(2)/2)*GN176+(1-EXP(-LN(2)/2))/(LN(2)/2)*GH177*GK177*VLOOKUP('Données projet'!$B$17,Paramètres!$A$1:$I$89,3,0)*0.475*44/12</f>
        <v>9.1318067136997553E-10</v>
      </c>
      <c r="GO177" s="21">
        <f t="shared" si="187"/>
        <v>51.165238107958913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69.119468228230687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>
        <f>GU177*VLOOKUP('Données projet'!$B$18,Paramètres!$A$1:$I$89,3,0)*VLOOKUP('Données projet'!$B$18,Paramètres!$A$1:$I$89,5,0)</f>
        <v>0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336.21787234885699</v>
      </c>
      <c r="HA177" s="59">
        <f t="shared" si="160"/>
        <v>315.36156736899113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26.835810287628135</v>
      </c>
      <c r="HH177" s="21">
        <f>EXP(-LN(2)/25)*HH176+(1-EXP(-LN(2)/25))/(LN(2)/25)*Calculateur!HC177*Calculateur!HE177*VLOOKUP('Données projet'!$B$18,Paramètres!$A$1:$I$89,3,0)*0.475*44/12</f>
        <v>3.100697819342606</v>
      </c>
      <c r="HI177" s="21">
        <f>EXP(-LN(2)/2)*HI176+(1-EXP(-LN(2)/2))/(LN(2)/2)*HC177*HF177*VLOOKUP('Données projet'!$B$18,Paramètres!$A$1:$I$89,3,0)*0.475*44/12</f>
        <v>8.8445607079018471E-15</v>
      </c>
      <c r="HJ177" s="22">
        <f t="shared" si="190"/>
        <v>29.936508106970749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3.7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13.566666666666668</v>
      </c>
      <c r="H178" s="67">
        <f t="shared" si="110"/>
        <v>202.4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69.134743485896749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5.1431925385259092E-13</v>
      </c>
      <c r="P178" s="13">
        <f t="shared" si="141"/>
        <v>6.3855359115685756E-12</v>
      </c>
      <c r="Q178" s="20">
        <f t="shared" si="162"/>
        <v>1.2017247746441865E-11</v>
      </c>
      <c r="R178" s="59">
        <f t="shared" si="109"/>
        <v>290.16072611496674</v>
      </c>
      <c r="S178" s="59">
        <f ca="1">AVERAGE(OFFSET($R$3,0,0,'Données projet'!$E$9+1,1))-AVERAGE(OFFSET($H$3,0,0,'Données projet'!$E$9+1,1))</f>
        <v>411.64357329340851</v>
      </c>
      <c r="T178" s="59">
        <f t="shared" si="142"/>
        <v>294.07942258675632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71.535626839549394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71.535626839549394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69.134743485896749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5.763922672485933E-13</v>
      </c>
      <c r="AK178" s="13">
        <f t="shared" si="164"/>
        <v>7.0619171555808457E-12</v>
      </c>
      <c r="AL178" s="20">
        <f t="shared" si="165"/>
        <v>1.3303388911427938E-11</v>
      </c>
      <c r="AM178" s="59">
        <f t="shared" si="113"/>
        <v>290.16072611496804</v>
      </c>
      <c r="AN178" s="59">
        <f ca="1">AVERAGE(OFFSET($AM$3,0,0,'Données projet'!$E$10+1,1))-AVERAGE(OFFSET($H$3,0,0,'Données projet'!$E$10+1,1))</f>
        <v>453.05577105995508</v>
      </c>
      <c r="AO178" s="59">
        <f t="shared" si="144"/>
        <v>322.6839824496758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80.169236975357052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80.169236975357052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69.134743485896749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5.175213675213679</v>
      </c>
      <c r="BD178" s="12">
        <f>IF('Données projet'!$A$88&gt;35,BD177+BC178-BL177,IF(A178&lt;'Données projet'!$A$88,$BA$205^A178,IF(A178='Données projet'!$A$88,'Données projet'!$B$88,BD177+BC178-BL177)))</f>
        <v>286.44444444444468</v>
      </c>
      <c r="BE178" s="13">
        <f>BD178*VLOOKUP('Données projet'!$B$11,Paramètres!$A$1:$I$89,3,0)*VLOOKUP('Données projet'!$B$11,Paramètres!$A$1:$I$89,5,0)</f>
        <v>285.98613333333356</v>
      </c>
      <c r="BF178" s="13">
        <f t="shared" si="167"/>
        <v>68.230489276516167</v>
      </c>
      <c r="BG178" s="20">
        <f t="shared" si="168"/>
        <v>616.92728437882158</v>
      </c>
      <c r="BH178" s="59">
        <f t="shared" si="116"/>
        <v>907.08801049377632</v>
      </c>
      <c r="BI178" s="59">
        <f ca="1">AVERAGE(OFFSET($BH$3,0,0,'Données projet'!$E$11+1,1))-AVERAGE(OFFSET($H$3,0,0,'Données projet'!$E$11+1,1))</f>
        <v>411.38162678377478</v>
      </c>
      <c r="BJ178" s="59">
        <f t="shared" si="146"/>
        <v>177.89903563360403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50.022581234501011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50.022581234501011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69.134743485896749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212.00000000000009</v>
      </c>
      <c r="BZ178" s="13">
        <f>BY178*VLOOKUP('Données projet'!$B$12,Paramètres!$A$1:$I$89,3,0)*VLOOKUP('Données projet'!$B$12,Paramètres!$A$1:$I$89,5,0)</f>
        <v>221.58240000000012</v>
      </c>
      <c r="CA178" s="13">
        <f t="shared" si="170"/>
        <v>54.458668952651578</v>
      </c>
      <c r="CB178" s="20">
        <f t="shared" si="171"/>
        <v>480.77152842586838</v>
      </c>
      <c r="CC178" s="59">
        <f t="shared" si="119"/>
        <v>770.93225454082312</v>
      </c>
      <c r="CD178" s="59">
        <f ca="1">AVERAGE(OFFSET($CC$3,0,0,'Données projet'!$E$12+1,1))-AVERAGE(OFFSET($H$3,0,0,'Données projet'!$E$12+1,1))</f>
        <v>374.38550202939507</v>
      </c>
      <c r="CE178" s="59">
        <f t="shared" si="148"/>
        <v>324.37486924296718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4.0458949572283469</v>
      </c>
      <c r="CL178" s="21">
        <f>EXP(-LN(2)/25)*CL177+(1-EXP(-LN(2)/25))/(LN(2)/25)*Calculateur!CG178*Calculateur!CI178*VLOOKUP('Données projet'!$B$12,Paramètres!$A$1:$I$89,3,0)*0.475*44/12</f>
        <v>2.0918243710034261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6.137719328231773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69.134743485896749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-4.5474735088646412E-13</v>
      </c>
      <c r="CU178" s="17">
        <f>CT178*VLOOKUP('Données projet'!$B$13,Paramètres!$A$1:$I$89,3,0)*VLOOKUP('Données projet'!$B$13,Paramètres!$A$1:$I$89,5,0)</f>
        <v>-4.3273757910355926E-13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392.81074187112989</v>
      </c>
      <c r="CZ178" s="59">
        <f t="shared" si="150"/>
        <v>236.19146849073687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113.2936883087158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113.2936883087158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69.134743485896749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-4.5474735088646412E-13</v>
      </c>
      <c r="DP178" s="17">
        <f>DO178*VLOOKUP('Données projet'!$B$14,Paramètres!$A$1:$I$89,3,0)*VLOOKUP('Données projet'!$B$14,Paramètres!$A$1:$I$89,5,0)</f>
        <v>-4.8949004849418999E-13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434.77799524785502</v>
      </c>
      <c r="DU178" s="59">
        <f t="shared" si="152"/>
        <v>259.85949838170006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128.15187693936701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128.15187693936701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69.134743485896749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-4.5474735088646412E-13</v>
      </c>
      <c r="EK178" s="17">
        <f>EJ178*VLOOKUP('Données projet'!$B$15,Paramètres!$A$1:$I$89,3,0)*VLOOKUP('Données projet'!$B$15,Paramètres!$A$1:$I$89,5,0)</f>
        <v>-4.3983163777738812E-13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398.06270423055565</v>
      </c>
      <c r="EP178" s="59">
        <f t="shared" si="154"/>
        <v>239.15364562040614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115.15096188754718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115.15096188754718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69.134743485896749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-1.7053025658242404E-13</v>
      </c>
      <c r="FF178" s="17">
        <f>FE178*VLOOKUP('Données projet'!$B$16,Paramètres!$A$1:$I$89,3,0)*VLOOKUP('Données projet'!$B$16,Paramètres!$A$1:$I$89,5,0)</f>
        <v>-1.0197709343628959E-13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334.13861979962491</v>
      </c>
      <c r="FK178" s="59">
        <f t="shared" si="156"/>
        <v>416.48635183664305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15.426956376841121</v>
      </c>
      <c r="FR178" s="21">
        <f>EXP(-LN(2)/25)*FR177+(1-EXP(-LN(2)/25))/(LN(2)/25)*Calculateur!FM178*Calculateur!FO178*VLOOKUP('Données projet'!$B$16,Paramètres!$A$1:$I$89,3,0)*0.475*44/12</f>
        <v>1.6312674302628223</v>
      </c>
      <c r="FS178" s="21">
        <f>EXP(-LN(2)/2)*FS177+(1-EXP(-LN(2)/2))/(LN(2)/2)*FM178*FP178*VLOOKUP('Données projet'!$B$16,Paramètres!$A$1:$I$89,3,0)*0.475*44/12</f>
        <v>4.9563858046940987E-17</v>
      </c>
      <c r="FT178" s="22">
        <f t="shared" si="184"/>
        <v>17.058223807103943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69.134743485896749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3.4106051316484809E-13</v>
      </c>
      <c r="GA178" s="17">
        <f>FZ178*VLOOKUP('Données projet'!$B$17,Paramètres!$A$1:$I$89,3,0)*VLOOKUP('Données projet'!$B$17,Paramètres!$A$1:$I$89,5,0)</f>
        <v>1.5961632016114892E-13</v>
      </c>
      <c r="GB178" s="13">
        <f t="shared" si="185"/>
        <v>2.2708641912150958E-12</v>
      </c>
      <c r="GC178" s="20">
        <f t="shared" si="186"/>
        <v>4.2330868906469593E-12</v>
      </c>
      <c r="GD178" s="59">
        <f t="shared" si="134"/>
        <v>290.16072611495895</v>
      </c>
      <c r="GE178" s="59">
        <f ca="1">AVERAGE(OFFSET($GD$3,0,0,'Données projet'!$E$17+1,1))-AVERAGE(OFFSET($H$3,0,0,'Données projet'!$E$17+1,1))</f>
        <v>317.79829681023142</v>
      </c>
      <c r="GF178" s="59">
        <f t="shared" si="158"/>
        <v>275.07716943523621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43.805238260292235</v>
      </c>
      <c r="GM178" s="21">
        <f>EXP(-LN(2)/25)*GM177+(1-EXP(-LN(2)/25))/(LN(2)/25)*Calculateur!GH178*Calculateur!GJ178*VLOOKUP('Données projet'!$B$17,Paramètres!$A$1:$I$89,3,0)*0.475*44/12</f>
        <v>6.3065240563461344</v>
      </c>
      <c r="GN178" s="21">
        <f>EXP(-LN(2)/2)*GN177+(1-EXP(-LN(2)/2))/(LN(2)/2)*GH178*GK178*VLOOKUP('Données projet'!$B$17,Paramètres!$A$1:$I$89,3,0)*0.475*44/12</f>
        <v>6.4571624517419394E-10</v>
      </c>
      <c r="GO178" s="21">
        <f t="shared" si="187"/>
        <v>50.111762317284082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69.134743485896749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>
        <f>GU178*VLOOKUP('Données projet'!$B$18,Paramètres!$A$1:$I$89,3,0)*VLOOKUP('Données projet'!$B$18,Paramètres!$A$1:$I$89,5,0)</f>
        <v>0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336.21787234885699</v>
      </c>
      <c r="HA178" s="59">
        <f t="shared" si="160"/>
        <v>315.36156736899113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26.309576416115796</v>
      </c>
      <c r="HH178" s="21">
        <f>EXP(-LN(2)/25)*HH177+(1-EXP(-LN(2)/25))/(LN(2)/25)*Calculateur!HC178*Calculateur!HE178*VLOOKUP('Données projet'!$B$18,Paramètres!$A$1:$I$89,3,0)*0.475*44/12</f>
        <v>3.0159090744140711</v>
      </c>
      <c r="HI178" s="21">
        <f>EXP(-LN(2)/2)*HI177+(1-EXP(-LN(2)/2))/(LN(2)/2)*HC178*HF178*VLOOKUP('Données projet'!$B$18,Paramètres!$A$1:$I$89,3,0)*0.475*44/12</f>
        <v>6.2540488531734874E-15</v>
      </c>
      <c r="HJ178" s="22">
        <f t="shared" si="190"/>
        <v>29.325485490529875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3.7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13.566666666666668</v>
      </c>
      <c r="H179" s="67">
        <f t="shared" si="110"/>
        <v>202.4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69.149753751992677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5.1431925385259092E-13</v>
      </c>
      <c r="P179" s="13">
        <f t="shared" si="141"/>
        <v>6.3855359115685756E-12</v>
      </c>
      <c r="Q179" s="20">
        <f t="shared" si="162"/>
        <v>1.2017247746441865E-11</v>
      </c>
      <c r="R179" s="59">
        <f t="shared" si="109"/>
        <v>290.21576375731848</v>
      </c>
      <c r="S179" s="59">
        <f ca="1">AVERAGE(OFFSET($R$3,0,0,'Données projet'!$E$9+1,1))-AVERAGE(OFFSET($H$3,0,0,'Données projet'!$E$9+1,1))</f>
        <v>411.64357329340851</v>
      </c>
      <c r="T179" s="59">
        <f t="shared" si="142"/>
        <v>294.07942258675632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70.132856829649853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70.132856829649853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69.149753751992677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5.763922672485933E-13</v>
      </c>
      <c r="AK179" s="13">
        <f t="shared" si="164"/>
        <v>7.0619171555808457E-12</v>
      </c>
      <c r="AL179" s="20">
        <f t="shared" si="165"/>
        <v>1.3303388911427938E-11</v>
      </c>
      <c r="AM179" s="59">
        <f t="shared" si="113"/>
        <v>290.21576375731979</v>
      </c>
      <c r="AN179" s="59">
        <f ca="1">AVERAGE(OFFSET($AM$3,0,0,'Données projet'!$E$10+1,1))-AVERAGE(OFFSET($H$3,0,0,'Données projet'!$E$10+1,1))</f>
        <v>453.05577105995508</v>
      </c>
      <c r="AO179" s="59">
        <f t="shared" si="144"/>
        <v>322.6839824496758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78.597167136676532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78.597167136676532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69.149753751992677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5.175213675213679</v>
      </c>
      <c r="BD179" s="12">
        <f>IF('Données projet'!$A$88&gt;35,BD178+BC179-BL178,IF(A179&lt;'Données projet'!$A$88,$BA$205^A179,IF(A179='Données projet'!$A$88,'Données projet'!$B$88,BD178+BC179-BL178)))</f>
        <v>291.61965811965837</v>
      </c>
      <c r="BE179" s="13">
        <f>BD179*VLOOKUP('Données projet'!$B$11,Paramètres!$A$1:$I$89,3,0)*VLOOKUP('Données projet'!$B$11,Paramètres!$A$1:$I$89,5,0)</f>
        <v>291.15306666666692</v>
      </c>
      <c r="BF179" s="13">
        <f t="shared" si="167"/>
        <v>69.318587789630712</v>
      </c>
      <c r="BG179" s="20">
        <f t="shared" si="168"/>
        <v>627.82146484471832</v>
      </c>
      <c r="BH179" s="59">
        <f t="shared" si="116"/>
        <v>918.03722860202481</v>
      </c>
      <c r="BI179" s="59">
        <f ca="1">AVERAGE(OFFSET($BH$3,0,0,'Données projet'!$E$11+1,1))-AVERAGE(OFFSET($H$3,0,0,'Données projet'!$E$11+1,1))</f>
        <v>411.38162678377478</v>
      </c>
      <c r="BJ179" s="59">
        <f t="shared" si="146"/>
        <v>177.89903563360403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49.041668927254314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49.041668927254314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69.149753751992677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212.00000000000009</v>
      </c>
      <c r="BZ179" s="13">
        <f>BY179*VLOOKUP('Données projet'!$B$12,Paramètres!$A$1:$I$89,3,0)*VLOOKUP('Données projet'!$B$12,Paramètres!$A$1:$I$89,5,0)</f>
        <v>221.58240000000012</v>
      </c>
      <c r="CA179" s="13">
        <f t="shared" si="170"/>
        <v>54.458668952651578</v>
      </c>
      <c r="CB179" s="20">
        <f t="shared" si="171"/>
        <v>480.77152842586838</v>
      </c>
      <c r="CC179" s="59">
        <f t="shared" si="119"/>
        <v>770.98729218317487</v>
      </c>
      <c r="CD179" s="59">
        <f ca="1">AVERAGE(OFFSET($CC$3,0,0,'Données projet'!$E$12+1,1))-AVERAGE(OFFSET($H$3,0,0,'Données projet'!$E$12+1,1))</f>
        <v>374.38550202939507</v>
      </c>
      <c r="CE179" s="59">
        <f t="shared" si="148"/>
        <v>324.37486924296718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3.9665574248693525</v>
      </c>
      <c r="CL179" s="21">
        <f>EXP(-LN(2)/25)*CL178+(1-EXP(-LN(2)/25))/(LN(2)/25)*Calculateur!CG179*Calculateur!CI179*VLOOKUP('Données projet'!$B$12,Paramètres!$A$1:$I$89,3,0)*0.475*44/12</f>
        <v>2.0346233235740745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6.001180748443427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69.149753751992677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-4.5474735088646412E-13</v>
      </c>
      <c r="CU179" s="17">
        <f>CT179*VLOOKUP('Données projet'!$B$13,Paramètres!$A$1:$I$89,3,0)*VLOOKUP('Données projet'!$B$13,Paramètres!$A$1:$I$89,5,0)</f>
        <v>-4.3273757910355926E-13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392.81074187112989</v>
      </c>
      <c r="CZ179" s="59">
        <f t="shared" si="150"/>
        <v>236.19146849073687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111.07206818330846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111.07206818330846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69.149753751992677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-4.5474735088646412E-13</v>
      </c>
      <c r="DP179" s="17">
        <f>DO179*VLOOKUP('Données projet'!$B$14,Paramètres!$A$1:$I$89,3,0)*VLOOKUP('Données projet'!$B$14,Paramètres!$A$1:$I$89,5,0)</f>
        <v>-4.8949004849418999E-13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434.77799524785502</v>
      </c>
      <c r="DU179" s="59">
        <f t="shared" si="152"/>
        <v>259.85949838170006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125.63889679751281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125.63889679751281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69.149753751992677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-4.5474735088646412E-13</v>
      </c>
      <c r="EK179" s="17">
        <f>EJ179*VLOOKUP('Données projet'!$B$15,Paramètres!$A$1:$I$89,3,0)*VLOOKUP('Données projet'!$B$15,Paramètres!$A$1:$I$89,5,0)</f>
        <v>-4.3983163777738812E-13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398.06270423055565</v>
      </c>
      <c r="EP179" s="59">
        <f t="shared" si="154"/>
        <v>239.15364562040614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112.89292176008399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112.89292176008399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69.149753751992677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-1.7053025658242404E-13</v>
      </c>
      <c r="FF179" s="17">
        <f>FE179*VLOOKUP('Données projet'!$B$16,Paramètres!$A$1:$I$89,3,0)*VLOOKUP('Données projet'!$B$16,Paramètres!$A$1:$I$89,5,0)</f>
        <v>-1.0197709343628959E-13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334.13861979962491</v>
      </c>
      <c r="FK179" s="59">
        <f t="shared" si="156"/>
        <v>416.48635183664305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15.124443171805543</v>
      </c>
      <c r="FR179" s="21">
        <f>EXP(-LN(2)/25)*FR178+(1-EXP(-LN(2)/25))/(LN(2)/25)*Calculateur!FM179*Calculateur!FO179*VLOOKUP('Données projet'!$B$16,Paramètres!$A$1:$I$89,3,0)*0.475*44/12</f>
        <v>1.5866603365976595</v>
      </c>
      <c r="FS179" s="21">
        <f>EXP(-LN(2)/2)*FS178+(1-EXP(-LN(2)/2))/(LN(2)/2)*FM179*FP179*VLOOKUP('Données projet'!$B$16,Paramètres!$A$1:$I$89,3,0)*0.475*44/12</f>
        <v>3.5046940126759403E-17</v>
      </c>
      <c r="FT179" s="22">
        <f t="shared" si="184"/>
        <v>16.711103508403202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69.149753751992677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3.4106051316484809E-13</v>
      </c>
      <c r="GA179" s="17">
        <f>FZ179*VLOOKUP('Données projet'!$B$17,Paramètres!$A$1:$I$89,3,0)*VLOOKUP('Données projet'!$B$17,Paramètres!$A$1:$I$89,5,0)</f>
        <v>1.5961632016114892E-13</v>
      </c>
      <c r="GB179" s="13">
        <f t="shared" si="185"/>
        <v>2.2708641912150958E-12</v>
      </c>
      <c r="GC179" s="20">
        <f t="shared" si="186"/>
        <v>4.2330868906469593E-12</v>
      </c>
      <c r="GD179" s="59">
        <f t="shared" si="134"/>
        <v>290.2157637573107</v>
      </c>
      <c r="GE179" s="59">
        <f ca="1">AVERAGE(OFFSET($GD$3,0,0,'Données projet'!$E$17+1,1))-AVERAGE(OFFSET($H$3,0,0,'Données projet'!$E$17+1,1))</f>
        <v>317.79829681023142</v>
      </c>
      <c r="GF179" s="59">
        <f t="shared" si="158"/>
        <v>275.07716943523621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42.946244256565002</v>
      </c>
      <c r="GM179" s="21">
        <f>EXP(-LN(2)/25)*GM178+(1-EXP(-LN(2)/25))/(LN(2)/25)*Calculateur!GH179*Calculateur!GJ179*VLOOKUP('Données projet'!$B$17,Paramètres!$A$1:$I$89,3,0)*0.475*44/12</f>
        <v>6.1340718243796628</v>
      </c>
      <c r="GN179" s="21">
        <f>EXP(-LN(2)/2)*GN178+(1-EXP(-LN(2)/2))/(LN(2)/2)*GH179*GK179*VLOOKUP('Données projet'!$B$17,Paramètres!$A$1:$I$89,3,0)*0.475*44/12</f>
        <v>4.5659033568498787E-10</v>
      </c>
      <c r="GO179" s="21">
        <f t="shared" si="187"/>
        <v>49.08031608140125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69.149753751992677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>
        <f>GU179*VLOOKUP('Données projet'!$B$18,Paramètres!$A$1:$I$89,3,0)*VLOOKUP('Données projet'!$B$18,Paramètres!$A$1:$I$89,5,0)</f>
        <v>0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336.21787234885699</v>
      </c>
      <c r="HA179" s="59">
        <f t="shared" si="160"/>
        <v>315.36156736899113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25.793661669852845</v>
      </c>
      <c r="HH179" s="21">
        <f>EXP(-LN(2)/25)*HH178+(1-EXP(-LN(2)/25))/(LN(2)/25)*Calculateur!HC179*Calculateur!HE179*VLOOKUP('Données projet'!$B$18,Paramètres!$A$1:$I$89,3,0)*0.475*44/12</f>
        <v>2.9334388821744533</v>
      </c>
      <c r="HI179" s="21">
        <f>EXP(-LN(2)/2)*HI178+(1-EXP(-LN(2)/2))/(LN(2)/2)*HC179*HF179*VLOOKUP('Données projet'!$B$18,Paramètres!$A$1:$I$89,3,0)*0.475*44/12</f>
        <v>4.4222803539509235E-15</v>
      </c>
      <c r="HJ179" s="22">
        <f t="shared" si="190"/>
        <v>28.727100552027302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3.7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13.566666666666668</v>
      </c>
      <c r="H180" s="67">
        <f t="shared" si="110"/>
        <v>202.4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69.164503623529768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5.1431925385259092E-13</v>
      </c>
      <c r="P180" s="13">
        <f t="shared" si="141"/>
        <v>6.3855359115685756E-12</v>
      </c>
      <c r="Q180" s="20">
        <f t="shared" si="162"/>
        <v>1.2017247746441865E-11</v>
      </c>
      <c r="R180" s="59">
        <f t="shared" si="109"/>
        <v>290.26984661962115</v>
      </c>
      <c r="S180" s="59">
        <f ca="1">AVERAGE(OFFSET($R$3,0,0,'Données projet'!$E$9+1,1))-AVERAGE(OFFSET($H$3,0,0,'Données projet'!$E$9+1,1))</f>
        <v>411.64357329340851</v>
      </c>
      <c r="T180" s="59">
        <f t="shared" si="142"/>
        <v>294.07942258675632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68.757594284039229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68.757594284039229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69.164503623529768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5.763922672485933E-13</v>
      </c>
      <c r="AK180" s="13">
        <f t="shared" si="164"/>
        <v>7.0619171555808457E-12</v>
      </c>
      <c r="AL180" s="20">
        <f t="shared" si="165"/>
        <v>1.3303388911427938E-11</v>
      </c>
      <c r="AM180" s="59">
        <f t="shared" si="113"/>
        <v>290.26984661962246</v>
      </c>
      <c r="AN180" s="59">
        <f ca="1">AVERAGE(OFFSET($AM$3,0,0,'Données projet'!$E$10+1,1))-AVERAGE(OFFSET($H$3,0,0,'Données projet'!$E$10+1,1))</f>
        <v>453.05577105995508</v>
      </c>
      <c r="AO180" s="59">
        <f t="shared" si="144"/>
        <v>322.6839824496758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77.055924628664627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77.055924628664627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69.164503623529768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5.175213675213679</v>
      </c>
      <c r="BD180" s="12">
        <f>IF('Données projet'!$A$88&gt;35,BD179+BC180-BL179,IF(A180&lt;'Données projet'!$A$88,$BA$205^A180,IF(A180='Données projet'!$A$88,'Données projet'!$B$88,BD179+BC180-BL179)))</f>
        <v>296.79487179487205</v>
      </c>
      <c r="BE180" s="13">
        <f>BD180*VLOOKUP('Données projet'!$B$11,Paramètres!$A$1:$I$89,3,0)*VLOOKUP('Données projet'!$B$11,Paramètres!$A$1:$I$89,5,0)</f>
        <v>296.32000000000028</v>
      </c>
      <c r="BF180" s="13">
        <f t="shared" si="167"/>
        <v>70.404440827324322</v>
      </c>
      <c r="BG180" s="20">
        <f t="shared" si="168"/>
        <v>638.71173444092369</v>
      </c>
      <c r="BH180" s="59">
        <f t="shared" si="116"/>
        <v>928.98158106053279</v>
      </c>
      <c r="BI180" s="59">
        <f ca="1">AVERAGE(OFFSET($BH$3,0,0,'Données projet'!$E$11+1,1))-AVERAGE(OFFSET($H$3,0,0,'Données projet'!$E$11+1,1))</f>
        <v>411.38162678377478</v>
      </c>
      <c r="BJ180" s="59">
        <f t="shared" si="146"/>
        <v>177.89903563360403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48.079991712055289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48.079991712055289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69.164503623529768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212.00000000000009</v>
      </c>
      <c r="BZ180" s="13">
        <f>BY180*VLOOKUP('Données projet'!$B$12,Paramètres!$A$1:$I$89,3,0)*VLOOKUP('Données projet'!$B$12,Paramètres!$A$1:$I$89,5,0)</f>
        <v>221.58240000000012</v>
      </c>
      <c r="CA180" s="13">
        <f t="shared" si="170"/>
        <v>54.458668952651578</v>
      </c>
      <c r="CB180" s="20">
        <f t="shared" si="171"/>
        <v>480.77152842586838</v>
      </c>
      <c r="CC180" s="59">
        <f t="shared" si="119"/>
        <v>771.04137504547748</v>
      </c>
      <c r="CD180" s="59">
        <f ca="1">AVERAGE(OFFSET($CC$3,0,0,'Données projet'!$E$12+1,1))-AVERAGE(OFFSET($H$3,0,0,'Données projet'!$E$12+1,1))</f>
        <v>374.38550202939507</v>
      </c>
      <c r="CE180" s="59">
        <f t="shared" si="148"/>
        <v>324.37486924296718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3.8887756531288016</v>
      </c>
      <c r="CL180" s="21">
        <f>EXP(-LN(2)/25)*CL179+(1-EXP(-LN(2)/25))/(LN(2)/25)*Calculateur!CG180*Calculateur!CI180*VLOOKUP('Données projet'!$B$12,Paramètres!$A$1:$I$89,3,0)*0.475*44/12</f>
        <v>1.9789864417947511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5.8677620949235525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69.164503623529768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-4.5474735088646412E-13</v>
      </c>
      <c r="CU180" s="17">
        <f>CT180*VLOOKUP('Données projet'!$B$13,Paramètres!$A$1:$I$89,3,0)*VLOOKUP('Données projet'!$B$13,Paramètres!$A$1:$I$89,5,0)</f>
        <v>-4.3273757910355926E-13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392.81074187112989</v>
      </c>
      <c r="CZ180" s="59">
        <f t="shared" si="150"/>
        <v>236.19146849073687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108.89401267350588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108.89401267350588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69.164503623529768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-4.5474735088646412E-13</v>
      </c>
      <c r="DP180" s="17">
        <f>DO180*VLOOKUP('Données projet'!$B$14,Paramètres!$A$1:$I$89,3,0)*VLOOKUP('Données projet'!$B$14,Paramètres!$A$1:$I$89,5,0)</f>
        <v>-4.8949004849418999E-13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434.77799524785502</v>
      </c>
      <c r="DU180" s="59">
        <f t="shared" si="152"/>
        <v>259.85949838170006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123.17519466347383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123.17519466347383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69.164503623529768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-4.5474735088646412E-13</v>
      </c>
      <c r="EK180" s="17">
        <f>EJ180*VLOOKUP('Données projet'!$B$15,Paramètres!$A$1:$I$89,3,0)*VLOOKUP('Données projet'!$B$15,Paramètres!$A$1:$I$89,5,0)</f>
        <v>-4.3983163777738812E-13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398.06270423055565</v>
      </c>
      <c r="EP180" s="59">
        <f t="shared" si="154"/>
        <v>239.15364562040614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110.67916042225187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110.67916042225187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69.164503623529768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-1.7053025658242404E-13</v>
      </c>
      <c r="FF180" s="17">
        <f>FE180*VLOOKUP('Données projet'!$B$16,Paramètres!$A$1:$I$89,3,0)*VLOOKUP('Données projet'!$B$16,Paramètres!$A$1:$I$89,5,0)</f>
        <v>-1.0197709343628959E-13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334.13861979962491</v>
      </c>
      <c r="FK180" s="59">
        <f t="shared" si="156"/>
        <v>416.48635183664305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14.827862066205878</v>
      </c>
      <c r="FR180" s="21">
        <f>EXP(-LN(2)/25)*FR179+(1-EXP(-LN(2)/25))/(LN(2)/25)*Calculateur!FM180*Calculateur!FO180*VLOOKUP('Données projet'!$B$16,Paramètres!$A$1:$I$89,3,0)*0.475*44/12</f>
        <v>1.5432730262545558</v>
      </c>
      <c r="FS180" s="21">
        <f>EXP(-LN(2)/2)*FS179+(1-EXP(-LN(2)/2))/(LN(2)/2)*FM180*FP180*VLOOKUP('Données projet'!$B$16,Paramètres!$A$1:$I$89,3,0)*0.475*44/12</f>
        <v>2.4781929023470494E-17</v>
      </c>
      <c r="FT180" s="22">
        <f t="shared" si="184"/>
        <v>16.371135092460435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69.164503623529768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3.4106051316484809E-13</v>
      </c>
      <c r="GA180" s="17">
        <f>FZ180*VLOOKUP('Données projet'!$B$17,Paramètres!$A$1:$I$89,3,0)*VLOOKUP('Données projet'!$B$17,Paramètres!$A$1:$I$89,5,0)</f>
        <v>1.5961632016114892E-13</v>
      </c>
      <c r="GB180" s="13">
        <f t="shared" si="185"/>
        <v>2.2708641912150958E-12</v>
      </c>
      <c r="GC180" s="20">
        <f t="shared" si="186"/>
        <v>4.2330868906469593E-12</v>
      </c>
      <c r="GD180" s="59">
        <f t="shared" si="134"/>
        <v>290.26984661961336</v>
      </c>
      <c r="GE180" s="59">
        <f ca="1">AVERAGE(OFFSET($GD$3,0,0,'Données projet'!$E$17+1,1))-AVERAGE(OFFSET($H$3,0,0,'Données projet'!$E$17+1,1))</f>
        <v>317.79829681023142</v>
      </c>
      <c r="GF180" s="59">
        <f t="shared" si="158"/>
        <v>275.07716943523621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42.104094601316255</v>
      </c>
      <c r="GM180" s="21">
        <f>EXP(-LN(2)/25)*GM179+(1-EXP(-LN(2)/25))/(LN(2)/25)*Calculateur!GH180*Calculateur!GJ180*VLOOKUP('Données projet'!$B$17,Paramètres!$A$1:$I$89,3,0)*0.475*44/12</f>
        <v>5.9663353077651831</v>
      </c>
      <c r="GN180" s="21">
        <f>EXP(-LN(2)/2)*GN179+(1-EXP(-LN(2)/2))/(LN(2)/2)*GH180*GK180*VLOOKUP('Données projet'!$B$17,Paramètres!$A$1:$I$89,3,0)*0.475*44/12</f>
        <v>3.2285812258709702E-10</v>
      </c>
      <c r="GO180" s="21">
        <f t="shared" si="187"/>
        <v>48.070429909404297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69.164503623529768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>
        <f>GU180*VLOOKUP('Données projet'!$B$18,Paramètres!$A$1:$I$89,3,0)*VLOOKUP('Données projet'!$B$18,Paramètres!$A$1:$I$89,5,0)</f>
        <v>0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336.21787234885699</v>
      </c>
      <c r="HA180" s="59">
        <f t="shared" si="160"/>
        <v>315.36156736899113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25.287863697087186</v>
      </c>
      <c r="HH180" s="21">
        <f>EXP(-LN(2)/25)*HH179+(1-EXP(-LN(2)/25))/(LN(2)/25)*Calculateur!HC180*Calculateur!HE180*VLOOKUP('Données projet'!$B$18,Paramètres!$A$1:$I$89,3,0)*0.475*44/12</f>
        <v>2.8532238416785467</v>
      </c>
      <c r="HI180" s="21">
        <f>EXP(-LN(2)/2)*HI179+(1-EXP(-LN(2)/2))/(LN(2)/2)*HC180*HF180*VLOOKUP('Données projet'!$B$18,Paramètres!$A$1:$I$89,3,0)*0.475*44/12</f>
        <v>3.1270244265867437E-15</v>
      </c>
      <c r="HJ180" s="22">
        <f t="shared" si="190"/>
        <v>28.141087538765735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3.7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13.566666666666668</v>
      </c>
      <c r="H181" s="67">
        <f t="shared" si="110"/>
        <v>202.4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69.178997617771458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5.1431925385259092E-13</v>
      </c>
      <c r="P181" s="13">
        <f t="shared" si="141"/>
        <v>6.3855359115685756E-12</v>
      </c>
      <c r="Q181" s="20">
        <f t="shared" si="162"/>
        <v>1.2017247746441865E-11</v>
      </c>
      <c r="R181" s="59">
        <f t="shared" si="109"/>
        <v>290.32299126517398</v>
      </c>
      <c r="S181" s="59">
        <f ca="1">AVERAGE(OFFSET($R$3,0,0,'Données projet'!$E$9+1,1))-AVERAGE(OFFSET($H$3,0,0,'Données projet'!$E$9+1,1))</f>
        <v>411.64357329340851</v>
      </c>
      <c r="T181" s="59">
        <f t="shared" si="142"/>
        <v>294.07942258675632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67.409299798120699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67.409299798120699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69.178997617771458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5.763922672485933E-13</v>
      </c>
      <c r="AK181" s="13">
        <f t="shared" si="164"/>
        <v>7.0619171555808457E-12</v>
      </c>
      <c r="AL181" s="20">
        <f t="shared" si="165"/>
        <v>1.3303388911427938E-11</v>
      </c>
      <c r="AM181" s="59">
        <f t="shared" si="113"/>
        <v>290.32299126517529</v>
      </c>
      <c r="AN181" s="59">
        <f ca="1">AVERAGE(OFFSET($AM$3,0,0,'Données projet'!$E$10+1,1))-AVERAGE(OFFSET($H$3,0,0,'Données projet'!$E$10+1,1))</f>
        <v>453.05577105995508</v>
      </c>
      <c r="AO181" s="59">
        <f t="shared" si="144"/>
        <v>322.6839824496758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75.544904946169723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75.544904946169723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69.178997617771458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5.175213675213679</v>
      </c>
      <c r="BD181" s="12">
        <f>IF('Données projet'!$A$88&gt;35,BD180+BC181-BL180,IF(A181&lt;'Données projet'!$A$88,$BA$205^A181,IF(A181='Données projet'!$A$88,'Données projet'!$B$88,BD180+BC181-BL180)))</f>
        <v>301.97008547008573</v>
      </c>
      <c r="BE181" s="13">
        <f>BD181*VLOOKUP('Données projet'!$B$11,Paramètres!$A$1:$I$89,3,0)*VLOOKUP('Données projet'!$B$11,Paramètres!$A$1:$I$89,5,0)</f>
        <v>301.48693333333364</v>
      </c>
      <c r="BF181" s="13">
        <f t="shared" si="167"/>
        <v>71.488092061662357</v>
      </c>
      <c r="BG181" s="20">
        <f t="shared" si="168"/>
        <v>649.59816922961807</v>
      </c>
      <c r="BH181" s="59">
        <f t="shared" si="116"/>
        <v>939.92116049478</v>
      </c>
      <c r="BI181" s="59">
        <f ca="1">AVERAGE(OFFSET($BH$3,0,0,'Données projet'!$E$11+1,1))-AVERAGE(OFFSET($H$3,0,0,'Données projet'!$E$11+1,1))</f>
        <v>411.38162678377478</v>
      </c>
      <c r="BJ181" s="59">
        <f t="shared" si="146"/>
        <v>177.89903563360403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47.137172400481134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47.137172400481134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69.178997617771458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212.00000000000009</v>
      </c>
      <c r="BZ181" s="13">
        <f>BY181*VLOOKUP('Données projet'!$B$12,Paramètres!$A$1:$I$89,3,0)*VLOOKUP('Données projet'!$B$12,Paramètres!$A$1:$I$89,5,0)</f>
        <v>221.58240000000012</v>
      </c>
      <c r="CA181" s="13">
        <f t="shared" si="170"/>
        <v>54.458668952651578</v>
      </c>
      <c r="CB181" s="20">
        <f t="shared" si="171"/>
        <v>480.77152842586838</v>
      </c>
      <c r="CC181" s="59">
        <f t="shared" si="119"/>
        <v>771.09451969103043</v>
      </c>
      <c r="CD181" s="59">
        <f ca="1">AVERAGE(OFFSET($CC$3,0,0,'Données projet'!$E$12+1,1))-AVERAGE(OFFSET($H$3,0,0,'Données projet'!$E$12+1,1))</f>
        <v>374.38550202939507</v>
      </c>
      <c r="CE181" s="59">
        <f t="shared" si="148"/>
        <v>324.37486924296718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3.8125191344898868</v>
      </c>
      <c r="CL181" s="21">
        <f>EXP(-LN(2)/25)*CL180+(1-EXP(-LN(2)/25))/(LN(2)/25)*Calculateur!CG181*Calculateur!CI181*VLOOKUP('Données projet'!$B$12,Paramètres!$A$1:$I$89,3,0)*0.475*44/12</f>
        <v>1.9248709534734998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5.7373900879633863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69.178997617771458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-4.5474735088646412E-13</v>
      </c>
      <c r="CU181" s="17">
        <f>CT181*VLOOKUP('Données projet'!$B$13,Paramètres!$A$1:$I$89,3,0)*VLOOKUP('Données projet'!$B$13,Paramètres!$A$1:$I$89,5,0)</f>
        <v>-4.3273757910355926E-13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392.81074187112989</v>
      </c>
      <c r="CZ181" s="59">
        <f t="shared" si="150"/>
        <v>236.19146849073687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106.75866750376785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106.75866750376785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69.178997617771458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-4.5474735088646412E-13</v>
      </c>
      <c r="DP181" s="17">
        <f>DO181*VLOOKUP('Données projet'!$B$14,Paramètres!$A$1:$I$89,3,0)*VLOOKUP('Données projet'!$B$14,Paramètres!$A$1:$I$89,5,0)</f>
        <v>-4.8949004849418999E-13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434.77799524785502</v>
      </c>
      <c r="DU181" s="59">
        <f t="shared" si="152"/>
        <v>259.85949838170006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120.75980422557343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120.75980422557343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69.178997617771458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-4.5474735088646412E-13</v>
      </c>
      <c r="EK181" s="17">
        <f>EJ181*VLOOKUP('Données projet'!$B$15,Paramètres!$A$1:$I$89,3,0)*VLOOKUP('Données projet'!$B$15,Paramètres!$A$1:$I$89,5,0)</f>
        <v>-4.3983163777738812E-13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398.06270423055565</v>
      </c>
      <c r="EP181" s="59">
        <f t="shared" si="154"/>
        <v>239.15364562040614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108.50880959399355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108.50880959399355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69.178997617771458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-1.7053025658242404E-13</v>
      </c>
      <c r="FF181" s="17">
        <f>FE181*VLOOKUP('Données projet'!$B$16,Paramètres!$A$1:$I$89,3,0)*VLOOKUP('Données projet'!$B$16,Paramètres!$A$1:$I$89,5,0)</f>
        <v>-1.0197709343628959E-13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334.13861979962491</v>
      </c>
      <c r="FK181" s="59">
        <f t="shared" si="156"/>
        <v>416.48635183664305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14.53709673519041</v>
      </c>
      <c r="FR181" s="21">
        <f>EXP(-LN(2)/25)*FR180+(1-EXP(-LN(2)/25))/(LN(2)/25)*Calculateur!FM181*Calculateur!FO181*VLOOKUP('Données projet'!$B$16,Paramètres!$A$1:$I$89,3,0)*0.475*44/12</f>
        <v>1.5010721441944237</v>
      </c>
      <c r="FS181" s="21">
        <f>EXP(-LN(2)/2)*FS180+(1-EXP(-LN(2)/2))/(LN(2)/2)*FM181*FP181*VLOOKUP('Données projet'!$B$16,Paramètres!$A$1:$I$89,3,0)*0.475*44/12</f>
        <v>1.7523470063379701E-17</v>
      </c>
      <c r="FT181" s="22">
        <f t="shared" si="184"/>
        <v>16.038168879384834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69.178997617771458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3.4106051316484809E-13</v>
      </c>
      <c r="GA181" s="17">
        <f>FZ181*VLOOKUP('Données projet'!$B$17,Paramètres!$A$1:$I$89,3,0)*VLOOKUP('Données projet'!$B$17,Paramètres!$A$1:$I$89,5,0)</f>
        <v>1.5961632016114892E-13</v>
      </c>
      <c r="GB181" s="13">
        <f t="shared" si="185"/>
        <v>2.2708641912150958E-12</v>
      </c>
      <c r="GC181" s="20">
        <f t="shared" si="186"/>
        <v>4.2330868906469593E-12</v>
      </c>
      <c r="GD181" s="59">
        <f t="shared" si="134"/>
        <v>290.32299126516619</v>
      </c>
      <c r="GE181" s="59">
        <f ca="1">AVERAGE(OFFSET($GD$3,0,0,'Données projet'!$E$17+1,1))-AVERAGE(OFFSET($H$3,0,0,'Données projet'!$E$17+1,1))</f>
        <v>317.79829681023142</v>
      </c>
      <c r="GF181" s="59">
        <f t="shared" si="158"/>
        <v>275.07716943523621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41.278458987146365</v>
      </c>
      <c r="GM181" s="21">
        <f>EXP(-LN(2)/25)*GM180+(1-EXP(-LN(2)/25))/(LN(2)/25)*Calculateur!GH181*Calculateur!GJ181*VLOOKUP('Données projet'!$B$17,Paramètres!$A$1:$I$89,3,0)*0.475*44/12</f>
        <v>5.8031855550184064</v>
      </c>
      <c r="GN181" s="21">
        <f>EXP(-LN(2)/2)*GN180+(1-EXP(-LN(2)/2))/(LN(2)/2)*GH181*GK181*VLOOKUP('Données projet'!$B$17,Paramètres!$A$1:$I$89,3,0)*0.475*44/12</f>
        <v>2.2829516784249396E-10</v>
      </c>
      <c r="GO181" s="21">
        <f t="shared" si="187"/>
        <v>47.081644542393072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69.178997617771458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>
        <f>GU181*VLOOKUP('Données projet'!$B$18,Paramètres!$A$1:$I$89,3,0)*VLOOKUP('Données projet'!$B$18,Paramètres!$A$1:$I$89,5,0)</f>
        <v>0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336.21787234885699</v>
      </c>
      <c r="HA181" s="59">
        <f t="shared" si="160"/>
        <v>315.36156736899113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24.791984114061162</v>
      </c>
      <c r="HH181" s="21">
        <f>EXP(-LN(2)/25)*HH180+(1-EXP(-LN(2)/25))/(LN(2)/25)*Calculateur!HC181*Calculateur!HE181*VLOOKUP('Données projet'!$B$18,Paramètres!$A$1:$I$89,3,0)*0.475*44/12</f>
        <v>2.7752022856833261</v>
      </c>
      <c r="HI181" s="21">
        <f>EXP(-LN(2)/2)*HI180+(1-EXP(-LN(2)/2))/(LN(2)/2)*HC181*HF181*VLOOKUP('Données projet'!$B$18,Paramètres!$A$1:$I$89,3,0)*0.475*44/12</f>
        <v>2.2111401769754618E-15</v>
      </c>
      <c r="HJ181" s="22">
        <f t="shared" si="190"/>
        <v>27.567186399744489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3.7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13.566666666666668</v>
      </c>
      <c r="H182" s="67">
        <f t="shared" si="110"/>
        <v>202.4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69.193240173616772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5.1431925385259092E-13</v>
      </c>
      <c r="P182" s="13">
        <f t="shared" si="141"/>
        <v>6.3855359115685756E-12</v>
      </c>
      <c r="Q182" s="20">
        <f t="shared" si="162"/>
        <v>1.2017247746441865E-11</v>
      </c>
      <c r="R182" s="59">
        <f t="shared" si="109"/>
        <v>290.37521396994015</v>
      </c>
      <c r="S182" s="59">
        <f ca="1">AVERAGE(OFFSET($R$3,0,0,'Données projet'!$E$9+1,1))-AVERAGE(OFFSET($H$3,0,0,'Données projet'!$E$9+1,1))</f>
        <v>411.64357329340851</v>
      </c>
      <c r="T182" s="59">
        <f t="shared" si="142"/>
        <v>294.07942258675632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66.087444544692602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66.087444544692602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69.193240173616772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5.763922672485933E-13</v>
      </c>
      <c r="AK182" s="13">
        <f t="shared" si="164"/>
        <v>7.0619171555808457E-12</v>
      </c>
      <c r="AL182" s="20">
        <f t="shared" si="165"/>
        <v>1.3303388911427938E-11</v>
      </c>
      <c r="AM182" s="59">
        <f t="shared" si="113"/>
        <v>290.37521396994146</v>
      </c>
      <c r="AN182" s="59">
        <f ca="1">AVERAGE(OFFSET($AM$3,0,0,'Données projet'!$E$10+1,1))-AVERAGE(OFFSET($H$3,0,0,'Données projet'!$E$10+1,1))</f>
        <v>453.05577105995508</v>
      </c>
      <c r="AO182" s="59">
        <f t="shared" si="144"/>
        <v>322.6839824496758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74.063515438017546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74.063515438017546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69.193240173616772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5.175213675213679</v>
      </c>
      <c r="BD182" s="12">
        <f>IF('Données projet'!$A$88&gt;35,BD181+BC182-BL181,IF(A182&lt;'Données projet'!$A$88,$BA$205^A182,IF(A182='Données projet'!$A$88,'Données projet'!$B$88,BD181+BC182-BL181)))</f>
        <v>307.14529914529942</v>
      </c>
      <c r="BE182" s="13">
        <f>BD182*VLOOKUP('Données projet'!$B$11,Paramètres!$A$1:$I$89,3,0)*VLOOKUP('Données projet'!$B$11,Paramètres!$A$1:$I$89,5,0)</f>
        <v>306.65386666666694</v>
      </c>
      <c r="BF182" s="13">
        <f t="shared" si="167"/>
        <v>72.569583582018311</v>
      </c>
      <c r="BG182" s="20">
        <f t="shared" si="168"/>
        <v>660.48084251646003</v>
      </c>
      <c r="BH182" s="59">
        <f t="shared" si="116"/>
        <v>950.85605648638818</v>
      </c>
      <c r="BI182" s="59">
        <f ca="1">AVERAGE(OFFSET($BH$3,0,0,'Données projet'!$E$11+1,1))-AVERAGE(OFFSET($H$3,0,0,'Données projet'!$E$11+1,1))</f>
        <v>411.38162678377478</v>
      </c>
      <c r="BJ182" s="59">
        <f t="shared" si="146"/>
        <v>177.89903563360403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46.212841200543956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46.212841200543956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69.193240173616772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212.00000000000009</v>
      </c>
      <c r="BZ182" s="13">
        <f>BY182*VLOOKUP('Données projet'!$B$12,Paramètres!$A$1:$I$89,3,0)*VLOOKUP('Données projet'!$B$12,Paramètres!$A$1:$I$89,5,0)</f>
        <v>221.58240000000012</v>
      </c>
      <c r="CA182" s="13">
        <f t="shared" si="170"/>
        <v>54.458668952651578</v>
      </c>
      <c r="CB182" s="20">
        <f t="shared" si="171"/>
        <v>480.77152842586838</v>
      </c>
      <c r="CC182" s="59">
        <f t="shared" si="119"/>
        <v>771.14674239579654</v>
      </c>
      <c r="CD182" s="59">
        <f ca="1">AVERAGE(OFFSET($CC$3,0,0,'Données projet'!$E$12+1,1))-AVERAGE(OFFSET($H$3,0,0,'Données projet'!$E$12+1,1))</f>
        <v>374.38550202939507</v>
      </c>
      <c r="CE182" s="59">
        <f t="shared" si="148"/>
        <v>324.37486924296718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3.7377579596695973</v>
      </c>
      <c r="CL182" s="21">
        <f>EXP(-LN(2)/25)*CL181+(1-EXP(-LN(2)/25))/(LN(2)/25)*Calculateur!CG182*Calculateur!CI182*VLOOKUP('Données projet'!$B$12,Paramètres!$A$1:$I$89,3,0)*0.475*44/12</f>
        <v>1.8722352560262028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5.6099932156958001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69.193240173616772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-4.5474735088646412E-13</v>
      </c>
      <c r="CU182" s="17">
        <f>CT182*VLOOKUP('Données projet'!$B$13,Paramètres!$A$1:$I$89,3,0)*VLOOKUP('Données projet'!$B$13,Paramètres!$A$1:$I$89,5,0)</f>
        <v>-4.3273757910355926E-13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392.81074187112989</v>
      </c>
      <c r="CZ182" s="59">
        <f t="shared" si="150"/>
        <v>236.19146849073687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104.66519515037643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104.66519515037643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69.193240173616772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-4.5474735088646412E-13</v>
      </c>
      <c r="DP182" s="17">
        <f>DO182*VLOOKUP('Données projet'!$B$14,Paramètres!$A$1:$I$89,3,0)*VLOOKUP('Données projet'!$B$14,Paramètres!$A$1:$I$89,5,0)</f>
        <v>-4.8949004849418999E-13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434.77799524785502</v>
      </c>
      <c r="DU182" s="59">
        <f t="shared" si="152"/>
        <v>259.85949838170006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118.39177812091756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118.39177812091756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69.193240173616772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-4.5474735088646412E-13</v>
      </c>
      <c r="EK182" s="17">
        <f>EJ182*VLOOKUP('Données projet'!$B$15,Paramètres!$A$1:$I$89,3,0)*VLOOKUP('Données projet'!$B$15,Paramètres!$A$1:$I$89,5,0)</f>
        <v>-4.3983163777738812E-13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398.06270423055565</v>
      </c>
      <c r="EP182" s="59">
        <f t="shared" si="154"/>
        <v>239.15364562040614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106.38101802169408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106.38101802169408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69.193240173616772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-1.7053025658242404E-13</v>
      </c>
      <c r="FF182" s="17">
        <f>FE182*VLOOKUP('Données projet'!$B$16,Paramètres!$A$1:$I$89,3,0)*VLOOKUP('Données projet'!$B$16,Paramètres!$A$1:$I$89,5,0)</f>
        <v>-1.0197709343628959E-13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334.13861979962491</v>
      </c>
      <c r="FK182" s="59">
        <f t="shared" si="156"/>
        <v>416.48635183664305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14.252033134966815</v>
      </c>
      <c r="FR182" s="21">
        <f>EXP(-LN(2)/25)*FR181+(1-EXP(-LN(2)/25))/(LN(2)/25)*Calculateur!FM182*Calculateur!FO182*VLOOKUP('Données projet'!$B$16,Paramètres!$A$1:$I$89,3,0)*0.475*44/12</f>
        <v>1.4600252474734738</v>
      </c>
      <c r="FS182" s="21">
        <f>EXP(-LN(2)/2)*FS181+(1-EXP(-LN(2)/2))/(LN(2)/2)*FM182*FP182*VLOOKUP('Données projet'!$B$16,Paramètres!$A$1:$I$89,3,0)*0.475*44/12</f>
        <v>1.2390964511735247E-17</v>
      </c>
      <c r="FT182" s="22">
        <f t="shared" si="184"/>
        <v>15.71205838244029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69.193240173616772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3.4106051316484809E-13</v>
      </c>
      <c r="GA182" s="17">
        <f>FZ182*VLOOKUP('Données projet'!$B$17,Paramètres!$A$1:$I$89,3,0)*VLOOKUP('Données projet'!$B$17,Paramètres!$A$1:$I$89,5,0)</f>
        <v>1.5961632016114892E-13</v>
      </c>
      <c r="GB182" s="13">
        <f t="shared" si="185"/>
        <v>2.2708641912150958E-12</v>
      </c>
      <c r="GC182" s="20">
        <f t="shared" si="186"/>
        <v>4.2330868906469593E-12</v>
      </c>
      <c r="GD182" s="59">
        <f t="shared" si="134"/>
        <v>290.37521396993236</v>
      </c>
      <c r="GE182" s="59">
        <f ca="1">AVERAGE(OFFSET($GD$3,0,0,'Données projet'!$E$17+1,1))-AVERAGE(OFFSET($H$3,0,0,'Données projet'!$E$17+1,1))</f>
        <v>317.79829681023142</v>
      </c>
      <c r="GF182" s="59">
        <f t="shared" si="158"/>
        <v>275.07716943523621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40.469013583782349</v>
      </c>
      <c r="GM182" s="21">
        <f>EXP(-LN(2)/25)*GM181+(1-EXP(-LN(2)/25))/(LN(2)/25)*Calculateur!GH182*Calculateur!GJ182*VLOOKUP('Données projet'!$B$17,Paramètres!$A$1:$I$89,3,0)*0.475*44/12</f>
        <v>5.644497140840163</v>
      </c>
      <c r="GN182" s="21">
        <f>EXP(-LN(2)/2)*GN181+(1-EXP(-LN(2)/2))/(LN(2)/2)*GH182*GK182*VLOOKUP('Données projet'!$B$17,Paramètres!$A$1:$I$89,3,0)*0.475*44/12</f>
        <v>1.6142906129354854E-10</v>
      </c>
      <c r="GO182" s="21">
        <f t="shared" si="187"/>
        <v>46.113510724783943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69.193240173616772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>
        <f>GU182*VLOOKUP('Données projet'!$B$18,Paramètres!$A$1:$I$89,3,0)*VLOOKUP('Données projet'!$B$18,Paramètres!$A$1:$I$89,5,0)</f>
        <v>0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336.21787234885699</v>
      </c>
      <c r="HA182" s="59">
        <f t="shared" si="160"/>
        <v>315.36156736899113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24.305828427201597</v>
      </c>
      <c r="HH182" s="21">
        <f>EXP(-LN(2)/25)*HH181+(1-EXP(-LN(2)/25))/(LN(2)/25)*Calculateur!HC182*Calculateur!HE182*VLOOKUP('Données projet'!$B$18,Paramètres!$A$1:$I$89,3,0)*0.475*44/12</f>
        <v>2.6993142332397699</v>
      </c>
      <c r="HI182" s="21">
        <f>EXP(-LN(2)/2)*HI181+(1-EXP(-LN(2)/2))/(LN(2)/2)*HC182*HF182*VLOOKUP('Données projet'!$B$18,Paramètres!$A$1:$I$89,3,0)*0.475*44/12</f>
        <v>1.5635122132933718E-15</v>
      </c>
      <c r="HJ182" s="22">
        <f t="shared" si="190"/>
        <v>27.005142660441365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3.7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13.566666666666668</v>
      </c>
      <c r="H183" s="67">
        <f t="shared" si="110"/>
        <v>202.4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69.207235652959753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5.1431925385259092E-13</v>
      </c>
      <c r="P183" s="13">
        <f t="shared" si="141"/>
        <v>6.3855359115685756E-12</v>
      </c>
      <c r="Q183" s="20">
        <f t="shared" si="162"/>
        <v>1.2017247746441865E-11</v>
      </c>
      <c r="R183" s="59">
        <f t="shared" si="109"/>
        <v>290.42653072753109</v>
      </c>
      <c r="S183" s="59">
        <f ca="1">AVERAGE(OFFSET($R$3,0,0,'Données projet'!$E$9+1,1))-AVERAGE(OFFSET($H$3,0,0,'Données projet'!$E$9+1,1))</f>
        <v>411.64357329340851</v>
      </c>
      <c r="T183" s="59">
        <f t="shared" si="142"/>
        <v>294.07942258675632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64.79151006653214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64.79151006653214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69.207235652959753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5.763922672485933E-13</v>
      </c>
      <c r="AK183" s="13">
        <f t="shared" si="164"/>
        <v>7.0619171555808457E-12</v>
      </c>
      <c r="AL183" s="20">
        <f t="shared" si="165"/>
        <v>1.3303388911427938E-11</v>
      </c>
      <c r="AM183" s="59">
        <f t="shared" si="113"/>
        <v>290.42653072753239</v>
      </c>
      <c r="AN183" s="59">
        <f ca="1">AVERAGE(OFFSET($AM$3,0,0,'Données projet'!$E$10+1,1))-AVERAGE(OFFSET($H$3,0,0,'Données projet'!$E$10+1,1))</f>
        <v>453.05577105995508</v>
      </c>
      <c r="AO183" s="59">
        <f t="shared" si="144"/>
        <v>322.6839824496758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72.611175074561856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72.611175074561856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69.207235652959753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312.32051282051282</v>
      </c>
      <c r="BB183" s="12">
        <f>VLOOKUP(A183,'Données projet'!$A$87:$I$107,9,0)</f>
        <v>5.175213675213679</v>
      </c>
      <c r="BC183" s="12">
        <f t="array" ref="BC183">INDEX(BB:BB,MIN(IF(ISNUMBER(BB183:BB379),ROW(BB183:BB379),"")))</f>
        <v>5.175213675213679</v>
      </c>
      <c r="BD183" s="12">
        <f>IF('Données projet'!$A$88&gt;35,BD182+BC183-BL182,IF(A183&lt;'Données projet'!$A$88,$BA$205^A183,IF(A183='Données projet'!$A$88,'Données projet'!$B$88,BD182+BC183-BL182)))</f>
        <v>312.3205128205131</v>
      </c>
      <c r="BE183" s="13">
        <f>BD183*VLOOKUP('Données projet'!$B$11,Paramètres!$A$1:$I$89,3,0)*VLOOKUP('Données projet'!$B$11,Paramètres!$A$1:$I$89,5,0)</f>
        <v>311.8208000000003</v>
      </c>
      <c r="BF183" s="13">
        <f t="shared" si="167"/>
        <v>73.648955978114714</v>
      </c>
      <c r="BG183" s="20">
        <f t="shared" si="168"/>
        <v>671.35982499521697</v>
      </c>
      <c r="BH183" s="59">
        <f t="shared" si="116"/>
        <v>961.78635572273606</v>
      </c>
      <c r="BI183" s="59">
        <f ca="1">AVERAGE(OFFSET($BH$3,0,0,'Données projet'!$E$11+1,1))-AVERAGE(OFFSET($H$3,0,0,'Données projet'!$E$11+1,1))</f>
        <v>411.38162678377478</v>
      </c>
      <c r="BJ183" s="59">
        <f t="shared" si="146"/>
        <v>177.89903563360403</v>
      </c>
      <c r="BK183" s="15">
        <f>IF(ISNA(VLOOKUP(A183,'Données projet'!$A$87:$I$107,3,0)),0,VLOOKUP(A183,'Données projet'!$A$87:$I$107,3,0))</f>
        <v>13</v>
      </c>
      <c r="BL183" s="15">
        <f>IF(ISNA(VLOOKUP(A183,'Données projet'!$A$87:$I$107,4,0)),0,VLOOKUP(A183,'Données projet'!$A$87:$I$107,4,0))</f>
        <v>120.15384615384615</v>
      </c>
      <c r="BM183" s="16">
        <f>IF(ISNA(VLOOKUP(A183,'Données projet'!$A$87:$I$107,5,0)),0%,VLOOKUP(A183,'Données projet'!$A$87:$I$107,5,0)*VLOOKUP('Données projet'!$B$11,Paramètres!$A$1:$I$89,7,0))</f>
        <v>0.38700000000000001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96.628251822945217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96.628251822945217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69.207235652959753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212.00000000000009</v>
      </c>
      <c r="BZ183" s="13">
        <f>BY183*VLOOKUP('Données projet'!$B$12,Paramètres!$A$1:$I$89,3,0)*VLOOKUP('Données projet'!$B$12,Paramètres!$A$1:$I$89,5,0)</f>
        <v>221.58240000000012</v>
      </c>
      <c r="CA183" s="13">
        <f t="shared" si="170"/>
        <v>54.458668952651578</v>
      </c>
      <c r="CB183" s="20">
        <f t="shared" si="171"/>
        <v>480.77152842586838</v>
      </c>
      <c r="CC183" s="59">
        <f t="shared" si="119"/>
        <v>771.19805915338748</v>
      </c>
      <c r="CD183" s="59">
        <f ca="1">AVERAGE(OFFSET($CC$3,0,0,'Données projet'!$E$12+1,1))-AVERAGE(OFFSET($H$3,0,0,'Données projet'!$E$12+1,1))</f>
        <v>374.38550202939507</v>
      </c>
      <c r="CE183" s="59">
        <f t="shared" si="148"/>
        <v>324.37486924296718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3.6644628058877196</v>
      </c>
      <c r="CL183" s="21">
        <f>EXP(-LN(2)/25)*CL182+(1-EXP(-LN(2)/25))/(LN(2)/25)*Calculateur!CG183*Calculateur!CI183*VLOOKUP('Données projet'!$B$12,Paramètres!$A$1:$I$89,3,0)*0.475*44/12</f>
        <v>1.8210388844935932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5.4855016903813123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69.207235652959753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-4.5474735088646412E-13</v>
      </c>
      <c r="CU183" s="17">
        <f>CT183*VLOOKUP('Données projet'!$B$13,Paramètres!$A$1:$I$89,3,0)*VLOOKUP('Données projet'!$B$13,Paramètres!$A$1:$I$89,5,0)</f>
        <v>-4.3273757910355926E-13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392.81074187112989</v>
      </c>
      <c r="CZ183" s="59">
        <f t="shared" si="150"/>
        <v>236.19146849073687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102.61277451294298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102.61277451294298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69.207235652959753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-4.5474735088646412E-13</v>
      </c>
      <c r="DP183" s="17">
        <f>DO183*VLOOKUP('Données projet'!$B$14,Paramètres!$A$1:$I$89,3,0)*VLOOKUP('Données projet'!$B$14,Paramètres!$A$1:$I$89,5,0)</f>
        <v>-4.8949004849418999E-13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434.77799524785502</v>
      </c>
      <c r="DU183" s="59">
        <f t="shared" si="152"/>
        <v>259.85949838170006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116.0701875638207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116.0701875638207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69.207235652959753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-4.5474735088646412E-13</v>
      </c>
      <c r="EK183" s="17">
        <f>EJ183*VLOOKUP('Données projet'!$B$15,Paramètres!$A$1:$I$89,3,0)*VLOOKUP('Données projet'!$B$15,Paramètres!$A$1:$I$89,5,0)</f>
        <v>-4.3983163777738812E-13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398.06270423055565</v>
      </c>
      <c r="EP183" s="59">
        <f t="shared" si="154"/>
        <v>239.15364562040614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104.29495114430269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104.29495114430269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69.207235652959753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-1.7053025658242404E-13</v>
      </c>
      <c r="FF183" s="17">
        <f>FE183*VLOOKUP('Données projet'!$B$16,Paramètres!$A$1:$I$89,3,0)*VLOOKUP('Données projet'!$B$16,Paramètres!$A$1:$I$89,5,0)</f>
        <v>-1.0197709343628959E-13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334.13861979962491</v>
      </c>
      <c r="FK183" s="59">
        <f t="shared" si="156"/>
        <v>416.48635183664305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13.972559458071977</v>
      </c>
      <c r="FR183" s="21">
        <f>EXP(-LN(2)/25)*FR182+(1-EXP(-LN(2)/25))/(LN(2)/25)*Calculateur!FM183*Calculateur!FO183*VLOOKUP('Données projet'!$B$16,Paramètres!$A$1:$I$89,3,0)*0.475*44/12</f>
        <v>1.4201007803019208</v>
      </c>
      <c r="FS183" s="21">
        <f>EXP(-LN(2)/2)*FS182+(1-EXP(-LN(2)/2))/(LN(2)/2)*FM183*FP183*VLOOKUP('Données projet'!$B$16,Paramètres!$A$1:$I$89,3,0)*0.475*44/12</f>
        <v>8.7617350316898507E-18</v>
      </c>
      <c r="FT183" s="22">
        <f t="shared" si="184"/>
        <v>15.392660238373898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69.207235652959753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3.4106051316484809E-13</v>
      </c>
      <c r="GA183" s="17">
        <f>FZ183*VLOOKUP('Données projet'!$B$17,Paramètres!$A$1:$I$89,3,0)*VLOOKUP('Données projet'!$B$17,Paramètres!$A$1:$I$89,5,0)</f>
        <v>1.5961632016114892E-13</v>
      </c>
      <c r="GB183" s="13">
        <f t="shared" si="185"/>
        <v>2.2708641912150958E-12</v>
      </c>
      <c r="GC183" s="20">
        <f t="shared" si="186"/>
        <v>4.2330868906469593E-12</v>
      </c>
      <c r="GD183" s="59">
        <f t="shared" si="134"/>
        <v>290.4265307275233</v>
      </c>
      <c r="GE183" s="59">
        <f ca="1">AVERAGE(OFFSET($GD$3,0,0,'Données projet'!$E$17+1,1))-AVERAGE(OFFSET($H$3,0,0,'Données projet'!$E$17+1,1))</f>
        <v>317.79829681023142</v>
      </c>
      <c r="GF183" s="59">
        <f t="shared" si="158"/>
        <v>275.07716943523621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39.675440911065351</v>
      </c>
      <c r="GM183" s="21">
        <f>EXP(-LN(2)/25)*GM182+(1-EXP(-LN(2)/25))/(LN(2)/25)*Calculateur!GH183*Calculateur!GJ183*VLOOKUP('Données projet'!$B$17,Paramètres!$A$1:$I$89,3,0)*0.475*44/12</f>
        <v>5.490148069692685</v>
      </c>
      <c r="GN183" s="21">
        <f>EXP(-LN(2)/2)*GN182+(1-EXP(-LN(2)/2))/(LN(2)/2)*GH183*GK183*VLOOKUP('Données projet'!$B$17,Paramètres!$A$1:$I$89,3,0)*0.475*44/12</f>
        <v>1.1414758392124701E-10</v>
      </c>
      <c r="GO183" s="21">
        <f t="shared" si="187"/>
        <v>45.165588980872187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69.207235652959753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>
        <f>GU183*VLOOKUP('Données projet'!$B$18,Paramètres!$A$1:$I$89,3,0)*VLOOKUP('Données projet'!$B$18,Paramètres!$A$1:$I$89,5,0)</f>
        <v>0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336.21787234885699</v>
      </c>
      <c r="HA183" s="59">
        <f t="shared" si="160"/>
        <v>315.36156736899113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23.829205956835658</v>
      </c>
      <c r="HH183" s="21">
        <f>EXP(-LN(2)/25)*HH182+(1-EXP(-LN(2)/25))/(LN(2)/25)*Calculateur!HC183*Calculateur!HE183*VLOOKUP('Données projet'!$B$18,Paramètres!$A$1:$I$89,3,0)*0.475*44/12</f>
        <v>2.6255013435810621</v>
      </c>
      <c r="HI183" s="21">
        <f>EXP(-LN(2)/2)*HI182+(1-EXP(-LN(2)/2))/(LN(2)/2)*HC183*HF183*VLOOKUP('Données projet'!$B$18,Paramètres!$A$1:$I$89,3,0)*0.475*44/12</f>
        <v>1.1055700884877309E-15</v>
      </c>
      <c r="HJ183" s="22">
        <f t="shared" si="190"/>
        <v>26.454707300416722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3.7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13.566666666666668</v>
      </c>
      <c r="H184" s="67">
        <f t="shared" si="110"/>
        <v>202.4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69.220988342025336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5.1431925385259092E-13</v>
      </c>
      <c r="P184" s="13">
        <f t="shared" si="141"/>
        <v>6.3855359115685756E-12</v>
      </c>
      <c r="Q184" s="20">
        <f t="shared" si="162"/>
        <v>1.2017247746441865E-11</v>
      </c>
      <c r="R184" s="59">
        <f t="shared" si="109"/>
        <v>290.47695725410489</v>
      </c>
      <c r="S184" s="59">
        <f ca="1">AVERAGE(OFFSET($R$3,0,0,'Données projet'!$E$9+1,1))-AVERAGE(OFFSET($H$3,0,0,'Données projet'!$E$9+1,1))</f>
        <v>411.64357329340851</v>
      </c>
      <c r="T184" s="59">
        <f t="shared" si="142"/>
        <v>294.07942258675632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63.520988073046418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63.520988073046418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69.220988342025336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5.763922672485933E-13</v>
      </c>
      <c r="AK184" s="13">
        <f t="shared" si="164"/>
        <v>7.0619171555808457E-12</v>
      </c>
      <c r="AL184" s="20">
        <f t="shared" si="165"/>
        <v>1.3303388911427938E-11</v>
      </c>
      <c r="AM184" s="59">
        <f t="shared" si="113"/>
        <v>290.4769572541062</v>
      </c>
      <c r="AN184" s="59">
        <f ca="1">AVERAGE(OFFSET($AM$3,0,0,'Données projet'!$E$10+1,1))-AVERAGE(OFFSET($H$3,0,0,'Données projet'!$E$10+1,1))</f>
        <v>453.05577105995508</v>
      </c>
      <c r="AO184" s="59">
        <f t="shared" si="144"/>
        <v>322.6839824496758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71.187314219793379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71.187314219793379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69.220988342025336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3.2339743589743506</v>
      </c>
      <c r="BD184" s="12">
        <f>IF('Données projet'!$A$88&gt;35,BD183+BC184-BL183,IF(A184&lt;'Données projet'!$A$88,$BA$205^A184,IF(A184='Données projet'!$A$88,'Données projet'!$B$88,BD183+BC184-BL183)))</f>
        <v>195.40064102564133</v>
      </c>
      <c r="BE184" s="13">
        <f>BD184*VLOOKUP('Données projet'!$B$11,Paramètres!$A$1:$I$89,3,0)*VLOOKUP('Données projet'!$B$11,Paramètres!$A$1:$I$89,5,0)</f>
        <v>195.08800000000033</v>
      </c>
      <c r="BF184" s="13">
        <f t="shared" si="167"/>
        <v>48.66310146652016</v>
      </c>
      <c r="BG184" s="20">
        <f t="shared" si="168"/>
        <v>424.53316838752318</v>
      </c>
      <c r="BH184" s="59">
        <f t="shared" si="116"/>
        <v>715.01012564161601</v>
      </c>
      <c r="BI184" s="59">
        <f ca="1">AVERAGE(OFFSET($BH$3,0,0,'Données projet'!$E$11+1,1))-AVERAGE(OFFSET($H$3,0,0,'Données projet'!$E$11+1,1))</f>
        <v>411.38162678377478</v>
      </c>
      <c r="BJ184" s="59">
        <f t="shared" si="146"/>
        <v>177.89903563360403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94.733430742111281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94.733430742111281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69.220988342025336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212.00000000000009</v>
      </c>
      <c r="BZ184" s="13">
        <f>BY184*VLOOKUP('Données projet'!$B$12,Paramètres!$A$1:$I$89,3,0)*VLOOKUP('Données projet'!$B$12,Paramètres!$A$1:$I$89,5,0)</f>
        <v>221.58240000000012</v>
      </c>
      <c r="CA184" s="13">
        <f t="shared" si="170"/>
        <v>54.458668952651578</v>
      </c>
      <c r="CB184" s="20">
        <f t="shared" si="171"/>
        <v>480.77152842586838</v>
      </c>
      <c r="CC184" s="59">
        <f t="shared" si="119"/>
        <v>771.24848567996128</v>
      </c>
      <c r="CD184" s="59">
        <f ca="1">AVERAGE(OFFSET($CC$3,0,0,'Données projet'!$E$12+1,1))-AVERAGE(OFFSET($H$3,0,0,'Données projet'!$E$12+1,1))</f>
        <v>374.38550202939507</v>
      </c>
      <c r="CE184" s="59">
        <f t="shared" si="148"/>
        <v>324.37486924296718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3.5926049253658752</v>
      </c>
      <c r="CL184" s="21">
        <f>EXP(-LN(2)/25)*CL183+(1-EXP(-LN(2)/25))/(LN(2)/25)*Calculateur!CG184*Calculateur!CI184*VLOOKUP('Données projet'!$B$12,Paramètres!$A$1:$I$89,3,0)*0.475*44/12</f>
        <v>1.771242480432843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5.363847405798718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69.220988342025336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-4.5474735088646412E-13</v>
      </c>
      <c r="CU184" s="17">
        <f>CT184*VLOOKUP('Données projet'!$B$13,Paramètres!$A$1:$I$89,3,0)*VLOOKUP('Données projet'!$B$13,Paramètres!$A$1:$I$89,5,0)</f>
        <v>-4.3273757910355926E-13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392.81074187112989</v>
      </c>
      <c r="CZ184" s="59">
        <f t="shared" si="150"/>
        <v>236.19146849073687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100.6006005923566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100.6006005923566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69.220988342025336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-4.5474735088646412E-13</v>
      </c>
      <c r="DP184" s="17">
        <f>DO184*VLOOKUP('Données projet'!$B$14,Paramètres!$A$1:$I$89,3,0)*VLOOKUP('Données projet'!$B$14,Paramètres!$A$1:$I$89,5,0)</f>
        <v>-4.8949004849418999E-13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434.77799524785502</v>
      </c>
      <c r="DU184" s="59">
        <f t="shared" si="152"/>
        <v>259.85949838170006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113.79412198151807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113.79412198151807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69.220988342025336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-4.5474735088646412E-13</v>
      </c>
      <c r="EK184" s="17">
        <f>EJ184*VLOOKUP('Données projet'!$B$15,Paramètres!$A$1:$I$89,3,0)*VLOOKUP('Données projet'!$B$15,Paramètres!$A$1:$I$89,5,0)</f>
        <v>-4.3983163777738812E-13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398.06270423055565</v>
      </c>
      <c r="EP184" s="59">
        <f t="shared" si="154"/>
        <v>239.15364562040614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102.24979076600178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102.24979076600178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69.220988342025336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-1.7053025658242404E-13</v>
      </c>
      <c r="FF184" s="17">
        <f>FE184*VLOOKUP('Données projet'!$B$16,Paramètres!$A$1:$I$89,3,0)*VLOOKUP('Données projet'!$B$16,Paramètres!$A$1:$I$89,5,0)</f>
        <v>-1.0197709343628959E-13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334.13861979962491</v>
      </c>
      <c r="FK184" s="59">
        <f t="shared" si="156"/>
        <v>416.48635183664305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13.698566089518936</v>
      </c>
      <c r="FR184" s="21">
        <f>EXP(-LN(2)/25)*FR183+(1-EXP(-LN(2)/25))/(LN(2)/25)*Calculateur!FM184*Calculateur!FO184*VLOOKUP('Données projet'!$B$16,Paramètres!$A$1:$I$89,3,0)*0.475*44/12</f>
        <v>1.3812680497847103</v>
      </c>
      <c r="FS184" s="21">
        <f>EXP(-LN(2)/2)*FS183+(1-EXP(-LN(2)/2))/(LN(2)/2)*FM184*FP184*VLOOKUP('Données projet'!$B$16,Paramètres!$A$1:$I$89,3,0)*0.475*44/12</f>
        <v>6.1954822558676234E-18</v>
      </c>
      <c r="FT184" s="22">
        <f t="shared" si="184"/>
        <v>15.079834139303646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69.220988342025336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3.4106051316484809E-13</v>
      </c>
      <c r="GA184" s="17">
        <f>FZ184*VLOOKUP('Données projet'!$B$17,Paramètres!$A$1:$I$89,3,0)*VLOOKUP('Données projet'!$B$17,Paramètres!$A$1:$I$89,5,0)</f>
        <v>1.5961632016114892E-13</v>
      </c>
      <c r="GB184" s="13">
        <f t="shared" si="185"/>
        <v>2.2708641912150958E-12</v>
      </c>
      <c r="GC184" s="20">
        <f t="shared" si="186"/>
        <v>4.2330868906469593E-12</v>
      </c>
      <c r="GD184" s="59">
        <f t="shared" si="134"/>
        <v>290.4769572540971</v>
      </c>
      <c r="GE184" s="59">
        <f ca="1">AVERAGE(OFFSET($GD$3,0,0,'Données projet'!$E$17+1,1))-AVERAGE(OFFSET($H$3,0,0,'Données projet'!$E$17+1,1))</f>
        <v>317.79829681023142</v>
      </c>
      <c r="GF184" s="59">
        <f t="shared" si="158"/>
        <v>275.07716943523621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38.897429714428803</v>
      </c>
      <c r="GM184" s="21">
        <f>EXP(-LN(2)/25)*GM183+(1-EXP(-LN(2)/25))/(LN(2)/25)*Calculateur!GH184*Calculateur!GJ184*VLOOKUP('Données projet'!$B$17,Paramètres!$A$1:$I$89,3,0)*0.475*44/12</f>
        <v>5.3400196820125991</v>
      </c>
      <c r="GN184" s="21">
        <f>EXP(-LN(2)/2)*GN183+(1-EXP(-LN(2)/2))/(LN(2)/2)*GH184*GK184*VLOOKUP('Données projet'!$B$17,Paramètres!$A$1:$I$89,3,0)*0.475*44/12</f>
        <v>8.0714530646774281E-11</v>
      </c>
      <c r="GO184" s="21">
        <f t="shared" si="187"/>
        <v>44.237449396522123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69.220988342025336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>
        <f>GU184*VLOOKUP('Données projet'!$B$18,Paramètres!$A$1:$I$89,3,0)*VLOOKUP('Données projet'!$B$18,Paramètres!$A$1:$I$89,5,0)</f>
        <v>0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336.21787234885699</v>
      </c>
      <c r="HA184" s="59">
        <f t="shared" si="160"/>
        <v>315.36156736899113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23.361929762402593</v>
      </c>
      <c r="HH184" s="21">
        <f>EXP(-LN(2)/25)*HH183+(1-EXP(-LN(2)/25))/(LN(2)/25)*Calculateur!HC184*Calculateur!HE184*VLOOKUP('Données projet'!$B$18,Paramètres!$A$1:$I$89,3,0)*0.475*44/12</f>
        <v>2.5537068712717228</v>
      </c>
      <c r="HI184" s="21">
        <f>EXP(-LN(2)/2)*HI183+(1-EXP(-LN(2)/2))/(LN(2)/2)*HC184*HF184*VLOOKUP('Données projet'!$B$18,Paramètres!$A$1:$I$89,3,0)*0.475*44/12</f>
        <v>7.8175610664668592E-16</v>
      </c>
      <c r="HJ184" s="22">
        <f t="shared" si="190"/>
        <v>25.915636633674314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3.7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13.566666666666668</v>
      </c>
      <c r="H185" s="67">
        <f t="shared" si="110"/>
        <v>202.4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69.234502452682051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5.1431925385259092E-13</v>
      </c>
      <c r="P185" s="13">
        <f t="shared" si="141"/>
        <v>6.3855359115685756E-12</v>
      </c>
      <c r="Q185" s="20">
        <f t="shared" si="162"/>
        <v>1.2017247746441865E-11</v>
      </c>
      <c r="R185" s="59">
        <f t="shared" si="109"/>
        <v>290.5265089931795</v>
      </c>
      <c r="S185" s="59">
        <f ca="1">AVERAGE(OFFSET($R$3,0,0,'Données projet'!$E$9+1,1))-AVERAGE(OFFSET($H$3,0,0,'Données projet'!$E$9+1,1))</f>
        <v>411.64357329340851</v>
      </c>
      <c r="T185" s="59">
        <f t="shared" si="142"/>
        <v>294.07942258675632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62.275380240911055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62.275380240911055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69.234502452682051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5.763922672485933E-13</v>
      </c>
      <c r="AK185" s="13">
        <f t="shared" si="164"/>
        <v>7.0619171555808457E-12</v>
      </c>
      <c r="AL185" s="20">
        <f t="shared" si="165"/>
        <v>1.3303388911427938E-11</v>
      </c>
      <c r="AM185" s="59">
        <f t="shared" si="113"/>
        <v>290.52650899318081</v>
      </c>
      <c r="AN185" s="59">
        <f ca="1">AVERAGE(OFFSET($AM$3,0,0,'Données projet'!$E$10+1,1))-AVERAGE(OFFSET($H$3,0,0,'Données projet'!$E$10+1,1))</f>
        <v>453.05577105995508</v>
      </c>
      <c r="AO185" s="59">
        <f t="shared" si="144"/>
        <v>322.6839824496758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69.791374407917544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69.791374407917544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69.234502452682051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3.2339743589743506</v>
      </c>
      <c r="BD185" s="12">
        <f>IF('Données projet'!$A$88&gt;35,BD184+BC185-BL184,IF(A185&lt;'Données projet'!$A$88,$BA$205^A185,IF(A185='Données projet'!$A$88,'Données projet'!$B$88,BD184+BC185-BL184)))</f>
        <v>198.6346153846157</v>
      </c>
      <c r="BE185" s="13">
        <f>BD185*VLOOKUP('Données projet'!$B$11,Paramètres!$A$1:$I$89,3,0)*VLOOKUP('Données projet'!$B$11,Paramètres!$A$1:$I$89,5,0)</f>
        <v>198.31680000000034</v>
      </c>
      <c r="BF185" s="13">
        <f t="shared" si="167"/>
        <v>49.374069551574657</v>
      </c>
      <c r="BG185" s="20">
        <f t="shared" si="168"/>
        <v>431.39493113565976</v>
      </c>
      <c r="BH185" s="59">
        <f t="shared" si="116"/>
        <v>721.92144012882727</v>
      </c>
      <c r="BI185" s="59">
        <f ca="1">AVERAGE(OFFSET($BH$3,0,0,'Données projet'!$E$11+1,1))-AVERAGE(OFFSET($H$3,0,0,'Données projet'!$E$11+1,1))</f>
        <v>411.38162678377478</v>
      </c>
      <c r="BJ185" s="59">
        <f t="shared" si="146"/>
        <v>177.89903563360403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92.875765946945762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92.875765946945762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69.234502452682051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212.00000000000009</v>
      </c>
      <c r="BZ185" s="13">
        <f>BY185*VLOOKUP('Données projet'!$B$12,Paramètres!$A$1:$I$89,3,0)*VLOOKUP('Données projet'!$B$12,Paramètres!$A$1:$I$89,5,0)</f>
        <v>221.58240000000012</v>
      </c>
      <c r="CA185" s="13">
        <f t="shared" si="170"/>
        <v>54.458668952651578</v>
      </c>
      <c r="CB185" s="20">
        <f t="shared" si="171"/>
        <v>480.77152842586838</v>
      </c>
      <c r="CC185" s="59">
        <f t="shared" si="119"/>
        <v>771.29803741903584</v>
      </c>
      <c r="CD185" s="59">
        <f ca="1">AVERAGE(OFFSET($CC$3,0,0,'Données projet'!$E$12+1,1))-AVERAGE(OFFSET($H$3,0,0,'Données projet'!$E$12+1,1))</f>
        <v>374.38550202939507</v>
      </c>
      <c r="CE185" s="59">
        <f t="shared" si="148"/>
        <v>324.37486924296718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3.5221561340520848</v>
      </c>
      <c r="CL185" s="21">
        <f>EXP(-LN(2)/25)*CL184+(1-EXP(-LN(2)/25))/(LN(2)/25)*Calculateur!CG185*Calculateur!CI185*VLOOKUP('Données projet'!$B$12,Paramètres!$A$1:$I$89,3,0)*0.475*44/12</f>
        <v>1.7228077616598132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5.2449638957118978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69.234502452682051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-4.5474735088646412E-13</v>
      </c>
      <c r="CU185" s="17">
        <f>CT185*VLOOKUP('Données projet'!$B$13,Paramètres!$A$1:$I$89,3,0)*VLOOKUP('Données projet'!$B$13,Paramètres!$A$1:$I$89,5,0)</f>
        <v>-4.3273757910355926E-13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392.81074187112989</v>
      </c>
      <c r="CZ185" s="59">
        <f t="shared" si="150"/>
        <v>236.19146849073687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98.627884175048024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98.627884175048024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69.234502452682051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-4.5474735088646412E-13</v>
      </c>
      <c r="DP185" s="17">
        <f>DO185*VLOOKUP('Données projet'!$B$14,Paramètres!$A$1:$I$89,3,0)*VLOOKUP('Données projet'!$B$14,Paramètres!$A$1:$I$89,5,0)</f>
        <v>-4.8949004849418999E-13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434.77799524785502</v>
      </c>
      <c r="DU185" s="59">
        <f t="shared" si="152"/>
        <v>259.85949838170006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111.56268865702148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111.56268865702148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69.234502452682051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-4.5474735088646412E-13</v>
      </c>
      <c r="EK185" s="17">
        <f>EJ185*VLOOKUP('Données projet'!$B$15,Paramètres!$A$1:$I$89,3,0)*VLOOKUP('Données projet'!$B$15,Paramètres!$A$1:$I$89,5,0)</f>
        <v>-4.3983163777738812E-13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398.06270423055565</v>
      </c>
      <c r="EP185" s="59">
        <f t="shared" si="154"/>
        <v>239.15364562040614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100.2447347352947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100.2447347352947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69.234502452682051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-1.7053025658242404E-13</v>
      </c>
      <c r="FF185" s="17">
        <f>FE185*VLOOKUP('Données projet'!$B$16,Paramètres!$A$1:$I$89,3,0)*VLOOKUP('Données projet'!$B$16,Paramètres!$A$1:$I$89,5,0)</f>
        <v>-1.0197709343628959E-13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334.13861979962491</v>
      </c>
      <c r="FK185" s="59">
        <f t="shared" si="156"/>
        <v>416.48635183664305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13.429945563803766</v>
      </c>
      <c r="FR185" s="21">
        <f>EXP(-LN(2)/25)*FR184+(1-EXP(-LN(2)/25))/(LN(2)/25)*Calculateur!FM185*Calculateur!FO185*VLOOKUP('Données projet'!$B$16,Paramètres!$A$1:$I$89,3,0)*0.475*44/12</f>
        <v>1.3434972023256175</v>
      </c>
      <c r="FS185" s="21">
        <f>EXP(-LN(2)/2)*FS184+(1-EXP(-LN(2)/2))/(LN(2)/2)*FM185*FP185*VLOOKUP('Données projet'!$B$16,Paramètres!$A$1:$I$89,3,0)*0.475*44/12</f>
        <v>4.3808675158449253E-18</v>
      </c>
      <c r="FT185" s="22">
        <f t="shared" si="184"/>
        <v>14.773442766129383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69.234502452682051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3.4106051316484809E-13</v>
      </c>
      <c r="GA185" s="17">
        <f>FZ185*VLOOKUP('Données projet'!$B$17,Paramètres!$A$1:$I$89,3,0)*VLOOKUP('Données projet'!$B$17,Paramètres!$A$1:$I$89,5,0)</f>
        <v>1.5961632016114892E-13</v>
      </c>
      <c r="GB185" s="13">
        <f t="shared" si="185"/>
        <v>2.2708641912150958E-12</v>
      </c>
      <c r="GC185" s="20">
        <f t="shared" si="186"/>
        <v>4.2330868906469593E-12</v>
      </c>
      <c r="GD185" s="59">
        <f t="shared" si="134"/>
        <v>290.52650899317172</v>
      </c>
      <c r="GE185" s="59">
        <f ca="1">AVERAGE(OFFSET($GD$3,0,0,'Données projet'!$E$17+1,1))-AVERAGE(OFFSET($H$3,0,0,'Données projet'!$E$17+1,1))</f>
        <v>317.79829681023142</v>
      </c>
      <c r="GF185" s="59">
        <f t="shared" si="158"/>
        <v>275.07716943523621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38.13467484281832</v>
      </c>
      <c r="GM185" s="21">
        <f>EXP(-LN(2)/25)*GM184+(1-EXP(-LN(2)/25))/(LN(2)/25)*Calculateur!GH185*Calculateur!GJ185*VLOOKUP('Données projet'!$B$17,Paramètres!$A$1:$I$89,3,0)*0.475*44/12</f>
        <v>5.1939965629885343</v>
      </c>
      <c r="GN185" s="21">
        <f>EXP(-LN(2)/2)*GN184+(1-EXP(-LN(2)/2))/(LN(2)/2)*GH185*GK185*VLOOKUP('Données projet'!$B$17,Paramètres!$A$1:$I$89,3,0)*0.475*44/12</f>
        <v>5.7073791960623509E-11</v>
      </c>
      <c r="GO185" s="21">
        <f t="shared" si="187"/>
        <v>43.328671405863929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69.234502452682051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>
        <f>GU185*VLOOKUP('Données projet'!$B$18,Paramètres!$A$1:$I$89,3,0)*VLOOKUP('Données projet'!$B$18,Paramètres!$A$1:$I$89,5,0)</f>
        <v>0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336.21787234885699</v>
      </c>
      <c r="HA185" s="59">
        <f t="shared" si="160"/>
        <v>315.36156736899113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22.903816569132026</v>
      </c>
      <c r="HH185" s="21">
        <f>EXP(-LN(2)/25)*HH184+(1-EXP(-LN(2)/25))/(LN(2)/25)*Calculateur!HC185*Calculateur!HE185*VLOOKUP('Données projet'!$B$18,Paramètres!$A$1:$I$89,3,0)*0.475*44/12</f>
        <v>2.4838756225831897</v>
      </c>
      <c r="HI185" s="21">
        <f>EXP(-LN(2)/2)*HI184+(1-EXP(-LN(2)/2))/(LN(2)/2)*HC185*HF185*VLOOKUP('Données projet'!$B$18,Paramètres!$A$1:$I$89,3,0)*0.475*44/12</f>
        <v>5.5278504424386544E-16</v>
      </c>
      <c r="HJ185" s="22">
        <f t="shared" si="190"/>
        <v>25.387692191715217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3.7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13.566666666666668</v>
      </c>
      <c r="H186" s="67">
        <f t="shared" si="110"/>
        <v>202.4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69.247782123731881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5.1431925385259092E-13</v>
      </c>
      <c r="P186" s="13">
        <f t="shared" si="141"/>
        <v>6.3855359115685756E-12</v>
      </c>
      <c r="Q186" s="20">
        <f t="shared" si="162"/>
        <v>1.2017247746441865E-11</v>
      </c>
      <c r="R186" s="59">
        <f t="shared" si="109"/>
        <v>290.57520112036224</v>
      </c>
      <c r="S186" s="59">
        <f ca="1">AVERAGE(OFFSET($R$3,0,0,'Données projet'!$E$9+1,1))-AVERAGE(OFFSET($H$3,0,0,'Données projet'!$E$9+1,1))</f>
        <v>411.64357329340851</v>
      </c>
      <c r="T186" s="59">
        <f t="shared" si="142"/>
        <v>294.07942258675632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61.054198018618102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61.054198018618102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69.247782123731881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5.763922672485933E-13</v>
      </c>
      <c r="AK186" s="13">
        <f t="shared" si="164"/>
        <v>7.0619171555808457E-12</v>
      </c>
      <c r="AL186" s="20">
        <f t="shared" si="165"/>
        <v>1.3303388911427938E-11</v>
      </c>
      <c r="AM186" s="59">
        <f t="shared" si="113"/>
        <v>290.57520112036354</v>
      </c>
      <c r="AN186" s="59">
        <f ca="1">AVERAGE(OFFSET($AM$3,0,0,'Données projet'!$E$10+1,1))-AVERAGE(OFFSET($H$3,0,0,'Données projet'!$E$10+1,1))</f>
        <v>453.05577105995508</v>
      </c>
      <c r="AO186" s="59">
        <f t="shared" si="144"/>
        <v>322.6839824496758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68.422808124313377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68.422808124313377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69.247782123731881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3.2339743589743506</v>
      </c>
      <c r="BD186" s="12">
        <f>IF('Données projet'!$A$88&gt;35,BD185+BC186-BL185,IF(A186&lt;'Données projet'!$A$88,$BA$205^A186,IF(A186='Données projet'!$A$88,'Données projet'!$B$88,BD185+BC186-BL185)))</f>
        <v>201.86858974359006</v>
      </c>
      <c r="BE186" s="13">
        <f>BD186*VLOOKUP('Données projet'!$B$11,Paramètres!$A$1:$I$89,3,0)*VLOOKUP('Données projet'!$B$11,Paramètres!$A$1:$I$89,5,0)</f>
        <v>201.54560000000035</v>
      </c>
      <c r="BF186" s="13">
        <f t="shared" si="167"/>
        <v>50.083691486313711</v>
      </c>
      <c r="BG186" s="20">
        <f t="shared" si="168"/>
        <v>438.25434933866364</v>
      </c>
      <c r="BH186" s="59">
        <f t="shared" si="116"/>
        <v>728.82955045901394</v>
      </c>
      <c r="BI186" s="59">
        <f ca="1">AVERAGE(OFFSET($BH$3,0,0,'Données projet'!$E$11+1,1))-AVERAGE(OFFSET($H$3,0,0,'Données projet'!$E$11+1,1))</f>
        <v>411.38162678377478</v>
      </c>
      <c r="BJ186" s="59">
        <f t="shared" si="146"/>
        <v>177.89903563360403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91.054528825349792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91.054528825349792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69.247782123731881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212.00000000000009</v>
      </c>
      <c r="BZ186" s="13">
        <f>BY186*VLOOKUP('Données projet'!$B$12,Paramètres!$A$1:$I$89,3,0)*VLOOKUP('Données projet'!$B$12,Paramètres!$A$1:$I$89,5,0)</f>
        <v>221.58240000000012</v>
      </c>
      <c r="CA186" s="13">
        <f t="shared" si="170"/>
        <v>54.458668952651578</v>
      </c>
      <c r="CB186" s="20">
        <f t="shared" si="171"/>
        <v>480.77152842586838</v>
      </c>
      <c r="CC186" s="59">
        <f t="shared" si="119"/>
        <v>771.34672954621863</v>
      </c>
      <c r="CD186" s="59">
        <f ca="1">AVERAGE(OFFSET($CC$3,0,0,'Données projet'!$E$12+1,1))-AVERAGE(OFFSET($H$3,0,0,'Données projet'!$E$12+1,1))</f>
        <v>374.38550202939507</v>
      </c>
      <c r="CE186" s="59">
        <f t="shared" si="148"/>
        <v>324.37486924296718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3.4530888005664377</v>
      </c>
      <c r="CL186" s="21">
        <f>EXP(-LN(2)/25)*CL185+(1-EXP(-LN(2)/25))/(LN(2)/25)*Calculateur!CG186*Calculateur!CI186*VLOOKUP('Données projet'!$B$12,Paramètres!$A$1:$I$89,3,0)*0.475*44/12</f>
        <v>1.6756974928187029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5.1287862933851409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69.247782123731881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-4.5474735088646412E-13</v>
      </c>
      <c r="CU186" s="17">
        <f>CT186*VLOOKUP('Données projet'!$B$13,Paramètres!$A$1:$I$89,3,0)*VLOOKUP('Données projet'!$B$13,Paramètres!$A$1:$I$89,5,0)</f>
        <v>-4.3273757910355926E-13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392.81074187112989</v>
      </c>
      <c r="CZ186" s="59">
        <f t="shared" si="150"/>
        <v>236.19146849073687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96.693851523444664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96.693851523444664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69.247782123731881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-4.5474735088646412E-13</v>
      </c>
      <c r="DP186" s="17">
        <f>DO186*VLOOKUP('Données projet'!$B$14,Paramètres!$A$1:$I$89,3,0)*VLOOKUP('Données projet'!$B$14,Paramètres!$A$1:$I$89,5,0)</f>
        <v>-4.8949004849418999E-13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434.77799524785502</v>
      </c>
      <c r="DU186" s="59">
        <f t="shared" si="152"/>
        <v>259.85949838170006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109.37501237897834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109.37501237897834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69.247782123731881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-4.5474735088646412E-13</v>
      </c>
      <c r="EK186" s="17">
        <f>EJ186*VLOOKUP('Données projet'!$B$15,Paramètres!$A$1:$I$89,3,0)*VLOOKUP('Données projet'!$B$15,Paramètres!$A$1:$I$89,5,0)</f>
        <v>-4.3983163777738812E-13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398.06270423055565</v>
      </c>
      <c r="EP186" s="59">
        <f t="shared" si="154"/>
        <v>239.15364562040614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98.278996630386359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98.278996630386359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69.247782123731881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-1.7053025658242404E-13</v>
      </c>
      <c r="FF186" s="17">
        <f>FE186*VLOOKUP('Données projet'!$B$16,Paramètres!$A$1:$I$89,3,0)*VLOOKUP('Données projet'!$B$16,Paramètres!$A$1:$I$89,5,0)</f>
        <v>-1.0197709343628959E-13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334.13861979962491</v>
      </c>
      <c r="FK186" s="59">
        <f t="shared" si="156"/>
        <v>416.48635183664305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13.166592522755529</v>
      </c>
      <c r="FR186" s="21">
        <f>EXP(-LN(2)/25)*FR185+(1-EXP(-LN(2)/25))/(LN(2)/25)*Calculateur!FM186*Calculateur!FO186*VLOOKUP('Données projet'!$B$16,Paramètres!$A$1:$I$89,3,0)*0.475*44/12</f>
        <v>1.3067592006765762</v>
      </c>
      <c r="FS186" s="21">
        <f>EXP(-LN(2)/2)*FS185+(1-EXP(-LN(2)/2))/(LN(2)/2)*FM186*FP186*VLOOKUP('Données projet'!$B$16,Paramètres!$A$1:$I$89,3,0)*0.475*44/12</f>
        <v>3.0977411279338117E-18</v>
      </c>
      <c r="FT186" s="22">
        <f t="shared" si="184"/>
        <v>14.473351723432106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69.247782123731881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3.4106051316484809E-13</v>
      </c>
      <c r="GA186" s="17">
        <f>FZ186*VLOOKUP('Données projet'!$B$17,Paramètres!$A$1:$I$89,3,0)*VLOOKUP('Données projet'!$B$17,Paramètres!$A$1:$I$89,5,0)</f>
        <v>1.5961632016114892E-13</v>
      </c>
      <c r="GB186" s="13">
        <f t="shared" si="185"/>
        <v>2.2708641912150958E-12</v>
      </c>
      <c r="GC186" s="20">
        <f t="shared" si="186"/>
        <v>4.2330868906469593E-12</v>
      </c>
      <c r="GD186" s="59">
        <f t="shared" si="134"/>
        <v>290.57520112035445</v>
      </c>
      <c r="GE186" s="59">
        <f ca="1">AVERAGE(OFFSET($GD$3,0,0,'Données projet'!$E$17+1,1))-AVERAGE(OFFSET($H$3,0,0,'Données projet'!$E$17+1,1))</f>
        <v>317.79829681023142</v>
      </c>
      <c r="GF186" s="59">
        <f t="shared" si="158"/>
        <v>275.07716943523621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37.38687712900559</v>
      </c>
      <c r="GM186" s="21">
        <f>EXP(-LN(2)/25)*GM185+(1-EXP(-LN(2)/25))/(LN(2)/25)*Calculateur!GH186*Calculateur!GJ186*VLOOKUP('Données projet'!$B$17,Paramètres!$A$1:$I$89,3,0)*0.475*44/12</f>
        <v>5.051966453833205</v>
      </c>
      <c r="GN186" s="21">
        <f>EXP(-LN(2)/2)*GN185+(1-EXP(-LN(2)/2))/(LN(2)/2)*GH186*GK186*VLOOKUP('Données projet'!$B$17,Paramètres!$A$1:$I$89,3,0)*0.475*44/12</f>
        <v>4.0357265323387147E-11</v>
      </c>
      <c r="GO186" s="21">
        <f t="shared" si="187"/>
        <v>42.438843582879151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69.247782123731881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>
        <f>GU186*VLOOKUP('Données projet'!$B$18,Paramètres!$A$1:$I$89,3,0)*VLOOKUP('Données projet'!$B$18,Paramètres!$A$1:$I$89,5,0)</f>
        <v>0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336.21787234885699</v>
      </c>
      <c r="HA186" s="59">
        <f t="shared" si="160"/>
        <v>315.36156736899113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22.454686696160035</v>
      </c>
      <c r="HH186" s="21">
        <f>EXP(-LN(2)/25)*HH185+(1-EXP(-LN(2)/25))/(LN(2)/25)*Calculateur!HC186*Calculateur!HE186*VLOOKUP('Données projet'!$B$18,Paramètres!$A$1:$I$89,3,0)*0.475*44/12</f>
        <v>2.4159539130623102</v>
      </c>
      <c r="HI186" s="21">
        <f>EXP(-LN(2)/2)*HI185+(1-EXP(-LN(2)/2))/(LN(2)/2)*HC186*HF186*VLOOKUP('Données projet'!$B$18,Paramètres!$A$1:$I$89,3,0)*0.475*44/12</f>
        <v>3.9087805332334296E-16</v>
      </c>
      <c r="HJ186" s="22">
        <f t="shared" si="190"/>
        <v>24.870640609222345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3.7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13.566666666666668</v>
      </c>
      <c r="H187" s="67">
        <f t="shared" si="110"/>
        <v>202.4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69.260831422177901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5.1431925385259092E-13</v>
      </c>
      <c r="P187" s="13">
        <f t="shared" si="141"/>
        <v>6.3855359115685756E-12</v>
      </c>
      <c r="Q187" s="20">
        <f t="shared" si="162"/>
        <v>1.2017247746441865E-11</v>
      </c>
      <c r="R187" s="59">
        <f t="shared" si="109"/>
        <v>290.62304854799766</v>
      </c>
      <c r="S187" s="59">
        <f ca="1">AVERAGE(OFFSET($R$3,0,0,'Données projet'!$E$9+1,1))-AVERAGE(OFFSET($H$3,0,0,'Données projet'!$E$9+1,1))</f>
        <v>411.64357329340851</v>
      </c>
      <c r="T187" s="59">
        <f t="shared" si="142"/>
        <v>294.07942258675632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59.856962434856712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59.856962434856712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69.260831422177901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5.763922672485933E-13</v>
      </c>
      <c r="AK187" s="13">
        <f t="shared" si="164"/>
        <v>7.0619171555808457E-12</v>
      </c>
      <c r="AL187" s="20">
        <f t="shared" si="165"/>
        <v>1.3303388911427938E-11</v>
      </c>
      <c r="AM187" s="59">
        <f t="shared" si="113"/>
        <v>290.62304854799896</v>
      </c>
      <c r="AN187" s="59">
        <f ca="1">AVERAGE(OFFSET($AM$3,0,0,'Données projet'!$E$10+1,1))-AVERAGE(OFFSET($H$3,0,0,'Données projet'!$E$10+1,1))</f>
        <v>453.05577105995508</v>
      </c>
      <c r="AO187" s="59">
        <f t="shared" si="144"/>
        <v>322.6839824496758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67.081078590787683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67.081078590787683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69.260831422177901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>
        <f>VLOOKUP(A187,'Données projet'!$A$87:$I$107,2,0)</f>
        <v>205.10256410256409</v>
      </c>
      <c r="BB187" s="12">
        <f>VLOOKUP(A187,'Données projet'!$A$87:$I$107,9,0)</f>
        <v>3.2339743589743506</v>
      </c>
      <c r="BC187" s="12">
        <f t="array" ref="BC187">INDEX(BB:BB,MIN(IF(ISNUMBER(BB187:BB383),ROW(BB187:BB383),"")))</f>
        <v>3.2339743589743506</v>
      </c>
      <c r="BD187" s="12">
        <f>IF('Données projet'!$A$88&gt;35,BD186+BC187-BL186,IF(A187&lt;'Données projet'!$A$88,$BA$205^A187,IF(A187='Données projet'!$A$88,'Données projet'!$B$88,BD186+BC187-BL186)))</f>
        <v>205.10256410256443</v>
      </c>
      <c r="BE187" s="13">
        <f>BD187*VLOOKUP('Données projet'!$B$11,Paramètres!$A$1:$I$89,3,0)*VLOOKUP('Données projet'!$B$11,Paramètres!$A$1:$I$89,5,0)</f>
        <v>204.77440000000033</v>
      </c>
      <c r="BF187" s="13">
        <f t="shared" si="167"/>
        <v>50.791991326203096</v>
      </c>
      <c r="BG187" s="20">
        <f t="shared" si="168"/>
        <v>445.11146489313757</v>
      </c>
      <c r="BH187" s="59">
        <f t="shared" si="116"/>
        <v>735.73451344112323</v>
      </c>
      <c r="BI187" s="59">
        <f ca="1">AVERAGE(OFFSET($BH$3,0,0,'Données projet'!$E$11+1,1))-AVERAGE(OFFSET($H$3,0,0,'Données projet'!$E$11+1,1))</f>
        <v>411.38162678377478</v>
      </c>
      <c r="BJ187" s="59">
        <f t="shared" si="146"/>
        <v>177.89903563360403</v>
      </c>
      <c r="BK187" s="15">
        <f>IF(ISNA(VLOOKUP(A187,'Données projet'!$A$87:$I$107,3,0)),0,VLOOKUP(A187,'Données projet'!$A$87:$I$107,3,0))</f>
        <v>14</v>
      </c>
      <c r="BL187" s="15">
        <f>IF(ISNA(VLOOKUP(A187,'Données projet'!$A$87:$I$107,4,0)),0,VLOOKUP(A187,'Données projet'!$A$87:$I$107,4,0))</f>
        <v>69.160256410256409</v>
      </c>
      <c r="BM187" s="16">
        <f>IF(ISNA(VLOOKUP(A187,'Données projet'!$A$87:$I$107,5,0)),0%,VLOOKUP(A187,'Données projet'!$A$87:$I$107,5,0)*VLOOKUP('Données projet'!$B$11,Paramètres!$A$1:$I$89,7,0))</f>
        <v>0.38700000000000001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118.80960032256095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118.80960032256095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69.260831422177901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212.00000000000009</v>
      </c>
      <c r="BZ187" s="13">
        <f>BY187*VLOOKUP('Données projet'!$B$12,Paramètres!$A$1:$I$89,3,0)*VLOOKUP('Données projet'!$B$12,Paramètres!$A$1:$I$89,5,0)</f>
        <v>221.58240000000012</v>
      </c>
      <c r="CA187" s="13">
        <f t="shared" si="170"/>
        <v>54.458668952651578</v>
      </c>
      <c r="CB187" s="20">
        <f t="shared" si="171"/>
        <v>480.77152842586838</v>
      </c>
      <c r="CC187" s="59">
        <f t="shared" si="119"/>
        <v>771.3945769738541</v>
      </c>
      <c r="CD187" s="59">
        <f ca="1">AVERAGE(OFFSET($CC$3,0,0,'Données projet'!$E$12+1,1))-AVERAGE(OFFSET($H$3,0,0,'Données projet'!$E$12+1,1))</f>
        <v>374.38550202939507</v>
      </c>
      <c r="CE187" s="59">
        <f t="shared" si="148"/>
        <v>324.37486924296718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3.3853758353635306</v>
      </c>
      <c r="CL187" s="21">
        <f>EXP(-LN(2)/25)*CL186+(1-EXP(-LN(2)/25))/(LN(2)/25)*Calculateur!CG187*Calculateur!CI187*VLOOKUP('Données projet'!$B$12,Paramètres!$A$1:$I$89,3,0)*0.475*44/12</f>
        <v>1.6298754567564742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5.0152512921200048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69.260831422177901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-4.5474735088646412E-13</v>
      </c>
      <c r="CU187" s="17">
        <f>CT187*VLOOKUP('Données projet'!$B$13,Paramètres!$A$1:$I$89,3,0)*VLOOKUP('Données projet'!$B$13,Paramètres!$A$1:$I$89,5,0)</f>
        <v>-4.3273757910355926E-13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392.81074187112989</v>
      </c>
      <c r="CZ187" s="59">
        <f t="shared" si="150"/>
        <v>236.19146849073687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94.797744072495803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94.797744072495803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69.260831422177901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-4.5474735088646412E-13</v>
      </c>
      <c r="DP187" s="17">
        <f>DO187*VLOOKUP('Données projet'!$B$14,Paramètres!$A$1:$I$89,3,0)*VLOOKUP('Données projet'!$B$14,Paramètres!$A$1:$I$89,5,0)</f>
        <v>-4.8949004849418999E-13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434.77799524785502</v>
      </c>
      <c r="DU187" s="59">
        <f t="shared" si="152"/>
        <v>259.85949838170006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107.23023509839685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107.23023509839685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69.260831422177901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-4.5474735088646412E-13</v>
      </c>
      <c r="EK187" s="17">
        <f>EJ187*VLOOKUP('Données projet'!$B$15,Paramètres!$A$1:$I$89,3,0)*VLOOKUP('Données projet'!$B$15,Paramètres!$A$1:$I$89,5,0)</f>
        <v>-4.3983163777738812E-13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398.06270423055565</v>
      </c>
      <c r="EP187" s="59">
        <f t="shared" si="154"/>
        <v>239.15364562040614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96.351805450733423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96.351805450733423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69.260831422177901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-1.7053025658242404E-13</v>
      </c>
      <c r="FF187" s="17">
        <f>FE187*VLOOKUP('Données projet'!$B$16,Paramètres!$A$1:$I$89,3,0)*VLOOKUP('Données projet'!$B$16,Paramètres!$A$1:$I$89,5,0)</f>
        <v>-1.0197709343628959E-13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334.13861979962491</v>
      </c>
      <c r="FK187" s="59">
        <f t="shared" si="156"/>
        <v>416.48635183664305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12.908403674212753</v>
      </c>
      <c r="FR187" s="21">
        <f>EXP(-LN(2)/25)*FR186+(1-EXP(-LN(2)/25))/(LN(2)/25)*Calculateur!FM187*Calculateur!FO187*VLOOKUP('Données projet'!$B$16,Paramètres!$A$1:$I$89,3,0)*0.475*44/12</f>
        <v>1.2710258016145954</v>
      </c>
      <c r="FS187" s="21">
        <f>EXP(-LN(2)/2)*FS186+(1-EXP(-LN(2)/2))/(LN(2)/2)*FM187*FP187*VLOOKUP('Données projet'!$B$16,Paramètres!$A$1:$I$89,3,0)*0.475*44/12</f>
        <v>2.1904337579224627E-18</v>
      </c>
      <c r="FT187" s="22">
        <f t="shared" si="184"/>
        <v>14.179429475827348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69.260831422177901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3.4106051316484809E-13</v>
      </c>
      <c r="GA187" s="17">
        <f>FZ187*VLOOKUP('Données projet'!$B$17,Paramètres!$A$1:$I$89,3,0)*VLOOKUP('Données projet'!$B$17,Paramètres!$A$1:$I$89,5,0)</f>
        <v>1.5961632016114892E-13</v>
      </c>
      <c r="GB187" s="13">
        <f t="shared" si="185"/>
        <v>2.2708641912150958E-12</v>
      </c>
      <c r="GC187" s="20">
        <f t="shared" si="186"/>
        <v>4.2330868906469593E-12</v>
      </c>
      <c r="GD187" s="59">
        <f t="shared" si="134"/>
        <v>290.62304854798987</v>
      </c>
      <c r="GE187" s="59">
        <f ca="1">AVERAGE(OFFSET($GD$3,0,0,'Données projet'!$E$17+1,1))-AVERAGE(OFFSET($H$3,0,0,'Données projet'!$E$17+1,1))</f>
        <v>317.79829681023142</v>
      </c>
      <c r="GF187" s="59">
        <f t="shared" si="158"/>
        <v>275.07716943523621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36.653743272249159</v>
      </c>
      <c r="GM187" s="21">
        <f>EXP(-LN(2)/25)*GM186+(1-EXP(-LN(2)/25))/(LN(2)/25)*Calculateur!GH187*Calculateur!GJ187*VLOOKUP('Données projet'!$B$17,Paramètres!$A$1:$I$89,3,0)*0.475*44/12</f>
        <v>4.9138201654817664</v>
      </c>
      <c r="GN187" s="21">
        <f>EXP(-LN(2)/2)*GN186+(1-EXP(-LN(2)/2))/(LN(2)/2)*GH187*GK187*VLOOKUP('Données projet'!$B$17,Paramètres!$A$1:$I$89,3,0)*0.475*44/12</f>
        <v>2.8536895980311761E-11</v>
      </c>
      <c r="GO187" s="21">
        <f t="shared" si="187"/>
        <v>41.56756343775946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69.260831422177901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>
        <f>GU187*VLOOKUP('Données projet'!$B$18,Paramètres!$A$1:$I$89,3,0)*VLOOKUP('Données projet'!$B$18,Paramètres!$A$1:$I$89,5,0)</f>
        <v>0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336.21787234885699</v>
      </c>
      <c r="HA187" s="59">
        <f t="shared" si="160"/>
        <v>315.36156736899113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22.014363986054853</v>
      </c>
      <c r="HH187" s="21">
        <f>EXP(-LN(2)/25)*HH186+(1-EXP(-LN(2)/25))/(LN(2)/25)*Calculateur!HC187*Calculateur!HE187*VLOOKUP('Données projet'!$B$18,Paramètres!$A$1:$I$89,3,0)*0.475*44/12</f>
        <v>2.3498895262601267</v>
      </c>
      <c r="HI187" s="21">
        <f>EXP(-LN(2)/2)*HI186+(1-EXP(-LN(2)/2))/(LN(2)/2)*HC187*HF187*VLOOKUP('Données projet'!$B$18,Paramètres!$A$1:$I$89,3,0)*0.475*44/12</f>
        <v>2.7639252212193272E-16</v>
      </c>
      <c r="HJ187" s="22">
        <f t="shared" si="190"/>
        <v>24.364253512314981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3.7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13.566666666666668</v>
      </c>
      <c r="H188" s="67">
        <f t="shared" si="110"/>
        <v>202.4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69.273654344469747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5.1431925385259092E-13</v>
      </c>
      <c r="P188" s="13">
        <f t="shared" si="141"/>
        <v>6.3855359115685756E-12</v>
      </c>
      <c r="Q188" s="20">
        <f t="shared" si="162"/>
        <v>1.2017247746441865E-11</v>
      </c>
      <c r="R188" s="59">
        <f t="shared" si="109"/>
        <v>290.67006592973439</v>
      </c>
      <c r="S188" s="59">
        <f ca="1">AVERAGE(OFFSET($R$3,0,0,'Données projet'!$E$9+1,1))-AVERAGE(OFFSET($H$3,0,0,'Données projet'!$E$9+1,1))</f>
        <v>411.64357329340851</v>
      </c>
      <c r="T188" s="59">
        <f t="shared" si="142"/>
        <v>294.07942258675632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58.68320391065128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58.68320391065128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69.273654344469747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5.763922672485933E-13</v>
      </c>
      <c r="AK188" s="13">
        <f t="shared" si="164"/>
        <v>7.0619171555808457E-12</v>
      </c>
      <c r="AL188" s="20">
        <f t="shared" si="165"/>
        <v>1.3303388911427938E-11</v>
      </c>
      <c r="AM188" s="59">
        <f t="shared" si="113"/>
        <v>290.6700659297357</v>
      </c>
      <c r="AN188" s="59">
        <f ca="1">AVERAGE(OFFSET($AM$3,0,0,'Données projet'!$E$10+1,1))-AVERAGE(OFFSET($H$3,0,0,'Données projet'!$E$10+1,1))</f>
        <v>453.05577105995508</v>
      </c>
      <c r="AO188" s="59">
        <f t="shared" si="144"/>
        <v>322.6839824496758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65.765659555040216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65.765659555040216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69.273654344469747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2.0801282051282115</v>
      </c>
      <c r="BD188" s="12">
        <f>IF('Données projet'!$A$88&gt;35,BD187+BC188-BL187,IF(A188&lt;'Données projet'!$A$88,$BA$205^A188,IF(A188='Données projet'!$A$88,'Données projet'!$B$88,BD187+BC188-BL187)))</f>
        <v>138.02243589743622</v>
      </c>
      <c r="BE188" s="13">
        <f>BD188*VLOOKUP('Données projet'!$B$11,Paramètres!$A$1:$I$89,3,0)*VLOOKUP('Données projet'!$B$11,Paramètres!$A$1:$I$89,5,0)</f>
        <v>137.80160000000035</v>
      </c>
      <c r="BF188" s="13">
        <f t="shared" si="167"/>
        <v>35.79291994997908</v>
      </c>
      <c r="BG188" s="20">
        <f t="shared" si="168"/>
        <v>302.34378891288083</v>
      </c>
      <c r="BH188" s="59">
        <f t="shared" si="116"/>
        <v>593.01385484260322</v>
      </c>
      <c r="BI188" s="59">
        <f ca="1">AVERAGE(OFFSET($BH$3,0,0,'Données projet'!$E$11+1,1))-AVERAGE(OFFSET($H$3,0,0,'Données projet'!$E$11+1,1))</f>
        <v>411.38162678377478</v>
      </c>
      <c r="BJ188" s="59">
        <f t="shared" si="146"/>
        <v>177.89903563360403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116.47981652693623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116.47981652693623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69.273654344469747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212.00000000000009</v>
      </c>
      <c r="BZ188" s="13">
        <f>BY188*VLOOKUP('Données projet'!$B$12,Paramètres!$A$1:$I$89,3,0)*VLOOKUP('Données projet'!$B$12,Paramètres!$A$1:$I$89,5,0)</f>
        <v>221.58240000000012</v>
      </c>
      <c r="CA188" s="13">
        <f t="shared" si="170"/>
        <v>54.458668952651578</v>
      </c>
      <c r="CB188" s="20">
        <f t="shared" si="171"/>
        <v>480.77152842586838</v>
      </c>
      <c r="CC188" s="59">
        <f t="shared" si="119"/>
        <v>771.44159435559072</v>
      </c>
      <c r="CD188" s="59">
        <f ca="1">AVERAGE(OFFSET($CC$3,0,0,'Données projet'!$E$12+1,1))-AVERAGE(OFFSET($H$3,0,0,'Données projet'!$E$12+1,1))</f>
        <v>374.38550202939507</v>
      </c>
      <c r="CE188" s="59">
        <f t="shared" si="148"/>
        <v>324.37486924296718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3.3189906801074218</v>
      </c>
      <c r="CL188" s="21">
        <f>EXP(-LN(2)/25)*CL187+(1-EXP(-LN(2)/25))/(LN(2)/25)*Calculateur!CG188*Calculateur!CI188*VLOOKUP('Données projet'!$B$12,Paramètres!$A$1:$I$89,3,0)*0.475*44/12</f>
        <v>1.5853064266800432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4.9042971067874648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69.273654344469747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-4.5474735088646412E-13</v>
      </c>
      <c r="CU188" s="17">
        <f>CT188*VLOOKUP('Données projet'!$B$13,Paramètres!$A$1:$I$89,3,0)*VLOOKUP('Données projet'!$B$13,Paramètres!$A$1:$I$89,5,0)</f>
        <v>-4.3273757910355926E-13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392.81074187112989</v>
      </c>
      <c r="CZ188" s="59">
        <f t="shared" si="150"/>
        <v>236.19146849073687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92.938818132148697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92.938818132148697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69.273654344469747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-4.5474735088646412E-13</v>
      </c>
      <c r="DP188" s="17">
        <f>DO188*VLOOKUP('Données projet'!$B$14,Paramètres!$A$1:$I$89,3,0)*VLOOKUP('Données projet'!$B$14,Paramètres!$A$1:$I$89,5,0)</f>
        <v>-4.8949004849418999E-13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434.77799524785502</v>
      </c>
      <c r="DU188" s="59">
        <f t="shared" si="152"/>
        <v>259.85949838170006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105.12751559210258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105.12751559210258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69.273654344469747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-4.5474735088646412E-13</v>
      </c>
      <c r="EK188" s="17">
        <f>EJ188*VLOOKUP('Données projet'!$B$15,Paramètres!$A$1:$I$89,3,0)*VLOOKUP('Données projet'!$B$15,Paramètres!$A$1:$I$89,5,0)</f>
        <v>-4.3983163777738812E-13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398.06270423055565</v>
      </c>
      <c r="EP188" s="59">
        <f t="shared" si="154"/>
        <v>239.15364562040614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94.462405314642922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94.462405314642922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69.273654344469747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-1.7053025658242404E-13</v>
      </c>
      <c r="FF188" s="17">
        <f>FE188*VLOOKUP('Données projet'!$B$16,Paramètres!$A$1:$I$89,3,0)*VLOOKUP('Données projet'!$B$16,Paramètres!$A$1:$I$89,5,0)</f>
        <v>-1.0197709343628959E-13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334.13861979962491</v>
      </c>
      <c r="FK188" s="59">
        <f t="shared" si="156"/>
        <v>416.48635183664305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12.655277751510253</v>
      </c>
      <c r="FR188" s="21">
        <f>EXP(-LN(2)/25)*FR187+(1-EXP(-LN(2)/25))/(LN(2)/25)*Calculateur!FM188*Calculateur!FO188*VLOOKUP('Données projet'!$B$16,Paramètres!$A$1:$I$89,3,0)*0.475*44/12</f>
        <v>1.2362695342291024</v>
      </c>
      <c r="FS188" s="21">
        <f>EXP(-LN(2)/2)*FS187+(1-EXP(-LN(2)/2))/(LN(2)/2)*FM188*FP188*VLOOKUP('Données projet'!$B$16,Paramètres!$A$1:$I$89,3,0)*0.475*44/12</f>
        <v>1.5488705639669058E-18</v>
      </c>
      <c r="FT188" s="22">
        <f t="shared" si="184"/>
        <v>13.891547285739355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69.273654344469747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3.4106051316484809E-13</v>
      </c>
      <c r="GA188" s="17">
        <f>FZ188*VLOOKUP('Données projet'!$B$17,Paramètres!$A$1:$I$89,3,0)*VLOOKUP('Données projet'!$B$17,Paramètres!$A$1:$I$89,5,0)</f>
        <v>1.5961632016114892E-13</v>
      </c>
      <c r="GB188" s="13">
        <f t="shared" si="185"/>
        <v>2.2708641912150958E-12</v>
      </c>
      <c r="GC188" s="20">
        <f t="shared" si="186"/>
        <v>4.2330868906469593E-12</v>
      </c>
      <c r="GD188" s="59">
        <f t="shared" si="134"/>
        <v>290.6700659297266</v>
      </c>
      <c r="GE188" s="59">
        <f ca="1">AVERAGE(OFFSET($GD$3,0,0,'Données projet'!$E$17+1,1))-AVERAGE(OFFSET($H$3,0,0,'Données projet'!$E$17+1,1))</f>
        <v>317.79829681023142</v>
      </c>
      <c r="GF188" s="59">
        <f t="shared" si="158"/>
        <v>275.07716943523621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35.934985723256219</v>
      </c>
      <c r="GM188" s="21">
        <f>EXP(-LN(2)/25)*GM187+(1-EXP(-LN(2)/25))/(LN(2)/25)*Calculateur!GH188*Calculateur!GJ188*VLOOKUP('Données projet'!$B$17,Paramètres!$A$1:$I$89,3,0)*0.475*44/12</f>
        <v>4.7794514946500959</v>
      </c>
      <c r="GN188" s="21">
        <f>EXP(-LN(2)/2)*GN187+(1-EXP(-LN(2)/2))/(LN(2)/2)*GH188*GK188*VLOOKUP('Données projet'!$B$17,Paramètres!$A$1:$I$89,3,0)*0.475*44/12</f>
        <v>2.0178632661693577E-11</v>
      </c>
      <c r="GO188" s="21">
        <f t="shared" si="187"/>
        <v>40.714437217926495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69.273654344469747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>
        <f>GU188*VLOOKUP('Données projet'!$B$18,Paramètres!$A$1:$I$89,3,0)*VLOOKUP('Données projet'!$B$18,Paramètres!$A$1:$I$89,5,0)</f>
        <v>0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336.21787234885699</v>
      </c>
      <c r="HA188" s="59">
        <f t="shared" si="160"/>
        <v>315.36156736899113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21.5826757357245</v>
      </c>
      <c r="HH188" s="21">
        <f>EXP(-LN(2)/25)*HH187+(1-EXP(-LN(2)/25))/(LN(2)/25)*Calculateur!HC188*Calculateur!HE188*VLOOKUP('Données projet'!$B$18,Paramètres!$A$1:$I$89,3,0)*0.475*44/12</f>
        <v>2.2856316735892239</v>
      </c>
      <c r="HI188" s="21">
        <f>EXP(-LN(2)/2)*HI187+(1-EXP(-LN(2)/2))/(LN(2)/2)*HC188*HF188*VLOOKUP('Données projet'!$B$18,Paramètres!$A$1:$I$89,3,0)*0.475*44/12</f>
        <v>1.9543902666167148E-16</v>
      </c>
      <c r="HJ188" s="22">
        <f t="shared" si="190"/>
        <v>23.868307409313722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3.7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13.566666666666668</v>
      </c>
      <c r="H189" s="67">
        <f t="shared" si="110"/>
        <v>202.4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69.286254817727581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5.1431925385259092E-13</v>
      </c>
      <c r="P189" s="13">
        <f t="shared" si="141"/>
        <v>6.3855359115685756E-12</v>
      </c>
      <c r="Q189" s="20">
        <f t="shared" si="162"/>
        <v>1.2017247746441865E-11</v>
      </c>
      <c r="R189" s="59">
        <f t="shared" si="109"/>
        <v>290.71626766501311</v>
      </c>
      <c r="S189" s="59">
        <f ca="1">AVERAGE(OFFSET($R$3,0,0,'Données projet'!$E$9+1,1))-AVERAGE(OFFSET($H$3,0,0,'Données projet'!$E$9+1,1))</f>
        <v>411.64357329340851</v>
      </c>
      <c r="T189" s="59">
        <f t="shared" si="142"/>
        <v>294.07942258675632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57.53246207518351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57.53246207518351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69.286254817727581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5.763922672485933E-13</v>
      </c>
      <c r="AK189" s="13">
        <f t="shared" si="164"/>
        <v>7.0619171555808457E-12</v>
      </c>
      <c r="AL189" s="20">
        <f t="shared" si="165"/>
        <v>1.3303388911427938E-11</v>
      </c>
      <c r="AM189" s="59">
        <f t="shared" si="113"/>
        <v>290.71626766501441</v>
      </c>
      <c r="AN189" s="59">
        <f ca="1">AVERAGE(OFFSET($AM$3,0,0,'Données projet'!$E$10+1,1))-AVERAGE(OFFSET($H$3,0,0,'Données projet'!$E$10+1,1))</f>
        <v>453.05577105995508</v>
      </c>
      <c r="AO189" s="59">
        <f t="shared" si="144"/>
        <v>322.6839824496758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64.476035084257362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64.476035084257362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69.286254817727581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2.0801282051282115</v>
      </c>
      <c r="BD189" s="12">
        <f>IF('Données projet'!$A$88&gt;35,BD188+BC189-BL188,IF(A189&lt;'Données projet'!$A$88,$BA$205^A189,IF(A189='Données projet'!$A$88,'Données projet'!$B$88,BD188+BC189-BL188)))</f>
        <v>140.10256410256443</v>
      </c>
      <c r="BE189" s="13">
        <f>BD189*VLOOKUP('Données projet'!$B$11,Paramètres!$A$1:$I$89,3,0)*VLOOKUP('Données projet'!$B$11,Paramètres!$A$1:$I$89,5,0)</f>
        <v>139.87840000000034</v>
      </c>
      <c r="BF189" s="13">
        <f t="shared" si="167"/>
        <v>36.269147233928258</v>
      </c>
      <c r="BG189" s="20">
        <f t="shared" si="168"/>
        <v>306.79031143242565</v>
      </c>
      <c r="BH189" s="59">
        <f t="shared" si="116"/>
        <v>597.50657909742677</v>
      </c>
      <c r="BI189" s="59">
        <f ca="1">AVERAGE(OFFSET($BH$3,0,0,'Données projet'!$E$11+1,1))-AVERAGE(OFFSET($H$3,0,0,'Données projet'!$E$11+1,1))</f>
        <v>411.38162678377478</v>
      </c>
      <c r="BJ189" s="59">
        <f t="shared" si="146"/>
        <v>177.89903563360403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114.19571837051592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114.19571837051592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69.286254817727581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212.00000000000009</v>
      </c>
      <c r="BZ189" s="13">
        <f>BY189*VLOOKUP('Données projet'!$B$12,Paramètres!$A$1:$I$89,3,0)*VLOOKUP('Données projet'!$B$12,Paramètres!$A$1:$I$89,5,0)</f>
        <v>221.58240000000012</v>
      </c>
      <c r="CA189" s="13">
        <f t="shared" si="170"/>
        <v>54.458668952651578</v>
      </c>
      <c r="CB189" s="20">
        <f t="shared" si="171"/>
        <v>480.77152842586838</v>
      </c>
      <c r="CC189" s="59">
        <f t="shared" si="119"/>
        <v>771.48779609086955</v>
      </c>
      <c r="CD189" s="59">
        <f ca="1">AVERAGE(OFFSET($CC$3,0,0,'Données projet'!$E$12+1,1))-AVERAGE(OFFSET($H$3,0,0,'Données projet'!$E$12+1,1))</f>
        <v>374.38550202939507</v>
      </c>
      <c r="CE189" s="59">
        <f t="shared" si="148"/>
        <v>324.37486924296718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3.2539072972549388</v>
      </c>
      <c r="CL189" s="21">
        <f>EXP(-LN(2)/25)*CL188+(1-EXP(-LN(2)/25))/(LN(2)/25)*Calculateur!CG189*Calculateur!CI189*VLOOKUP('Données projet'!$B$12,Paramètres!$A$1:$I$89,3,0)*0.475*44/12</f>
        <v>1.5419561390748358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4.7958634363297747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69.286254817727581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-4.5474735088646412E-13</v>
      </c>
      <c r="CU189" s="17">
        <f>CT189*VLOOKUP('Données projet'!$B$13,Paramètres!$A$1:$I$89,3,0)*VLOOKUP('Données projet'!$B$13,Paramètres!$A$1:$I$89,5,0)</f>
        <v>-4.3273757910355926E-13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392.81074187112989</v>
      </c>
      <c r="CZ189" s="59">
        <f t="shared" si="150"/>
        <v>236.19146849073687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91.116344595658944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91.116344595658944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69.286254817727581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-4.5474735088646412E-13</v>
      </c>
      <c r="DP189" s="17">
        <f>DO189*VLOOKUP('Données projet'!$B$14,Paramètres!$A$1:$I$89,3,0)*VLOOKUP('Données projet'!$B$14,Paramètres!$A$1:$I$89,5,0)</f>
        <v>-4.8949004849418999E-13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434.77799524785502</v>
      </c>
      <c r="DU189" s="59">
        <f t="shared" si="152"/>
        <v>259.85949838170006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103.0660291327945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103.0660291327945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69.286254817727581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-4.5474735088646412E-13</v>
      </c>
      <c r="EK189" s="17">
        <f>EJ189*VLOOKUP('Données projet'!$B$15,Paramètres!$A$1:$I$89,3,0)*VLOOKUP('Données projet'!$B$15,Paramètres!$A$1:$I$89,5,0)</f>
        <v>-4.3983163777738812E-13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398.06270423055565</v>
      </c>
      <c r="EP189" s="59">
        <f t="shared" si="154"/>
        <v>239.15364562040614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92.610055162800876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92.610055162800876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69.286254817727581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-1.7053025658242404E-13</v>
      </c>
      <c r="FF189" s="17">
        <f>FE189*VLOOKUP('Données projet'!$B$16,Paramètres!$A$1:$I$89,3,0)*VLOOKUP('Données projet'!$B$16,Paramètres!$A$1:$I$89,5,0)</f>
        <v>-1.0197709343628959E-13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334.13861979962491</v>
      </c>
      <c r="FK189" s="59">
        <f t="shared" si="156"/>
        <v>416.48635183664305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12.407115473760381</v>
      </c>
      <c r="FR189" s="21">
        <f>EXP(-LN(2)/25)*FR188+(1-EXP(-LN(2)/25))/(LN(2)/25)*Calculateur!FM189*Calculateur!FO189*VLOOKUP('Données projet'!$B$16,Paramètres!$A$1:$I$89,3,0)*0.475*44/12</f>
        <v>1.2024636788030183</v>
      </c>
      <c r="FS189" s="21">
        <f>EXP(-LN(2)/2)*FS188+(1-EXP(-LN(2)/2))/(LN(2)/2)*FM189*FP189*VLOOKUP('Données projet'!$B$16,Paramètres!$A$1:$I$89,3,0)*0.475*44/12</f>
        <v>1.0952168789612313E-18</v>
      </c>
      <c r="FT189" s="22">
        <f t="shared" si="184"/>
        <v>13.6095791525634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69.286254817727581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3.4106051316484809E-13</v>
      </c>
      <c r="GA189" s="17">
        <f>FZ189*VLOOKUP('Données projet'!$B$17,Paramètres!$A$1:$I$89,3,0)*VLOOKUP('Données projet'!$B$17,Paramètres!$A$1:$I$89,5,0)</f>
        <v>1.5961632016114892E-13</v>
      </c>
      <c r="GB189" s="13">
        <f t="shared" si="185"/>
        <v>2.2708641912150958E-12</v>
      </c>
      <c r="GC189" s="20">
        <f t="shared" si="186"/>
        <v>4.2330868906469593E-12</v>
      </c>
      <c r="GD189" s="59">
        <f t="shared" si="134"/>
        <v>290.71626766500532</v>
      </c>
      <c r="GE189" s="59">
        <f ca="1">AVERAGE(OFFSET($GD$3,0,0,'Données projet'!$E$17+1,1))-AVERAGE(OFFSET($H$3,0,0,'Données projet'!$E$17+1,1))</f>
        <v>317.79829681023142</v>
      </c>
      <c r="GF189" s="59">
        <f t="shared" si="158"/>
        <v>275.07716943523621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35.230322571400215</v>
      </c>
      <c r="GM189" s="21">
        <f>EXP(-LN(2)/25)*GM188+(1-EXP(-LN(2)/25))/(LN(2)/25)*Calculateur!GH189*Calculateur!GJ189*VLOOKUP('Données projet'!$B$17,Paramètres!$A$1:$I$89,3,0)*0.475*44/12</f>
        <v>4.6487571421884581</v>
      </c>
      <c r="GN189" s="21">
        <f>EXP(-LN(2)/2)*GN188+(1-EXP(-LN(2)/2))/(LN(2)/2)*GH189*GK189*VLOOKUP('Données projet'!$B$17,Paramètres!$A$1:$I$89,3,0)*0.475*44/12</f>
        <v>1.4268447990155882E-11</v>
      </c>
      <c r="GO189" s="21">
        <f t="shared" si="187"/>
        <v>39.879079713602941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69.286254817727581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>
        <f>GU189*VLOOKUP('Données projet'!$B$18,Paramètres!$A$1:$I$89,3,0)*VLOOKUP('Données projet'!$B$18,Paramètres!$A$1:$I$89,5,0)</f>
        <v>0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336.21787234885699</v>
      </c>
      <c r="HA189" s="59">
        <f t="shared" si="160"/>
        <v>315.36156736899113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21.15945262867929</v>
      </c>
      <c r="HH189" s="21">
        <f>EXP(-LN(2)/25)*HH188+(1-EXP(-LN(2)/25))/(LN(2)/25)*Calculateur!HC189*Calculateur!HE189*VLOOKUP('Données projet'!$B$18,Paramètres!$A$1:$I$89,3,0)*0.475*44/12</f>
        <v>2.2231309552787808</v>
      </c>
      <c r="HI189" s="21">
        <f>EXP(-LN(2)/2)*HI188+(1-EXP(-LN(2)/2))/(LN(2)/2)*HC189*HF189*VLOOKUP('Données projet'!$B$18,Paramètres!$A$1:$I$89,3,0)*0.475*44/12</f>
        <v>1.3819626106096636E-16</v>
      </c>
      <c r="HJ189" s="22">
        <f t="shared" si="190"/>
        <v>23.38258358395807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3.7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13.566666666666668</v>
      </c>
      <c r="H190" s="67">
        <f t="shared" si="110"/>
        <v>202.4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69.29863670094484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5.1431925385259092E-13</v>
      </c>
      <c r="P190" s="13">
        <f t="shared" si="141"/>
        <v>6.3855359115685756E-12</v>
      </c>
      <c r="Q190" s="20">
        <f t="shared" si="162"/>
        <v>1.2017247746441865E-11</v>
      </c>
      <c r="R190" s="59">
        <f t="shared" si="109"/>
        <v>290.76166790347639</v>
      </c>
      <c r="S190" s="59">
        <f ca="1">AVERAGE(OFFSET($R$3,0,0,'Données projet'!$E$9+1,1))-AVERAGE(OFFSET($H$3,0,0,'Données projet'!$E$9+1,1))</f>
        <v>411.64357329340851</v>
      </c>
      <c r="T190" s="59">
        <f t="shared" si="142"/>
        <v>294.07942258675632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56.404285585226049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56.404285585226049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69.29863670094484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5.763922672485933E-13</v>
      </c>
      <c r="AK190" s="13">
        <f t="shared" si="164"/>
        <v>7.0619171555808457E-12</v>
      </c>
      <c r="AL190" s="20">
        <f t="shared" si="165"/>
        <v>1.3303388911427938E-11</v>
      </c>
      <c r="AM190" s="59">
        <f t="shared" si="113"/>
        <v>290.7616679034777</v>
      </c>
      <c r="AN190" s="59">
        <f ca="1">AVERAGE(OFFSET($AM$3,0,0,'Données projet'!$E$10+1,1))-AVERAGE(OFFSET($H$3,0,0,'Données projet'!$E$10+1,1))</f>
        <v>453.05577105995508</v>
      </c>
      <c r="AO190" s="59">
        <f t="shared" si="144"/>
        <v>322.6839824496758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63.211699362753308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63.211699362753308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69.29863670094484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2.0801282051282115</v>
      </c>
      <c r="BD190" s="12">
        <f>IF('Données projet'!$A$88&gt;35,BD189+BC190-BL189,IF(A190&lt;'Données projet'!$A$88,$BA$205^A190,IF(A190='Données projet'!$A$88,'Données projet'!$B$88,BD189+BC190-BL189)))</f>
        <v>142.18269230769263</v>
      </c>
      <c r="BE190" s="13">
        <f>BD190*VLOOKUP('Données projet'!$B$11,Paramètres!$A$1:$I$89,3,0)*VLOOKUP('Données projet'!$B$11,Paramètres!$A$1:$I$89,5,0)</f>
        <v>141.95520000000033</v>
      </c>
      <c r="BF190" s="13">
        <f t="shared" si="167"/>
        <v>36.744552175025881</v>
      </c>
      <c r="BG190" s="20">
        <f t="shared" si="168"/>
        <v>311.23540170483733</v>
      </c>
      <c r="BH190" s="59">
        <f t="shared" si="116"/>
        <v>601.99706960830167</v>
      </c>
      <c r="BI190" s="59">
        <f ca="1">AVERAGE(OFFSET($BH$3,0,0,'Données projet'!$E$11+1,1))-AVERAGE(OFFSET($H$3,0,0,'Données projet'!$E$11+1,1))</f>
        <v>411.38162678377478</v>
      </c>
      <c r="BJ190" s="59">
        <f t="shared" si="146"/>
        <v>177.89903563360403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111.9564099857807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111.9564099857807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69.29863670094484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212.00000000000009</v>
      </c>
      <c r="BZ190" s="13">
        <f>BY190*VLOOKUP('Données projet'!$B$12,Paramètres!$A$1:$I$89,3,0)*VLOOKUP('Données projet'!$B$12,Paramètres!$A$1:$I$89,5,0)</f>
        <v>221.58240000000012</v>
      </c>
      <c r="CA190" s="13">
        <f t="shared" si="170"/>
        <v>54.458668952651578</v>
      </c>
      <c r="CB190" s="20">
        <f t="shared" si="171"/>
        <v>480.77152842586838</v>
      </c>
      <c r="CC190" s="59">
        <f t="shared" si="119"/>
        <v>771.53319632933278</v>
      </c>
      <c r="CD190" s="59">
        <f ca="1">AVERAGE(OFFSET($CC$3,0,0,'Données projet'!$E$12+1,1))-AVERAGE(OFFSET($H$3,0,0,'Données projet'!$E$12+1,1))</f>
        <v>374.38550202939507</v>
      </c>
      <c r="CE190" s="59">
        <f t="shared" si="148"/>
        <v>324.37486924296718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3.190100159843249</v>
      </c>
      <c r="CL190" s="21">
        <f>EXP(-LN(2)/25)*CL189+(1-EXP(-LN(2)/25))/(LN(2)/25)*Calculateur!CG190*Calculateur!CI190*VLOOKUP('Données projet'!$B$12,Paramètres!$A$1:$I$89,3,0)*0.475*44/12</f>
        <v>1.4997912673638851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4.6898914272071339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69.29863670094484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-4.5474735088646412E-13</v>
      </c>
      <c r="CU190" s="17">
        <f>CT190*VLOOKUP('Données projet'!$B$13,Paramètres!$A$1:$I$89,3,0)*VLOOKUP('Données projet'!$B$13,Paramètres!$A$1:$I$89,5,0)</f>
        <v>-4.3273757910355926E-13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392.81074187112989</v>
      </c>
      <c r="CZ190" s="59">
        <f t="shared" si="150"/>
        <v>236.19146849073687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89.329608653620653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89.329608653620653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69.29863670094484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-4.5474735088646412E-13</v>
      </c>
      <c r="DP190" s="17">
        <f>DO190*VLOOKUP('Données projet'!$B$14,Paramètres!$A$1:$I$89,3,0)*VLOOKUP('Données projet'!$B$14,Paramètres!$A$1:$I$89,5,0)</f>
        <v>-4.8949004849418999E-13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434.77799524785502</v>
      </c>
      <c r="DU190" s="59">
        <f t="shared" si="152"/>
        <v>259.85949838170006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101.04496716557085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101.04496716557085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69.29863670094484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-4.5474735088646412E-13</v>
      </c>
      <c r="EK190" s="17">
        <f>EJ190*VLOOKUP('Données projet'!$B$15,Paramètres!$A$1:$I$89,3,0)*VLOOKUP('Données projet'!$B$15,Paramètres!$A$1:$I$89,5,0)</f>
        <v>-4.3983163777738812E-13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398.06270423055565</v>
      </c>
      <c r="EP190" s="59">
        <f t="shared" si="154"/>
        <v>239.15364562040614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90.79402846761441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90.79402846761441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69.29863670094484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-1.7053025658242404E-13</v>
      </c>
      <c r="FF190" s="17">
        <f>FE190*VLOOKUP('Données projet'!$B$16,Paramètres!$A$1:$I$89,3,0)*VLOOKUP('Données projet'!$B$16,Paramètres!$A$1:$I$89,5,0)</f>
        <v>-1.0197709343628959E-13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334.13861979962491</v>
      </c>
      <c r="FK190" s="59">
        <f t="shared" si="156"/>
        <v>416.48635183664305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12.163819506913141</v>
      </c>
      <c r="FR190" s="21">
        <f>EXP(-LN(2)/25)*FR189+(1-EXP(-LN(2)/25))/(LN(2)/25)*Calculateur!FM190*Calculateur!FO190*VLOOKUP('Données projet'!$B$16,Paramètres!$A$1:$I$89,3,0)*0.475*44/12</f>
        <v>1.1695822462713332</v>
      </c>
      <c r="FS190" s="21">
        <f>EXP(-LN(2)/2)*FS189+(1-EXP(-LN(2)/2))/(LN(2)/2)*FM190*FP190*VLOOKUP('Données projet'!$B$16,Paramètres!$A$1:$I$89,3,0)*0.475*44/12</f>
        <v>7.7443528198345292E-19</v>
      </c>
      <c r="FT190" s="22">
        <f t="shared" si="184"/>
        <v>13.333401753184475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69.29863670094484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3.4106051316484809E-13</v>
      </c>
      <c r="GA190" s="17">
        <f>FZ190*VLOOKUP('Données projet'!$B$17,Paramètres!$A$1:$I$89,3,0)*VLOOKUP('Données projet'!$B$17,Paramètres!$A$1:$I$89,5,0)</f>
        <v>1.5961632016114892E-13</v>
      </c>
      <c r="GB190" s="13">
        <f t="shared" si="185"/>
        <v>2.2708641912150958E-12</v>
      </c>
      <c r="GC190" s="20">
        <f t="shared" si="186"/>
        <v>4.2330868906469593E-12</v>
      </c>
      <c r="GD190" s="59">
        <f t="shared" si="134"/>
        <v>290.76166790346861</v>
      </c>
      <c r="GE190" s="59">
        <f ca="1">AVERAGE(OFFSET($GD$3,0,0,'Données projet'!$E$17+1,1))-AVERAGE(OFFSET($H$3,0,0,'Données projet'!$E$17+1,1))</f>
        <v>317.79829681023142</v>
      </c>
      <c r="GF190" s="59">
        <f t="shared" si="158"/>
        <v>275.07716943523621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34.539477434150022</v>
      </c>
      <c r="GM190" s="21">
        <f>EXP(-LN(2)/25)*GM189+(1-EXP(-LN(2)/25))/(LN(2)/25)*Calculateur!GH190*Calculateur!GJ190*VLOOKUP('Données projet'!$B$17,Paramètres!$A$1:$I$89,3,0)*0.475*44/12</f>
        <v>4.5216366336678018</v>
      </c>
      <c r="GN190" s="21">
        <f>EXP(-LN(2)/2)*GN189+(1-EXP(-LN(2)/2))/(LN(2)/2)*GH190*GK190*VLOOKUP('Données projet'!$B$17,Paramètres!$A$1:$I$89,3,0)*0.475*44/12</f>
        <v>1.008931633084679E-11</v>
      </c>
      <c r="GO190" s="21">
        <f t="shared" si="187"/>
        <v>39.061114067827916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69.29863670094484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>
        <f>GU190*VLOOKUP('Données projet'!$B$18,Paramètres!$A$1:$I$89,3,0)*VLOOKUP('Données projet'!$B$18,Paramètres!$A$1:$I$89,5,0)</f>
        <v>0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336.21787234885699</v>
      </c>
      <c r="HA190" s="59">
        <f t="shared" si="160"/>
        <v>315.36156736899113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20.744528668622632</v>
      </c>
      <c r="HH190" s="21">
        <f>EXP(-LN(2)/25)*HH189+(1-EXP(-LN(2)/25))/(LN(2)/25)*Calculateur!HC190*Calculateur!HE190*VLOOKUP('Données projet'!$B$18,Paramètres!$A$1:$I$89,3,0)*0.475*44/12</f>
        <v>2.1623393223973064</v>
      </c>
      <c r="HI190" s="21">
        <f>EXP(-LN(2)/2)*HI189+(1-EXP(-LN(2)/2))/(LN(2)/2)*HC190*HF190*VLOOKUP('Données projet'!$B$18,Paramètres!$A$1:$I$89,3,0)*0.475*44/12</f>
        <v>9.771951333083574E-17</v>
      </c>
      <c r="HJ190" s="22">
        <f t="shared" si="190"/>
        <v>22.906867991019936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3.7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13.566666666666668</v>
      </c>
      <c r="H191" s="67">
        <f t="shared" si="110"/>
        <v>202.4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69.310803786170013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5.1431925385259092E-13</v>
      </c>
      <c r="P191" s="13">
        <f t="shared" si="141"/>
        <v>6.3855359115685756E-12</v>
      </c>
      <c r="Q191" s="20">
        <f t="shared" si="162"/>
        <v>1.2017247746441865E-11</v>
      </c>
      <c r="R191" s="59">
        <f t="shared" si="109"/>
        <v>290.80628054930207</v>
      </c>
      <c r="S191" s="59">
        <f ca="1">AVERAGE(OFFSET($R$3,0,0,'Données projet'!$E$9+1,1))-AVERAGE(OFFSET($H$3,0,0,'Données projet'!$E$9+1,1))</f>
        <v>411.64357329340851</v>
      </c>
      <c r="T191" s="59">
        <f t="shared" si="142"/>
        <v>294.07942258675632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55.298231948116936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55.298231948116936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69.310803786170013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5.763922672485933E-13</v>
      </c>
      <c r="AK191" s="13">
        <f t="shared" si="164"/>
        <v>7.0619171555808457E-12</v>
      </c>
      <c r="AL191" s="20">
        <f t="shared" si="165"/>
        <v>1.3303388911427938E-11</v>
      </c>
      <c r="AM191" s="59">
        <f t="shared" si="113"/>
        <v>290.80628054930338</v>
      </c>
      <c r="AN191" s="59">
        <f ca="1">AVERAGE(OFFSET($AM$3,0,0,'Données projet'!$E$10+1,1))-AVERAGE(OFFSET($H$3,0,0,'Données projet'!$E$10+1,1))</f>
        <v>453.05577105995508</v>
      </c>
      <c r="AO191" s="59">
        <f t="shared" si="144"/>
        <v>322.6839824496758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61.972156493579305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61.972156493579305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69.310803786170013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>
        <f>VLOOKUP(A191,'Données projet'!$A$87:$I$107,2,0)</f>
        <v>144.26282051282053</v>
      </c>
      <c r="BB191" s="12">
        <f>VLOOKUP(A191,'Données projet'!$A$87:$I$107,9,0)</f>
        <v>2.0801282051282115</v>
      </c>
      <c r="BC191" s="12">
        <f t="array" ref="BC191">INDEX(BB:BB,MIN(IF(ISNUMBER(BB191:BB387),ROW(BB191:BB387),"")))</f>
        <v>2.0801282051282115</v>
      </c>
      <c r="BD191" s="12">
        <f>IF('Données projet'!$A$88&gt;35,BD190+BC191-BL190,IF(A191&lt;'Données projet'!$A$88,$BA$205^A191,IF(A191='Données projet'!$A$88,'Données projet'!$B$88,BD190+BC191-BL190)))</f>
        <v>144.26282051282084</v>
      </c>
      <c r="BE191" s="13">
        <f>BD191*VLOOKUP('Données projet'!$B$11,Paramètres!$A$1:$I$89,3,0)*VLOOKUP('Données projet'!$B$11,Paramètres!$A$1:$I$89,5,0)</f>
        <v>144.03200000000032</v>
      </c>
      <c r="BF191" s="13">
        <f t="shared" si="167"/>
        <v>37.219148194046376</v>
      </c>
      <c r="BG191" s="20">
        <f t="shared" si="168"/>
        <v>315.67908310463127</v>
      </c>
      <c r="BH191" s="59">
        <f t="shared" si="116"/>
        <v>606.48536365392135</v>
      </c>
      <c r="BI191" s="59">
        <f ca="1">AVERAGE(OFFSET($BH$3,0,0,'Données projet'!$E$11+1,1))-AVERAGE(OFFSET($H$3,0,0,'Données projet'!$E$11+1,1))</f>
        <v>411.38162678377478</v>
      </c>
      <c r="BJ191" s="59">
        <f t="shared" si="146"/>
        <v>177.89903563360403</v>
      </c>
      <c r="BK191" s="15">
        <f>IF(ISNA(VLOOKUP(A191,'Données projet'!$A$87:$I$107,3,0)),0,VLOOKUP(A191,'Données projet'!$A$87:$I$107,3,0))</f>
        <v>15</v>
      </c>
      <c r="BL191" s="15">
        <f>IF(ISNA(VLOOKUP(A191,'Données projet'!$A$87:$I$107,4,0)),0,VLOOKUP(A191,'Données projet'!$A$87:$I$107,4,0))</f>
        <v>49.307692307692307</v>
      </c>
      <c r="BM191" s="16">
        <f>IF(ISNA(VLOOKUP(A191,'Données projet'!$A$87:$I$107,5,0)),0%,VLOOKUP(A191,'Données projet'!$A$87:$I$107,5,0)*VLOOKUP('Données projet'!$B$11,Paramètres!$A$1:$I$89,7,0))</f>
        <v>0.38700000000000001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130.8219324177482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130.8219324177482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69.310803786170013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212.00000000000009</v>
      </c>
      <c r="BZ191" s="13">
        <f>BY191*VLOOKUP('Données projet'!$B$12,Paramètres!$A$1:$I$89,3,0)*VLOOKUP('Données projet'!$B$12,Paramètres!$A$1:$I$89,5,0)</f>
        <v>221.58240000000012</v>
      </c>
      <c r="CA191" s="13">
        <f t="shared" si="170"/>
        <v>54.458668952651578</v>
      </c>
      <c r="CB191" s="20">
        <f t="shared" si="171"/>
        <v>480.77152842586838</v>
      </c>
      <c r="CC191" s="59">
        <f t="shared" si="119"/>
        <v>771.5778089751584</v>
      </c>
      <c r="CD191" s="59">
        <f ca="1">AVERAGE(OFFSET($CC$3,0,0,'Données projet'!$E$12+1,1))-AVERAGE(OFFSET($H$3,0,0,'Données projet'!$E$12+1,1))</f>
        <v>374.38550202939507</v>
      </c>
      <c r="CE191" s="59">
        <f t="shared" si="148"/>
        <v>324.37486924296718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3.1275442414776915</v>
      </c>
      <c r="CL191" s="21">
        <f>EXP(-LN(2)/25)*CL190+(1-EXP(-LN(2)/25))/(LN(2)/25)*Calculateur!CG191*Calculateur!CI191*VLOOKUP('Données projet'!$B$12,Paramètres!$A$1:$I$89,3,0)*0.475*44/12</f>
        <v>1.4587793962872249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4.5863236377649166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69.310803786170013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-4.5474735088646412E-13</v>
      </c>
      <c r="CU191" s="17">
        <f>CT191*VLOOKUP('Données projet'!$B$13,Paramètres!$A$1:$I$89,3,0)*VLOOKUP('Données projet'!$B$13,Paramètres!$A$1:$I$89,5,0)</f>
        <v>-4.3273757910355926E-13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392.81074187112989</v>
      </c>
      <c r="CZ191" s="59">
        <f t="shared" si="150"/>
        <v>236.19146849073687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87.577909513604411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87.577909513604411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69.310803786170013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-4.5474735088646412E-13</v>
      </c>
      <c r="DP191" s="17">
        <f>DO191*VLOOKUP('Données projet'!$B$14,Paramètres!$A$1:$I$89,3,0)*VLOOKUP('Données projet'!$B$14,Paramètres!$A$1:$I$89,5,0)</f>
        <v>-4.8949004849418999E-13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434.77799524785502</v>
      </c>
      <c r="DU191" s="59">
        <f t="shared" si="152"/>
        <v>259.85949838170006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99.063536990798383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99.063536990798383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69.310803786170013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-4.5474735088646412E-13</v>
      </c>
      <c r="EK191" s="17">
        <f>EJ191*VLOOKUP('Données projet'!$B$15,Paramètres!$A$1:$I$89,3,0)*VLOOKUP('Données projet'!$B$15,Paramètres!$A$1:$I$89,5,0)</f>
        <v>-4.3983163777738812E-13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398.06270423055565</v>
      </c>
      <c r="EP191" s="59">
        <f t="shared" si="154"/>
        <v>239.15364562040614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89.013612948253652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89.013612948253652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69.310803786170013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-1.7053025658242404E-13</v>
      </c>
      <c r="FF191" s="17">
        <f>FE191*VLOOKUP('Données projet'!$B$16,Paramètres!$A$1:$I$89,3,0)*VLOOKUP('Données projet'!$B$16,Paramètres!$A$1:$I$89,5,0)</f>
        <v>-1.0197709343628959E-13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334.13861979962491</v>
      </c>
      <c r="FK191" s="59">
        <f t="shared" si="156"/>
        <v>416.48635183664305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11.925294425579889</v>
      </c>
      <c r="FR191" s="21">
        <f>EXP(-LN(2)/25)*FR190+(1-EXP(-LN(2)/25))/(LN(2)/25)*Calculateur!FM191*Calculateur!FO191*VLOOKUP('Données projet'!$B$16,Paramètres!$A$1:$I$89,3,0)*0.475*44/12</f>
        <v>1.1375999582413865</v>
      </c>
      <c r="FS191" s="21">
        <f>EXP(-LN(2)/2)*FS190+(1-EXP(-LN(2)/2))/(LN(2)/2)*FM191*FP191*VLOOKUP('Données projet'!$B$16,Paramètres!$A$1:$I$89,3,0)*0.475*44/12</f>
        <v>5.4760843948061567E-19</v>
      </c>
      <c r="FT191" s="22">
        <f t="shared" si="184"/>
        <v>13.062894383821275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69.310803786170013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3.4106051316484809E-13</v>
      </c>
      <c r="GA191" s="17">
        <f>FZ191*VLOOKUP('Données projet'!$B$17,Paramètres!$A$1:$I$89,3,0)*VLOOKUP('Données projet'!$B$17,Paramètres!$A$1:$I$89,5,0)</f>
        <v>1.5961632016114892E-13</v>
      </c>
      <c r="GB191" s="13">
        <f t="shared" si="185"/>
        <v>2.2708641912150958E-12</v>
      </c>
      <c r="GC191" s="20">
        <f t="shared" si="186"/>
        <v>4.2330868906469593E-12</v>
      </c>
      <c r="GD191" s="59">
        <f t="shared" si="134"/>
        <v>290.80628054929429</v>
      </c>
      <c r="GE191" s="59">
        <f ca="1">AVERAGE(OFFSET($GD$3,0,0,'Données projet'!$E$17+1,1))-AVERAGE(OFFSET($H$3,0,0,'Données projet'!$E$17+1,1))</f>
        <v>317.79829681023142</v>
      </c>
      <c r="GF191" s="59">
        <f t="shared" si="158"/>
        <v>275.07716943523621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33.862179348667382</v>
      </c>
      <c r="GM191" s="21">
        <f>EXP(-LN(2)/25)*GM190+(1-EXP(-LN(2)/25))/(LN(2)/25)*Calculateur!GH191*Calculateur!GJ191*VLOOKUP('Données projet'!$B$17,Paramètres!$A$1:$I$89,3,0)*0.475*44/12</f>
        <v>4.3979922421376196</v>
      </c>
      <c r="GN191" s="21">
        <f>EXP(-LN(2)/2)*GN190+(1-EXP(-LN(2)/2))/(LN(2)/2)*GH191*GK191*VLOOKUP('Données projet'!$B$17,Paramètres!$A$1:$I$89,3,0)*0.475*44/12</f>
        <v>7.1342239950779419E-12</v>
      </c>
      <c r="GO191" s="21">
        <f t="shared" si="187"/>
        <v>38.260171590812135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69.310803786170013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>
        <f>GU191*VLOOKUP('Données projet'!$B$18,Paramètres!$A$1:$I$89,3,0)*VLOOKUP('Données projet'!$B$18,Paramètres!$A$1:$I$89,5,0)</f>
        <v>0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336.21787234885699</v>
      </c>
      <c r="HA191" s="59">
        <f t="shared" si="160"/>
        <v>315.36156736899113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20.337741114344059</v>
      </c>
      <c r="HH191" s="21">
        <f>EXP(-LN(2)/25)*HH190+(1-EXP(-LN(2)/25))/(LN(2)/25)*Calculateur!HC191*Calculateur!HE191*VLOOKUP('Données projet'!$B$18,Paramètres!$A$1:$I$89,3,0)*0.475*44/12</f>
        <v>2.1032100399138693</v>
      </c>
      <c r="HI191" s="21">
        <f>EXP(-LN(2)/2)*HI190+(1-EXP(-LN(2)/2))/(LN(2)/2)*HC191*HF191*VLOOKUP('Données projet'!$B$18,Paramètres!$A$1:$I$89,3,0)*0.475*44/12</f>
        <v>6.909813053048318E-17</v>
      </c>
      <c r="HJ191" s="22">
        <f t="shared" si="190"/>
        <v>22.440951154257927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3.7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13.566666666666668</v>
      </c>
      <c r="H192" s="67">
        <f t="shared" si="110"/>
        <v>202.4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69.322759799668049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5.1431925385259092E-13</v>
      </c>
      <c r="P192" s="13">
        <f t="shared" si="141"/>
        <v>6.3855359115685756E-12</v>
      </c>
      <c r="Q192" s="20">
        <f t="shared" si="162"/>
        <v>1.2017247746441865E-11</v>
      </c>
      <c r="R192" s="59">
        <f t="shared" si="109"/>
        <v>290.8501192654615</v>
      </c>
      <c r="S192" s="59">
        <f ca="1">AVERAGE(OFFSET($R$3,0,0,'Données projet'!$E$9+1,1))-AVERAGE(OFFSET($H$3,0,0,'Données projet'!$E$9+1,1))</f>
        <v>411.64357329340851</v>
      </c>
      <c r="T192" s="59">
        <f t="shared" si="142"/>
        <v>294.07942258675632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54.213867348205426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54.213867348205426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69.322759799668049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5.763922672485933E-13</v>
      </c>
      <c r="AK192" s="13">
        <f t="shared" si="164"/>
        <v>7.0619171555808457E-12</v>
      </c>
      <c r="AL192" s="20">
        <f t="shared" si="165"/>
        <v>1.3303388911427938E-11</v>
      </c>
      <c r="AM192" s="59">
        <f t="shared" si="113"/>
        <v>290.85011926546281</v>
      </c>
      <c r="AN192" s="59">
        <f ca="1">AVERAGE(OFFSET($AM$3,0,0,'Données projet'!$E$10+1,1))-AVERAGE(OFFSET($H$3,0,0,'Données projet'!$E$10+1,1))</f>
        <v>453.05577105995508</v>
      </c>
      <c r="AO192" s="59">
        <f t="shared" si="144"/>
        <v>322.6839824496758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60.756920304023311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60.756920304023311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69.322759799668049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1.3354700854700781</v>
      </c>
      <c r="BD192" s="12">
        <f>IF('Données projet'!$A$88&gt;35,BD191+BC192-BL191,IF(A192&lt;'Données projet'!$A$88,$BA$205^A192,IF(A192='Données projet'!$A$88,'Données projet'!$B$88,BD191+BC192-BL191)))</f>
        <v>96.290598290598624</v>
      </c>
      <c r="BE192" s="13">
        <f>BD192*VLOOKUP('Données projet'!$B$11,Paramètres!$A$1:$I$89,3,0)*VLOOKUP('Données projet'!$B$11,Paramètres!$A$1:$I$89,5,0)</f>
        <v>96.136533333333674</v>
      </c>
      <c r="BF192" s="13">
        <f t="shared" si="167"/>
        <v>26.039479918861975</v>
      </c>
      <c r="BG192" s="20">
        <f t="shared" si="168"/>
        <v>212.78988974757408</v>
      </c>
      <c r="BH192" s="59">
        <f t="shared" si="116"/>
        <v>503.64000901302359</v>
      </c>
      <c r="BI192" s="59">
        <f ca="1">AVERAGE(OFFSET($BH$3,0,0,'Données projet'!$E$11+1,1))-AVERAGE(OFFSET($H$3,0,0,'Données projet'!$E$11+1,1))</f>
        <v>411.38162678377478</v>
      </c>
      <c r="BJ192" s="59">
        <f t="shared" si="146"/>
        <v>177.89903563360403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128.25659411653598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128.25659411653598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69.322759799668049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212.00000000000009</v>
      </c>
      <c r="BZ192" s="13">
        <f>BY192*VLOOKUP('Données projet'!$B$12,Paramètres!$A$1:$I$89,3,0)*VLOOKUP('Données projet'!$B$12,Paramètres!$A$1:$I$89,5,0)</f>
        <v>221.58240000000012</v>
      </c>
      <c r="CA192" s="13">
        <f t="shared" si="170"/>
        <v>54.458668952651578</v>
      </c>
      <c r="CB192" s="20">
        <f t="shared" si="171"/>
        <v>480.77152842586838</v>
      </c>
      <c r="CC192" s="59">
        <f t="shared" si="119"/>
        <v>771.62164769131789</v>
      </c>
      <c r="CD192" s="59">
        <f ca="1">AVERAGE(OFFSET($CC$3,0,0,'Données projet'!$E$12+1,1))-AVERAGE(OFFSET($H$3,0,0,'Données projet'!$E$12+1,1))</f>
        <v>374.38550202939507</v>
      </c>
      <c r="CE192" s="59">
        <f t="shared" si="148"/>
        <v>324.37486924296718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3.0662150065159399</v>
      </c>
      <c r="CL192" s="21">
        <f>EXP(-LN(2)/25)*CL191+(1-EXP(-LN(2)/25))/(LN(2)/25)*Calculateur!CG192*Calculateur!CI192*VLOOKUP('Données projet'!$B$12,Paramètres!$A$1:$I$89,3,0)*0.475*44/12</f>
        <v>1.4188889969818763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4.485104003497816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69.322759799668049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-4.5474735088646412E-13</v>
      </c>
      <c r="CU192" s="17">
        <f>CT192*VLOOKUP('Données projet'!$B$13,Paramètres!$A$1:$I$89,3,0)*VLOOKUP('Données projet'!$B$13,Paramètres!$A$1:$I$89,5,0)</f>
        <v>-4.3273757910355926E-13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392.81074187112989</v>
      </c>
      <c r="CZ192" s="59">
        <f t="shared" si="150"/>
        <v>236.19146849073687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85.86056012529292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85.86056012529292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69.322759799668049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-4.5474735088646412E-13</v>
      </c>
      <c r="DP192" s="17">
        <f>DO192*VLOOKUP('Données projet'!$B$14,Paramètres!$A$1:$I$89,3,0)*VLOOKUP('Données projet'!$B$14,Paramètres!$A$1:$I$89,5,0)</f>
        <v>-4.8949004849418999E-13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434.77799524785502</v>
      </c>
      <c r="DU192" s="59">
        <f t="shared" si="152"/>
        <v>259.85949838170006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97.120961453200138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97.120961453200138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69.322759799668049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-4.5474735088646412E-13</v>
      </c>
      <c r="EK192" s="17">
        <f>EJ192*VLOOKUP('Données projet'!$B$15,Paramètres!$A$1:$I$89,3,0)*VLOOKUP('Données projet'!$B$15,Paramètres!$A$1:$I$89,5,0)</f>
        <v>-4.3983163777738812E-13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398.06270423055565</v>
      </c>
      <c r="EP192" s="59">
        <f t="shared" si="154"/>
        <v>239.15364562040614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87.268110291281317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87.268110291281317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69.322759799668049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-1.7053025658242404E-13</v>
      </c>
      <c r="FF192" s="17">
        <f>FE192*VLOOKUP('Données projet'!$B$16,Paramètres!$A$1:$I$89,3,0)*VLOOKUP('Données projet'!$B$16,Paramètres!$A$1:$I$89,5,0)</f>
        <v>-1.0197709343628959E-13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334.13861979962491</v>
      </c>
      <c r="FK192" s="59">
        <f t="shared" si="156"/>
        <v>416.48635183664305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11.691446675605647</v>
      </c>
      <c r="FR192" s="21">
        <f>EXP(-LN(2)/25)*FR191+(1-EXP(-LN(2)/25))/(LN(2)/25)*Calculateur!FM192*Calculateur!FO192*VLOOKUP('Données projet'!$B$16,Paramètres!$A$1:$I$89,3,0)*0.475*44/12</f>
        <v>1.1064922275594939</v>
      </c>
      <c r="FS192" s="21">
        <f>EXP(-LN(2)/2)*FS191+(1-EXP(-LN(2)/2))/(LN(2)/2)*FM192*FP192*VLOOKUP('Données projet'!$B$16,Paramètres!$A$1:$I$89,3,0)*0.475*44/12</f>
        <v>3.8721764099172646E-19</v>
      </c>
      <c r="FT192" s="22">
        <f t="shared" si="184"/>
        <v>12.797938903165141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69.322759799668049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3.4106051316484809E-13</v>
      </c>
      <c r="GA192" s="17">
        <f>FZ192*VLOOKUP('Données projet'!$B$17,Paramètres!$A$1:$I$89,3,0)*VLOOKUP('Données projet'!$B$17,Paramètres!$A$1:$I$89,5,0)</f>
        <v>1.5961632016114892E-13</v>
      </c>
      <c r="GB192" s="13">
        <f t="shared" si="185"/>
        <v>2.2708641912150958E-12</v>
      </c>
      <c r="GC192" s="20">
        <f t="shared" si="186"/>
        <v>4.2330868906469593E-12</v>
      </c>
      <c r="GD192" s="59">
        <f t="shared" si="134"/>
        <v>290.85011926545371</v>
      </c>
      <c r="GE192" s="59">
        <f ca="1">AVERAGE(OFFSET($GD$3,0,0,'Données projet'!$E$17+1,1))-AVERAGE(OFFSET($H$3,0,0,'Données projet'!$E$17+1,1))</f>
        <v>317.79829681023142</v>
      </c>
      <c r="GF192" s="59">
        <f t="shared" si="158"/>
        <v>275.07716943523621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33.198162665530013</v>
      </c>
      <c r="GM192" s="21">
        <f>EXP(-LN(2)/25)*GM191+(1-EXP(-LN(2)/25))/(LN(2)/25)*Calculateur!GH192*Calculateur!GJ192*VLOOKUP('Données projet'!$B$17,Paramètres!$A$1:$I$89,3,0)*0.475*44/12</f>
        <v>4.2777289129960065</v>
      </c>
      <c r="GN192" s="21">
        <f>EXP(-LN(2)/2)*GN191+(1-EXP(-LN(2)/2))/(LN(2)/2)*GH192*GK192*VLOOKUP('Données projet'!$B$17,Paramètres!$A$1:$I$89,3,0)*0.475*44/12</f>
        <v>5.0446581654233958E-12</v>
      </c>
      <c r="GO192" s="21">
        <f t="shared" si="187"/>
        <v>37.475891578531062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69.322759799668049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>
        <f>GU192*VLOOKUP('Données projet'!$B$18,Paramètres!$A$1:$I$89,3,0)*VLOOKUP('Données projet'!$B$18,Paramètres!$A$1:$I$89,5,0)</f>
        <v>0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336.21787234885699</v>
      </c>
      <c r="HA192" s="59">
        <f t="shared" si="160"/>
        <v>315.36156736899113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19.938930415888979</v>
      </c>
      <c r="HH192" s="21">
        <f>EXP(-LN(2)/25)*HH191+(1-EXP(-LN(2)/25))/(LN(2)/25)*Calculateur!HC192*Calculateur!HE192*VLOOKUP('Données projet'!$B$18,Paramètres!$A$1:$I$89,3,0)*0.475*44/12</f>
        <v>2.0456976507694153</v>
      </c>
      <c r="HI192" s="21">
        <f>EXP(-LN(2)/2)*HI191+(1-EXP(-LN(2)/2))/(LN(2)/2)*HC192*HF192*VLOOKUP('Données projet'!$B$18,Paramètres!$A$1:$I$89,3,0)*0.475*44/12</f>
        <v>4.885975666541787E-17</v>
      </c>
      <c r="HJ192" s="22">
        <f t="shared" si="190"/>
        <v>21.984628066658395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3.7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13.566666666666668</v>
      </c>
      <c r="H193" s="67">
        <f t="shared" si="110"/>
        <v>202.4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69.334508403061548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5.1431925385259092E-13</v>
      </c>
      <c r="P193" s="13">
        <f t="shared" si="141"/>
        <v>6.3855359115685756E-12</v>
      </c>
      <c r="Q193" s="20">
        <f t="shared" si="162"/>
        <v>1.2017247746441865E-11</v>
      </c>
      <c r="R193" s="59">
        <f t="shared" si="109"/>
        <v>290.89319747790432</v>
      </c>
      <c r="S193" s="59">
        <f ca="1">AVERAGE(OFFSET($R$3,0,0,'Données projet'!$E$9+1,1))-AVERAGE(OFFSET($H$3,0,0,'Données projet'!$E$9+1,1))</f>
        <v>411.64357329340851</v>
      </c>
      <c r="T193" s="59">
        <f t="shared" si="142"/>
        <v>294.07942258675632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53.150766476701087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53.150766476701087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69.334508403061548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5.763922672485933E-13</v>
      </c>
      <c r="AK193" s="13">
        <f t="shared" si="164"/>
        <v>7.0619171555808457E-12</v>
      </c>
      <c r="AL193" s="20">
        <f t="shared" si="165"/>
        <v>1.3303388911427938E-11</v>
      </c>
      <c r="AM193" s="59">
        <f t="shared" si="113"/>
        <v>290.89319747790563</v>
      </c>
      <c r="AN193" s="59">
        <f ca="1">AVERAGE(OFFSET($AM$3,0,0,'Données projet'!$E$10+1,1))-AVERAGE(OFFSET($H$3,0,0,'Données projet'!$E$10+1,1))</f>
        <v>453.05577105995508</v>
      </c>
      <c r="AO193" s="59">
        <f t="shared" si="144"/>
        <v>322.6839824496758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59.565514154923619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59.565514154923619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69.334508403061548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1.3354700854700781</v>
      </c>
      <c r="BD193" s="12">
        <f>IF('Données projet'!$A$88&gt;35,BD192+BC193-BL192,IF(A193&lt;'Données projet'!$A$88,$BA$205^A193,IF(A193='Données projet'!$A$88,'Données projet'!$B$88,BD192+BC193-BL192)))</f>
        <v>97.626068376068702</v>
      </c>
      <c r="BE193" s="13">
        <f>BD193*VLOOKUP('Données projet'!$B$11,Paramètres!$A$1:$I$89,3,0)*VLOOKUP('Données projet'!$B$11,Paramètres!$A$1:$I$89,5,0)</f>
        <v>97.469866666667002</v>
      </c>
      <c r="BF193" s="13">
        <f t="shared" si="167"/>
        <v>26.358332099949532</v>
      </c>
      <c r="BG193" s="20">
        <f t="shared" si="168"/>
        <v>215.66744618519044</v>
      </c>
      <c r="BH193" s="59">
        <f t="shared" si="116"/>
        <v>506.56064366308277</v>
      </c>
      <c r="BI193" s="59">
        <f ca="1">AVERAGE(OFFSET($BH$3,0,0,'Données projet'!$E$11+1,1))-AVERAGE(OFFSET($H$3,0,0,'Données projet'!$E$11+1,1))</f>
        <v>411.38162678377478</v>
      </c>
      <c r="BJ193" s="59">
        <f t="shared" si="146"/>
        <v>177.89903563360403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125.74156053470867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125.74156053470867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69.334508403061548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212.00000000000009</v>
      </c>
      <c r="BZ193" s="13">
        <f>BY193*VLOOKUP('Données projet'!$B$12,Paramètres!$A$1:$I$89,3,0)*VLOOKUP('Données projet'!$B$12,Paramètres!$A$1:$I$89,5,0)</f>
        <v>221.58240000000012</v>
      </c>
      <c r="CA193" s="13">
        <f t="shared" si="170"/>
        <v>54.458668952651578</v>
      </c>
      <c r="CB193" s="20">
        <f t="shared" si="171"/>
        <v>480.77152842586838</v>
      </c>
      <c r="CC193" s="59">
        <f t="shared" si="119"/>
        <v>771.66472590376065</v>
      </c>
      <c r="CD193" s="59">
        <f ca="1">AVERAGE(OFFSET($CC$3,0,0,'Données projet'!$E$12+1,1))-AVERAGE(OFFSET($H$3,0,0,'Données projet'!$E$12+1,1))</f>
        <v>374.38550202939507</v>
      </c>
      <c r="CE193" s="59">
        <f t="shared" si="148"/>
        <v>324.37486924296718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3.0060884004446486</v>
      </c>
      <c r="CL193" s="21">
        <f>EXP(-LN(2)/25)*CL192+(1-EXP(-LN(2)/25))/(LN(2)/25)*Calculateur!CG193*Calculateur!CI193*VLOOKUP('Données projet'!$B$12,Paramètres!$A$1:$I$89,3,0)*0.475*44/12</f>
        <v>1.3800894027432775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4.3861778031879259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69.334508403061548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-4.5474735088646412E-13</v>
      </c>
      <c r="CU193" s="17">
        <f>CT193*VLOOKUP('Données projet'!$B$13,Paramètres!$A$1:$I$89,3,0)*VLOOKUP('Données projet'!$B$13,Paramètres!$A$1:$I$89,5,0)</f>
        <v>-4.3273757910355926E-13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392.81074187112989</v>
      </c>
      <c r="CZ193" s="59">
        <f t="shared" si="150"/>
        <v>236.19146849073687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84.17688691100652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84.17688691100652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69.334508403061548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-4.5474735088646412E-13</v>
      </c>
      <c r="DP193" s="17">
        <f>DO193*VLOOKUP('Données projet'!$B$14,Paramètres!$A$1:$I$89,3,0)*VLOOKUP('Données projet'!$B$14,Paramètres!$A$1:$I$89,5,0)</f>
        <v>-4.8949004849418999E-13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434.77799524785502</v>
      </c>
      <c r="DU193" s="59">
        <f t="shared" si="152"/>
        <v>259.85949838170006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95.216478637040112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95.216478637040112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69.334508403061548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-4.5474735088646412E-13</v>
      </c>
      <c r="EK193" s="17">
        <f>EJ193*VLOOKUP('Données projet'!$B$15,Paramètres!$A$1:$I$89,3,0)*VLOOKUP('Données projet'!$B$15,Paramètres!$A$1:$I$89,5,0)</f>
        <v>-4.3983163777738812E-13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398.06270423055565</v>
      </c>
      <c r="EP193" s="59">
        <f t="shared" si="154"/>
        <v>239.15364562040614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85.556835876760715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85.556835876760715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69.334508403061548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-1.7053025658242404E-13</v>
      </c>
      <c r="FF193" s="17">
        <f>FE193*VLOOKUP('Données projet'!$B$16,Paramètres!$A$1:$I$89,3,0)*VLOOKUP('Données projet'!$B$16,Paramètres!$A$1:$I$89,5,0)</f>
        <v>-1.0197709343628959E-13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334.13861979962491</v>
      </c>
      <c r="FK193" s="59">
        <f t="shared" si="156"/>
        <v>416.48635183664305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11.462184537375357</v>
      </c>
      <c r="FR193" s="21">
        <f>EXP(-LN(2)/25)*FR192+(1-EXP(-LN(2)/25))/(LN(2)/25)*Calculateur!FM193*Calculateur!FO193*VLOOKUP('Données projet'!$B$16,Paramètres!$A$1:$I$89,3,0)*0.475*44/12</f>
        <v>1.0762351394089822</v>
      </c>
      <c r="FS193" s="21">
        <f>EXP(-LN(2)/2)*FS192+(1-EXP(-LN(2)/2))/(LN(2)/2)*FM193*FP193*VLOOKUP('Données projet'!$B$16,Paramètres!$A$1:$I$89,3,0)*0.475*44/12</f>
        <v>2.7380421974030783E-19</v>
      </c>
      <c r="FT193" s="22">
        <f t="shared" si="184"/>
        <v>12.53841967678434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69.334508403061548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3.4106051316484809E-13</v>
      </c>
      <c r="GA193" s="17">
        <f>FZ193*VLOOKUP('Données projet'!$B$17,Paramètres!$A$1:$I$89,3,0)*VLOOKUP('Données projet'!$B$17,Paramètres!$A$1:$I$89,5,0)</f>
        <v>1.5961632016114892E-13</v>
      </c>
      <c r="GB193" s="13">
        <f t="shared" si="185"/>
        <v>2.2708641912150958E-12</v>
      </c>
      <c r="GC193" s="20">
        <f t="shared" si="186"/>
        <v>4.2330868906469593E-12</v>
      </c>
      <c r="GD193" s="59">
        <f t="shared" si="134"/>
        <v>290.89319747789654</v>
      </c>
      <c r="GE193" s="59">
        <f ca="1">AVERAGE(OFFSET($GD$3,0,0,'Données projet'!$E$17+1,1))-AVERAGE(OFFSET($H$3,0,0,'Données projet'!$E$17+1,1))</f>
        <v>317.79829681023142</v>
      </c>
      <c r="GF193" s="59">
        <f t="shared" si="158"/>
        <v>275.07716943523621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32.547166944538787</v>
      </c>
      <c r="GM193" s="21">
        <f>EXP(-LN(2)/25)*GM192+(1-EXP(-LN(2)/25))/(LN(2)/25)*Calculateur!GH193*Calculateur!GJ193*VLOOKUP('Données projet'!$B$17,Paramètres!$A$1:$I$89,3,0)*0.475*44/12</f>
        <v>4.1607541909141439</v>
      </c>
      <c r="GN193" s="21">
        <f>EXP(-LN(2)/2)*GN192+(1-EXP(-LN(2)/2))/(LN(2)/2)*GH193*GK193*VLOOKUP('Données projet'!$B$17,Paramètres!$A$1:$I$89,3,0)*0.475*44/12</f>
        <v>3.5671119975389718E-12</v>
      </c>
      <c r="GO193" s="21">
        <f t="shared" si="187"/>
        <v>36.707921135456502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69.334508403061548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>
        <f>GU193*VLOOKUP('Données projet'!$B$18,Paramètres!$A$1:$I$89,3,0)*VLOOKUP('Données projet'!$B$18,Paramètres!$A$1:$I$89,5,0)</f>
        <v>0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336.21787234885699</v>
      </c>
      <c r="HA193" s="59">
        <f t="shared" si="160"/>
        <v>315.36156736899113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19.547940151980097</v>
      </c>
      <c r="HH193" s="21">
        <f>EXP(-LN(2)/25)*HH192+(1-EXP(-LN(2)/25))/(LN(2)/25)*Calculateur!HC193*Calculateur!HE193*VLOOKUP('Données projet'!$B$18,Paramètres!$A$1:$I$89,3,0)*0.475*44/12</f>
        <v>1.9897579409305617</v>
      </c>
      <c r="HI193" s="21">
        <f>EXP(-LN(2)/2)*HI192+(1-EXP(-LN(2)/2))/(LN(2)/2)*HC193*HF193*VLOOKUP('Données projet'!$B$18,Paramètres!$A$1:$I$89,3,0)*0.475*44/12</f>
        <v>3.454906526524159E-17</v>
      </c>
      <c r="HJ193" s="22">
        <f t="shared" si="190"/>
        <v>21.537698092910659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3.7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13.566666666666668</v>
      </c>
      <c r="H194" s="67">
        <f t="shared" si="110"/>
        <v>202.4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69.346053194452111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5.1431925385259092E-13</v>
      </c>
      <c r="P194" s="13">
        <f t="shared" si="141"/>
        <v>6.3855359115685756E-12</v>
      </c>
      <c r="Q194" s="20">
        <f t="shared" si="162"/>
        <v>1.2017247746441865E-11</v>
      </c>
      <c r="R194" s="59">
        <f t="shared" si="109"/>
        <v>290.93552837966973</v>
      </c>
      <c r="S194" s="59">
        <f ca="1">AVERAGE(OFFSET($R$3,0,0,'Données projet'!$E$9+1,1))-AVERAGE(OFFSET($H$3,0,0,'Données projet'!$E$9+1,1))</f>
        <v>411.64357329340851</v>
      </c>
      <c r="T194" s="59">
        <f t="shared" si="142"/>
        <v>294.07942258675632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52.108512364859443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52.108512364859443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69.346053194452111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5.763922672485933E-13</v>
      </c>
      <c r="AK194" s="13">
        <f t="shared" si="164"/>
        <v>7.0619171555808457E-12</v>
      </c>
      <c r="AL194" s="20">
        <f t="shared" si="165"/>
        <v>1.3303388911427938E-11</v>
      </c>
      <c r="AM194" s="59">
        <f t="shared" si="113"/>
        <v>290.93552837967104</v>
      </c>
      <c r="AN194" s="59">
        <f ca="1">AVERAGE(OFFSET($AM$3,0,0,'Données projet'!$E$10+1,1))-AVERAGE(OFFSET($H$3,0,0,'Données projet'!$E$10+1,1))</f>
        <v>453.05577105995508</v>
      </c>
      <c r="AO194" s="59">
        <f t="shared" si="144"/>
        <v>322.6839824496758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58.397470753721777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58.397470753721777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69.346053194452111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>
        <f>VLOOKUP(A194,'Données projet'!$A$87:$I$107,2,0)</f>
        <v>98.961538461538453</v>
      </c>
      <c r="BB194" s="12">
        <f>VLOOKUP(A194,'Données projet'!$A$87:$I$107,9,0)</f>
        <v>1.3354700854700781</v>
      </c>
      <c r="BC194" s="12">
        <f t="array" ref="BC194">INDEX(BB:BB,MIN(IF(ISNUMBER(BB194:BB390),ROW(BB194:BB390),"")))</f>
        <v>1.3354700854700781</v>
      </c>
      <c r="BD194" s="12">
        <f>IF('Données projet'!$A$88&gt;35,BD193+BC194-BL193,IF(A194&lt;'Données projet'!$A$88,$BA$205^A194,IF(A194='Données projet'!$A$88,'Données projet'!$B$88,BD193+BC194-BL193)))</f>
        <v>98.96153846153878</v>
      </c>
      <c r="BE194" s="13">
        <f>BD194*VLOOKUP('Données projet'!$B$11,Paramètres!$A$1:$I$89,3,0)*VLOOKUP('Données projet'!$B$11,Paramètres!$A$1:$I$89,5,0)</f>
        <v>98.803200000000317</v>
      </c>
      <c r="BF194" s="13">
        <f t="shared" si="167"/>
        <v>26.676676964119885</v>
      </c>
      <c r="BG194" s="20">
        <f t="shared" si="168"/>
        <v>218.54411904584265</v>
      </c>
      <c r="BH194" s="59">
        <f t="shared" si="116"/>
        <v>509.47964742550039</v>
      </c>
      <c r="BI194" s="59">
        <f ca="1">AVERAGE(OFFSET($BH$3,0,0,'Données projet'!$E$11+1,1))-AVERAGE(OFFSET($H$3,0,0,'Données projet'!$E$11+1,1))</f>
        <v>411.38162678377478</v>
      </c>
      <c r="BJ194" s="59">
        <f t="shared" si="146"/>
        <v>177.89903563360403</v>
      </c>
      <c r="BK194" s="15">
        <f>IF(ISNA(VLOOKUP(A194,'Données projet'!$A$87:$I$107,3,0)),0,VLOOKUP(A194,'Données projet'!$A$87:$I$107,3,0))</f>
        <v>16</v>
      </c>
      <c r="BL194" s="15">
        <f>IF(ISNA(VLOOKUP(A194,'Données projet'!$A$87:$I$107,4,0)),0,VLOOKUP(A194,'Données projet'!$A$87:$I$107,4,0))</f>
        <v>98.961538461538453</v>
      </c>
      <c r="BM194" s="16">
        <f>IF(ISNA(VLOOKUP(A194,'Données projet'!$A$87:$I$107,5,0)),0%,VLOOKUP(A194,'Données projet'!$A$87:$I$107,5,0)*VLOOKUP('Données projet'!$B$11,Paramètres!$A$1:$I$89,7,0))</f>
        <v>0.38700000000000001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165.54553748559005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165.54553748559005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69.346053194452111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212.00000000000009</v>
      </c>
      <c r="BZ194" s="13">
        <f>BY194*VLOOKUP('Données projet'!$B$12,Paramètres!$A$1:$I$89,3,0)*VLOOKUP('Données projet'!$B$12,Paramètres!$A$1:$I$89,5,0)</f>
        <v>221.58240000000012</v>
      </c>
      <c r="CA194" s="13">
        <f t="shared" si="170"/>
        <v>54.458668952651578</v>
      </c>
      <c r="CB194" s="20">
        <f t="shared" si="171"/>
        <v>480.77152842586838</v>
      </c>
      <c r="CC194" s="59">
        <f t="shared" si="119"/>
        <v>771.70705680552612</v>
      </c>
      <c r="CD194" s="59">
        <f ca="1">AVERAGE(OFFSET($CC$3,0,0,'Données projet'!$E$12+1,1))-AVERAGE(OFFSET($H$3,0,0,'Données projet'!$E$12+1,1))</f>
        <v>374.38550202939507</v>
      </c>
      <c r="CE194" s="59">
        <f t="shared" si="148"/>
        <v>324.37486924296718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2.9471408404448072</v>
      </c>
      <c r="CL194" s="21">
        <f>EXP(-LN(2)/25)*CL193+(1-EXP(-LN(2)/25))/(LN(2)/25)*Calculateur!CG194*Calculateur!CI194*VLOOKUP('Données projet'!$B$12,Paramètres!$A$1:$I$89,3,0)*0.475*44/12</f>
        <v>1.3423507854495151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4.2894916258943221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69.346053194452111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-4.5474735088646412E-13</v>
      </c>
      <c r="CU194" s="17">
        <f>CT194*VLOOKUP('Données projet'!$B$13,Paramètres!$A$1:$I$89,3,0)*VLOOKUP('Données projet'!$B$13,Paramètres!$A$1:$I$89,5,0)</f>
        <v>-4.3273757910355926E-13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392.81074187112989</v>
      </c>
      <c r="CZ194" s="59">
        <f t="shared" si="150"/>
        <v>236.19146849073687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82.526229501513015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82.526229501513015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69.346053194452111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-4.5474735088646412E-13</v>
      </c>
      <c r="DP194" s="17">
        <f>DO194*VLOOKUP('Données projet'!$B$14,Paramètres!$A$1:$I$89,3,0)*VLOOKUP('Données projet'!$B$14,Paramètres!$A$1:$I$89,5,0)</f>
        <v>-4.8949004849418999E-13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434.77799524785502</v>
      </c>
      <c r="DU194" s="59">
        <f t="shared" si="152"/>
        <v>259.85949838170006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93.349341567285165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93.349341567285165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69.346053194452111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-4.5474735088646412E-13</v>
      </c>
      <c r="EK194" s="17">
        <f>EJ194*VLOOKUP('Données projet'!$B$15,Paramètres!$A$1:$I$89,3,0)*VLOOKUP('Données projet'!$B$15,Paramètres!$A$1:$I$89,5,0)</f>
        <v>-4.3983163777738812E-13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398.06270423055565</v>
      </c>
      <c r="EP194" s="59">
        <f t="shared" si="154"/>
        <v>239.15364562040614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83.879118509734525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83.879118509734525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69.346053194452111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-1.7053025658242404E-13</v>
      </c>
      <c r="FF194" s="17">
        <f>FE194*VLOOKUP('Données projet'!$B$16,Paramètres!$A$1:$I$89,3,0)*VLOOKUP('Données projet'!$B$16,Paramètres!$A$1:$I$89,5,0)</f>
        <v>-1.0197709343628959E-13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334.13861979962491</v>
      </c>
      <c r="FK194" s="59">
        <f t="shared" si="156"/>
        <v>416.48635183664305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11.237418089839666</v>
      </c>
      <c r="FR194" s="21">
        <f>EXP(-LN(2)/25)*FR193+(1-EXP(-LN(2)/25))/(LN(2)/25)*Calculateur!FM194*Calculateur!FO194*VLOOKUP('Données projet'!$B$16,Paramètres!$A$1:$I$89,3,0)*0.475*44/12</f>
        <v>1.0468054329250973</v>
      </c>
      <c r="FS194" s="21">
        <f>EXP(-LN(2)/2)*FS193+(1-EXP(-LN(2)/2))/(LN(2)/2)*FM194*FP194*VLOOKUP('Données projet'!$B$16,Paramètres!$A$1:$I$89,3,0)*0.475*44/12</f>
        <v>1.9360882049586323E-19</v>
      </c>
      <c r="FT194" s="22">
        <f t="shared" si="184"/>
        <v>12.284223522764764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69.346053194452111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3.4106051316484809E-13</v>
      </c>
      <c r="GA194" s="17">
        <f>FZ194*VLOOKUP('Données projet'!$B$17,Paramètres!$A$1:$I$89,3,0)*VLOOKUP('Données projet'!$B$17,Paramètres!$A$1:$I$89,5,0)</f>
        <v>1.5961632016114892E-13</v>
      </c>
      <c r="GB194" s="13">
        <f t="shared" si="185"/>
        <v>2.2708641912150958E-12</v>
      </c>
      <c r="GC194" s="20">
        <f t="shared" si="186"/>
        <v>4.2330868906469593E-12</v>
      </c>
      <c r="GD194" s="59">
        <f t="shared" si="134"/>
        <v>290.93552837966195</v>
      </c>
      <c r="GE194" s="59">
        <f ca="1">AVERAGE(OFFSET($GD$3,0,0,'Données projet'!$E$17+1,1))-AVERAGE(OFFSET($H$3,0,0,'Données projet'!$E$17+1,1))</f>
        <v>317.79829681023142</v>
      </c>
      <c r="GF194" s="59">
        <f t="shared" si="158"/>
        <v>275.07716943523621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31.908936852568015</v>
      </c>
      <c r="GM194" s="21">
        <f>EXP(-LN(2)/25)*GM193+(1-EXP(-LN(2)/25))/(LN(2)/25)*Calculateur!GH194*Calculateur!GJ194*VLOOKUP('Données projet'!$B$17,Paramètres!$A$1:$I$89,3,0)*0.475*44/12</f>
        <v>4.0469781487590435</v>
      </c>
      <c r="GN194" s="21">
        <f>EXP(-LN(2)/2)*GN193+(1-EXP(-LN(2)/2))/(LN(2)/2)*GH194*GK194*VLOOKUP('Données projet'!$B$17,Paramètres!$A$1:$I$89,3,0)*0.475*44/12</f>
        <v>2.5223290827116983E-12</v>
      </c>
      <c r="GO194" s="21">
        <f t="shared" si="187"/>
        <v>35.955915001329579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69.346053194452111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>
        <f>GU194*VLOOKUP('Données projet'!$B$18,Paramètres!$A$1:$I$89,3,0)*VLOOKUP('Données projet'!$B$18,Paramètres!$A$1:$I$89,5,0)</f>
        <v>0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336.21787234885699</v>
      </c>
      <c r="HA194" s="59">
        <f t="shared" si="160"/>
        <v>315.36156736899113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19.164616968665953</v>
      </c>
      <c r="HH194" s="21">
        <f>EXP(-LN(2)/25)*HH193+(1-EXP(-LN(2)/25))/(LN(2)/25)*Calculateur!HC194*Calculateur!HE194*VLOOKUP('Données projet'!$B$18,Paramètres!$A$1:$I$89,3,0)*0.475*44/12</f>
        <v>1.935347905398993</v>
      </c>
      <c r="HI194" s="21">
        <f>EXP(-LN(2)/2)*HI193+(1-EXP(-LN(2)/2))/(LN(2)/2)*HC194*HF194*VLOOKUP('Données projet'!$B$18,Paramètres!$A$1:$I$89,3,0)*0.475*44/12</f>
        <v>2.4429878332708935E-17</v>
      </c>
      <c r="HJ194" s="22">
        <f t="shared" si="190"/>
        <v>21.099964874064945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3.7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13.566666666666668</v>
      </c>
      <c r="H195" s="67">
        <f t="shared" si="110"/>
        <v>202.4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69.357397709522346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5.1431925385259092E-13</v>
      </c>
      <c r="P195" s="13">
        <f t="shared" si="141"/>
        <v>6.3855359115685756E-12</v>
      </c>
      <c r="Q195" s="20">
        <f t="shared" si="162"/>
        <v>1.2017247746441865E-11</v>
      </c>
      <c r="R195" s="59">
        <f t="shared" ref="R195:R203" si="191">Q195+(I195+J195)*44/12</f>
        <v>290.97712493492725</v>
      </c>
      <c r="S195" s="59">
        <f ca="1">AVERAGE(OFFSET($R$3,0,0,'Données projet'!$E$9+1,1))-AVERAGE(OFFSET($H$3,0,0,'Données projet'!$E$9+1,1))</f>
        <v>411.64357329340851</v>
      </c>
      <c r="T195" s="59">
        <f t="shared" si="142"/>
        <v>294.07942258675632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51.086696220438775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51.086696220438775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69.357397709522346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5.763922672485933E-13</v>
      </c>
      <c r="AK195" s="13">
        <f t="shared" si="164"/>
        <v>7.0619171555808457E-12</v>
      </c>
      <c r="AL195" s="20">
        <f t="shared" si="165"/>
        <v>1.3303388911427938E-11</v>
      </c>
      <c r="AM195" s="59">
        <f t="shared" si="113"/>
        <v>290.97712493492855</v>
      </c>
      <c r="AN195" s="59">
        <f ca="1">AVERAGE(OFFSET($AM$3,0,0,'Données projet'!$E$10+1,1))-AVERAGE(OFFSET($H$3,0,0,'Données projet'!$E$10+1,1))</f>
        <v>453.05577105995508</v>
      </c>
      <c r="AO195" s="59">
        <f t="shared" si="144"/>
        <v>322.6839824496758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57.252331971181377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57.252331971181377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69.357397709522346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3.2684965844964609E-13</v>
      </c>
      <c r="BE195" s="13">
        <f>BD195*VLOOKUP('Données projet'!$B$11,Paramètres!$A$1:$I$89,3,0)*VLOOKUP('Données projet'!$B$11,Paramètres!$A$1:$I$89,5,0)</f>
        <v>3.2632669899612666E-13</v>
      </c>
      <c r="BF195" s="13">
        <f t="shared" si="167"/>
        <v>4.2718452243241941E-12</v>
      </c>
      <c r="BG195" s="20">
        <f t="shared" si="168"/>
        <v>8.0084827664495574E-12</v>
      </c>
      <c r="BH195" s="59">
        <f t="shared" si="116"/>
        <v>290.97712493492327</v>
      </c>
      <c r="BI195" s="59">
        <f ca="1">AVERAGE(OFFSET($BH$3,0,0,'Données projet'!$E$11+1,1))-AVERAGE(OFFSET($H$3,0,0,'Données projet'!$E$11+1,1))</f>
        <v>411.38162678377478</v>
      </c>
      <c r="BJ195" s="59">
        <f t="shared" si="146"/>
        <v>177.89903563360403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162.29929046830526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162.29929046830526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69.357397709522346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212.00000000000009</v>
      </c>
      <c r="BZ195" s="13">
        <f>BY195*VLOOKUP('Données projet'!$B$12,Paramètres!$A$1:$I$89,3,0)*VLOOKUP('Données projet'!$B$12,Paramètres!$A$1:$I$89,5,0)</f>
        <v>221.58240000000012</v>
      </c>
      <c r="CA195" s="13">
        <f t="shared" si="170"/>
        <v>54.458668952651578</v>
      </c>
      <c r="CB195" s="20">
        <f t="shared" si="171"/>
        <v>480.77152842586838</v>
      </c>
      <c r="CC195" s="59">
        <f t="shared" si="119"/>
        <v>771.74865336078369</v>
      </c>
      <c r="CD195" s="59">
        <f ca="1">AVERAGE(OFFSET($CC$3,0,0,'Données projet'!$E$12+1,1))-AVERAGE(OFFSET($H$3,0,0,'Données projet'!$E$12+1,1))</f>
        <v>374.38550202939507</v>
      </c>
      <c r="CE195" s="59">
        <f t="shared" si="148"/>
        <v>324.37486924296718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2.8893492061421009</v>
      </c>
      <c r="CL195" s="21">
        <f>EXP(-LN(2)/25)*CL194+(1-EXP(-LN(2)/25))/(LN(2)/25)*Calculateur!CG195*Calculateur!CI195*VLOOKUP('Données projet'!$B$12,Paramètres!$A$1:$I$89,3,0)*0.475*44/12</f>
        <v>1.3056441326302384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4.1949933387723393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69.357397709522346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-4.5474735088646412E-13</v>
      </c>
      <c r="CU195" s="17">
        <f>CT195*VLOOKUP('Données projet'!$B$13,Paramètres!$A$1:$I$89,3,0)*VLOOKUP('Données projet'!$B$13,Paramètres!$A$1:$I$89,5,0)</f>
        <v>-4.3273757910355926E-13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392.81074187112989</v>
      </c>
      <c r="CZ195" s="59">
        <f t="shared" si="150"/>
        <v>236.19146849073687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80.907940477018073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80.907940477018073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69.357397709522346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-4.5474735088646412E-13</v>
      </c>
      <c r="DP195" s="17">
        <f>DO195*VLOOKUP('Données projet'!$B$14,Paramètres!$A$1:$I$89,3,0)*VLOOKUP('Données projet'!$B$14,Paramètres!$A$1:$I$89,5,0)</f>
        <v>-4.8949004849418999E-13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434.77799524785502</v>
      </c>
      <c r="DU195" s="59">
        <f t="shared" si="152"/>
        <v>259.85949838170006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91.518817916626944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91.518817916626944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69.357397709522346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-4.5474735088646412E-13</v>
      </c>
      <c r="EK195" s="17">
        <f>EJ195*VLOOKUP('Données projet'!$B$15,Paramètres!$A$1:$I$89,3,0)*VLOOKUP('Données projet'!$B$15,Paramètres!$A$1:$I$89,5,0)</f>
        <v>-4.3983163777738812E-13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398.06270423055565</v>
      </c>
      <c r="EP195" s="59">
        <f t="shared" si="154"/>
        <v>239.15364562040614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82.234300156969169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82.234300156969169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69.357397709522346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-1.7053025658242404E-13</v>
      </c>
      <c r="FF195" s="17">
        <f>FE195*VLOOKUP('Données projet'!$B$16,Paramètres!$A$1:$I$89,3,0)*VLOOKUP('Données projet'!$B$16,Paramètres!$A$1:$I$89,5,0)</f>
        <v>-1.0197709343628959E-13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334.13861979962491</v>
      </c>
      <c r="FK195" s="59">
        <f t="shared" si="156"/>
        <v>416.48635183664305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11.017059175246155</v>
      </c>
      <c r="FR195" s="21">
        <f>EXP(-LN(2)/25)*FR194+(1-EXP(-LN(2)/25))/(LN(2)/25)*Calculateur!FM195*Calculateur!FO195*VLOOKUP('Données projet'!$B$16,Paramètres!$A$1:$I$89,3,0)*0.475*44/12</f>
        <v>1.0181804833126553</v>
      </c>
      <c r="FS195" s="21">
        <f>EXP(-LN(2)/2)*FS194+(1-EXP(-LN(2)/2))/(LN(2)/2)*FM195*FP195*VLOOKUP('Données projet'!$B$16,Paramètres!$A$1:$I$89,3,0)*0.475*44/12</f>
        <v>1.3690210987015392E-19</v>
      </c>
      <c r="FT195" s="22">
        <f t="shared" si="184"/>
        <v>12.03523965855881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69.357397709522346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3.4106051316484809E-13</v>
      </c>
      <c r="GA195" s="17">
        <f>FZ195*VLOOKUP('Données projet'!$B$17,Paramètres!$A$1:$I$89,3,0)*VLOOKUP('Données projet'!$B$17,Paramètres!$A$1:$I$89,5,0)</f>
        <v>1.5961632016114892E-13</v>
      </c>
      <c r="GB195" s="13">
        <f t="shared" si="185"/>
        <v>2.2708641912150958E-12</v>
      </c>
      <c r="GC195" s="20">
        <f t="shared" si="186"/>
        <v>4.2330868906469593E-12</v>
      </c>
      <c r="GD195" s="59">
        <f t="shared" si="134"/>
        <v>290.97712493491946</v>
      </c>
      <c r="GE195" s="59">
        <f ca="1">AVERAGE(OFFSET($GD$3,0,0,'Données projet'!$E$17+1,1))-AVERAGE(OFFSET($H$3,0,0,'Données projet'!$E$17+1,1))</f>
        <v>317.79829681023142</v>
      </c>
      <c r="GF195" s="59">
        <f t="shared" si="158"/>
        <v>275.07716943523621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31.283222063418872</v>
      </c>
      <c r="GM195" s="21">
        <f>EXP(-LN(2)/25)*GM194+(1-EXP(-LN(2)/25))/(LN(2)/25)*Calculateur!GH195*Calculateur!GJ195*VLOOKUP('Données projet'!$B$17,Paramètres!$A$1:$I$89,3,0)*0.475*44/12</f>
        <v>3.936313318459896</v>
      </c>
      <c r="GN195" s="21">
        <f>EXP(-LN(2)/2)*GN194+(1-EXP(-LN(2)/2))/(LN(2)/2)*GH195*GK195*VLOOKUP('Données projet'!$B$17,Paramètres!$A$1:$I$89,3,0)*0.475*44/12</f>
        <v>1.7835559987694861E-12</v>
      </c>
      <c r="GO195" s="21">
        <f t="shared" si="187"/>
        <v>35.219535381880554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69.357397709522346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>
        <f>GU195*VLOOKUP('Données projet'!$B$18,Paramètres!$A$1:$I$89,3,0)*VLOOKUP('Données projet'!$B$18,Paramètres!$A$1:$I$89,5,0)</f>
        <v>0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336.21787234885699</v>
      </c>
      <c r="HA195" s="59">
        <f t="shared" si="160"/>
        <v>315.36156736899113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18.788810519172547</v>
      </c>
      <c r="HH195" s="21">
        <f>EXP(-LN(2)/25)*HH194+(1-EXP(-LN(2)/25))/(LN(2)/25)*Calculateur!HC195*Calculateur!HE195*VLOOKUP('Données projet'!$B$18,Paramètres!$A$1:$I$89,3,0)*0.475*44/12</f>
        <v>1.8824257151503345</v>
      </c>
      <c r="HI195" s="21">
        <f>EXP(-LN(2)/2)*HI194+(1-EXP(-LN(2)/2))/(LN(2)/2)*HC195*HF195*VLOOKUP('Données projet'!$B$18,Paramètres!$A$1:$I$89,3,0)*0.475*44/12</f>
        <v>1.7274532632620795E-17</v>
      </c>
      <c r="HJ195" s="22">
        <f t="shared" si="190"/>
        <v>20.67123623432288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3.7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13.566666666666668</v>
      </c>
      <c r="H196" s="67">
        <f t="shared" ref="H196:H203" si="192">(B196+E196+F196)*44/12+(C196+D196)*0.475*44/12</f>
        <v>202.4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69.368545422618624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5.1431925385259092E-13</v>
      </c>
      <c r="P196" s="13">
        <f t="shared" si="141"/>
        <v>6.3855359115685756E-12</v>
      </c>
      <c r="Q196" s="20">
        <f t="shared" si="162"/>
        <v>1.2017247746441865E-11</v>
      </c>
      <c r="R196" s="59">
        <f t="shared" si="191"/>
        <v>291.01799988294692</v>
      </c>
      <c r="S196" s="59">
        <f ca="1">AVERAGE(OFFSET($R$3,0,0,'Données projet'!$E$9+1,1))-AVERAGE(OFFSET($H$3,0,0,'Données projet'!$E$9+1,1))</f>
        <v>411.64357329340851</v>
      </c>
      <c r="T196" s="59">
        <f t="shared" si="142"/>
        <v>294.07942258675632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50.084917267363892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50.084917267363892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69.368545422618624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5.763922672485933E-13</v>
      </c>
      <c r="AK196" s="13">
        <f t="shared" si="164"/>
        <v>7.0619171555808457E-12</v>
      </c>
      <c r="AL196" s="20">
        <f t="shared" si="165"/>
        <v>1.3303388911427938E-11</v>
      </c>
      <c r="AM196" s="59">
        <f t="shared" ref="AM196:AM203" si="193">AL196+(AD196+AE196)*44/12</f>
        <v>291.01799988294823</v>
      </c>
      <c r="AN196" s="59">
        <f ca="1">AVERAGE(OFFSET($AM$3,0,0,'Données projet'!$E$10+1,1))-AVERAGE(OFFSET($H$3,0,0,'Données projet'!$E$10+1,1))</f>
        <v>453.05577105995508</v>
      </c>
      <c r="AO196" s="59">
        <f t="shared" si="144"/>
        <v>322.6839824496758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56.129648661700905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56.129648661700905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69.368545422618624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3.2684965844964609E-13</v>
      </c>
      <c r="BE196" s="13">
        <f>BD196*VLOOKUP('Données projet'!$B$11,Paramètres!$A$1:$I$89,3,0)*VLOOKUP('Données projet'!$B$11,Paramètres!$A$1:$I$89,5,0)</f>
        <v>3.2632669899612666E-13</v>
      </c>
      <c r="BF196" s="13">
        <f t="shared" si="167"/>
        <v>4.2718452243241941E-12</v>
      </c>
      <c r="BG196" s="20">
        <f t="shared" si="168"/>
        <v>8.0084827664495574E-12</v>
      </c>
      <c r="BH196" s="59">
        <f t="shared" ref="BH196:BH203" si="194">BG196+(AY196+AZ196)*44/12</f>
        <v>291.01799988294295</v>
      </c>
      <c r="BI196" s="59">
        <f ca="1">AVERAGE(OFFSET($BH$3,0,0,'Données projet'!$E$11+1,1))-AVERAGE(OFFSET($H$3,0,0,'Données projet'!$E$11+1,1))</f>
        <v>411.38162678377478</v>
      </c>
      <c r="BJ196" s="59">
        <f t="shared" si="146"/>
        <v>177.89903563360403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159.11670037501426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159.11670037501426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69.368545422618624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212.00000000000009</v>
      </c>
      <c r="BZ196" s="13">
        <f>BY196*VLOOKUP('Données projet'!$B$12,Paramètres!$A$1:$I$89,3,0)*VLOOKUP('Données projet'!$B$12,Paramètres!$A$1:$I$89,5,0)</f>
        <v>221.58240000000012</v>
      </c>
      <c r="CA196" s="13">
        <f t="shared" si="170"/>
        <v>54.458668952651578</v>
      </c>
      <c r="CB196" s="20">
        <f t="shared" si="171"/>
        <v>480.77152842586838</v>
      </c>
      <c r="CC196" s="59">
        <f t="shared" ref="CC196:CC203" si="195">CB196+(BT196+BU196)*44/12</f>
        <v>771.78952830880326</v>
      </c>
      <c r="CD196" s="59">
        <f ca="1">AVERAGE(OFFSET($CC$3,0,0,'Données projet'!$E$12+1,1))-AVERAGE(OFFSET($H$3,0,0,'Données projet'!$E$12+1,1))</f>
        <v>374.38550202939507</v>
      </c>
      <c r="CE196" s="59">
        <f t="shared" si="148"/>
        <v>324.37486924296718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2.8326908305386547</v>
      </c>
      <c r="CL196" s="21">
        <f>EXP(-LN(2)/25)*CL195+(1-EXP(-LN(2)/25))/(LN(2)/25)*Calculateur!CG196*Calculateur!CI196*VLOOKUP('Données projet'!$B$12,Paramètres!$A$1:$I$89,3,0)*0.475*44/12</f>
        <v>1.2699412251626236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4.1026320557012781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69.368545422618624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-4.5474735088646412E-13</v>
      </c>
      <c r="CU196" s="17">
        <f>CT196*VLOOKUP('Données projet'!$B$13,Paramètres!$A$1:$I$89,3,0)*VLOOKUP('Données projet'!$B$13,Paramètres!$A$1:$I$89,5,0)</f>
        <v>-4.3273757910355926E-13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392.81074187112989</v>
      </c>
      <c r="CZ196" s="59">
        <f t="shared" si="150"/>
        <v>236.19146849073687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79.321385113234626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79.321385113234626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69.368545422618624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-4.5474735088646412E-13</v>
      </c>
      <c r="DP196" s="17">
        <f>DO196*VLOOKUP('Données projet'!$B$14,Paramètres!$A$1:$I$89,3,0)*VLOOKUP('Données projet'!$B$14,Paramètres!$A$1:$I$89,5,0)</f>
        <v>-4.8949004849418999E-13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434.77799524785502</v>
      </c>
      <c r="DU196" s="59">
        <f t="shared" si="152"/>
        <v>259.85949838170006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89.724189718248951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89.724189718248951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69.368545422618624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-4.5474735088646412E-13</v>
      </c>
      <c r="EK196" s="17">
        <f>EJ196*VLOOKUP('Données projet'!$B$15,Paramètres!$A$1:$I$89,3,0)*VLOOKUP('Données projet'!$B$15,Paramètres!$A$1:$I$89,5,0)</f>
        <v>-4.3983163777738812E-13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398.06270423055565</v>
      </c>
      <c r="EP196" s="59">
        <f t="shared" si="154"/>
        <v>239.15364562040614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80.621735688861406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80.621735688861406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69.368545422618624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-1.7053025658242404E-13</v>
      </c>
      <c r="FF196" s="17">
        <f>FE196*VLOOKUP('Données projet'!$B$16,Paramètres!$A$1:$I$89,3,0)*VLOOKUP('Données projet'!$B$16,Paramètres!$A$1:$I$89,5,0)</f>
        <v>-1.0197709343628959E-13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334.13861979962491</v>
      </c>
      <c r="FK196" s="59">
        <f t="shared" si="156"/>
        <v>416.48635183664305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10.801021364562155</v>
      </c>
      <c r="FR196" s="21">
        <f>EXP(-LN(2)/25)*FR195+(1-EXP(-LN(2)/25))/(LN(2)/25)*Calculateur!FM196*Calculateur!FO196*VLOOKUP('Données projet'!$B$16,Paramètres!$A$1:$I$89,3,0)*0.475*44/12</f>
        <v>0.99033828445268623</v>
      </c>
      <c r="FS196" s="21">
        <f>EXP(-LN(2)/2)*FS195+(1-EXP(-LN(2)/2))/(LN(2)/2)*FM196*FP196*VLOOKUP('Données projet'!$B$16,Paramètres!$A$1:$I$89,3,0)*0.475*44/12</f>
        <v>9.6804410247931615E-20</v>
      </c>
      <c r="FT196" s="22">
        <f t="shared" si="184"/>
        <v>11.791359649014842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69.368545422618624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3.4106051316484809E-13</v>
      </c>
      <c r="GA196" s="17">
        <f>FZ196*VLOOKUP('Données projet'!$B$17,Paramètres!$A$1:$I$89,3,0)*VLOOKUP('Données projet'!$B$17,Paramètres!$A$1:$I$89,5,0)</f>
        <v>1.5961632016114892E-13</v>
      </c>
      <c r="GB196" s="13">
        <f t="shared" si="185"/>
        <v>2.2708641912150958E-12</v>
      </c>
      <c r="GC196" s="20">
        <f t="shared" si="186"/>
        <v>4.2330868906469593E-12</v>
      </c>
      <c r="GD196" s="59">
        <f t="shared" ref="GD196:GD203" si="200">GC196+(FU196+FV196)*44/12</f>
        <v>291.01799988293914</v>
      </c>
      <c r="GE196" s="59">
        <f ca="1">AVERAGE(OFFSET($GD$3,0,0,'Données projet'!$E$17+1,1))-AVERAGE(OFFSET($H$3,0,0,'Données projet'!$E$17+1,1))</f>
        <v>317.79829681023142</v>
      </c>
      <c r="GF196" s="59">
        <f t="shared" si="158"/>
        <v>275.07716943523621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30.669777159636606</v>
      </c>
      <c r="GM196" s="21">
        <f>EXP(-LN(2)/25)*GM195+(1-EXP(-LN(2)/25))/(LN(2)/25)*Calculateur!GH196*Calculateur!GJ196*VLOOKUP('Données projet'!$B$17,Paramètres!$A$1:$I$89,3,0)*0.475*44/12</f>
        <v>3.8286746237648894</v>
      </c>
      <c r="GN196" s="21">
        <f>EXP(-LN(2)/2)*GN195+(1-EXP(-LN(2)/2))/(LN(2)/2)*GH196*GK196*VLOOKUP('Données projet'!$B$17,Paramètres!$A$1:$I$89,3,0)*0.475*44/12</f>
        <v>1.2611645413558494E-12</v>
      </c>
      <c r="GO196" s="21">
        <f t="shared" si="187"/>
        <v>34.49845178340275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69.368545422618624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>
        <f>GU196*VLOOKUP('Données projet'!$B$18,Paramètres!$A$1:$I$89,3,0)*VLOOKUP('Données projet'!$B$18,Paramètres!$A$1:$I$89,5,0)</f>
        <v>0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336.21787234885699</v>
      </c>
      <c r="HA196" s="59">
        <f t="shared" si="160"/>
        <v>315.36156736899113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18.420373404934406</v>
      </c>
      <c r="HH196" s="21">
        <f>EXP(-LN(2)/25)*HH195+(1-EXP(-LN(2)/25))/(LN(2)/25)*Calculateur!HC196*Calculateur!HE196*VLOOKUP('Données projet'!$B$18,Paramètres!$A$1:$I$89,3,0)*0.475*44/12</f>
        <v>1.8309506849770827</v>
      </c>
      <c r="HI196" s="21">
        <f>EXP(-LN(2)/2)*HI195+(1-EXP(-LN(2)/2))/(LN(2)/2)*HC196*HF196*VLOOKUP('Données projet'!$B$18,Paramètres!$A$1:$I$89,3,0)*0.475*44/12</f>
        <v>1.2214939166354468E-17</v>
      </c>
      <c r="HJ196" s="22">
        <f t="shared" si="190"/>
        <v>20.251324089911488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3.7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13.566666666666668</v>
      </c>
      <c r="H197" s="67">
        <f t="shared" si="192"/>
        <v>202.4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69.379499747815245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5.1431925385259092E-13</v>
      </c>
      <c r="P197" s="13">
        <f t="shared" ref="P197:P203" si="203">EXP(-1.0587+0.8836*LN(O197)+0.284)</f>
        <v>6.3855359115685756E-12</v>
      </c>
      <c r="Q197" s="20">
        <f t="shared" si="162"/>
        <v>1.2017247746441865E-11</v>
      </c>
      <c r="R197" s="59">
        <f t="shared" si="191"/>
        <v>291.05816574200122</v>
      </c>
      <c r="S197" s="59">
        <f ca="1">AVERAGE(OFFSET($R$3,0,0,'Données projet'!$E$9+1,1))-AVERAGE(OFFSET($H$3,0,0,'Données projet'!$E$9+1,1))</f>
        <v>411.64357329340851</v>
      </c>
      <c r="T197" s="59">
        <f t="shared" ref="T197:T203" si="204">$T$3</f>
        <v>294.07942258675632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49.102782588533977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49.102782588533977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69.379499747815245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5.763922672485933E-13</v>
      </c>
      <c r="AK197" s="13">
        <f t="shared" si="164"/>
        <v>7.0619171555808457E-12</v>
      </c>
      <c r="AL197" s="20">
        <f t="shared" si="165"/>
        <v>1.3303388911427938E-11</v>
      </c>
      <c r="AM197" s="59">
        <f t="shared" si="193"/>
        <v>291.05816574200253</v>
      </c>
      <c r="AN197" s="59">
        <f ca="1">AVERAGE(OFFSET($AM$3,0,0,'Données projet'!$E$10+1,1))-AVERAGE(OFFSET($H$3,0,0,'Données projet'!$E$10+1,1))</f>
        <v>453.05577105995508</v>
      </c>
      <c r="AO197" s="59">
        <f t="shared" ref="AO197:AO203" si="205">$AO$3</f>
        <v>322.6839824496758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55.028980487150136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55.028980487150136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69.379499747815245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3.2684965844964609E-13</v>
      </c>
      <c r="BE197" s="13">
        <f>BD197*VLOOKUP('Données projet'!$B$11,Paramètres!$A$1:$I$89,3,0)*VLOOKUP('Données projet'!$B$11,Paramètres!$A$1:$I$89,5,0)</f>
        <v>3.2632669899612666E-13</v>
      </c>
      <c r="BF197" s="13">
        <f t="shared" si="167"/>
        <v>4.2718452243241941E-12</v>
      </c>
      <c r="BG197" s="20">
        <f t="shared" si="168"/>
        <v>8.0084827664495574E-12</v>
      </c>
      <c r="BH197" s="59">
        <f t="shared" si="194"/>
        <v>291.05816574199724</v>
      </c>
      <c r="BI197" s="59">
        <f ca="1">AVERAGE(OFFSET($BH$3,0,0,'Données projet'!$E$11+1,1))-AVERAGE(OFFSET($H$3,0,0,'Données projet'!$E$11+1,1))</f>
        <v>411.38162678377478</v>
      </c>
      <c r="BJ197" s="59">
        <f t="shared" ref="BJ197:BJ203" si="206">$BJ$3</f>
        <v>177.89903563360403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155.99651893226442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155.99651893226442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69.379499747815245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212.00000000000009</v>
      </c>
      <c r="BZ197" s="13">
        <f>BY197*VLOOKUP('Données projet'!$B$12,Paramètres!$A$1:$I$89,3,0)*VLOOKUP('Données projet'!$B$12,Paramètres!$A$1:$I$89,5,0)</f>
        <v>221.58240000000012</v>
      </c>
      <c r="CA197" s="13">
        <f t="shared" si="170"/>
        <v>54.458668952651578</v>
      </c>
      <c r="CB197" s="20">
        <f t="shared" si="171"/>
        <v>480.77152842586838</v>
      </c>
      <c r="CC197" s="59">
        <f t="shared" si="195"/>
        <v>771.82969416785761</v>
      </c>
      <c r="CD197" s="59">
        <f ca="1">AVERAGE(OFFSET($CC$3,0,0,'Données projet'!$E$12+1,1))-AVERAGE(OFFSET($H$3,0,0,'Données projet'!$E$12+1,1))</f>
        <v>374.38550202939507</v>
      </c>
      <c r="CE197" s="59">
        <f t="shared" ref="CE197:CE203" si="207">$CE$3</f>
        <v>324.37486924296718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2.7771434911225952</v>
      </c>
      <c r="CL197" s="21">
        <f>EXP(-LN(2)/25)*CL196+(1-EXP(-LN(2)/25))/(LN(2)/25)*Calculateur!CG197*Calculateur!CI197*VLOOKUP('Données projet'!$B$12,Paramètres!$A$1:$I$89,3,0)*0.475*44/12</f>
        <v>1.2352146155772452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4.0123581066998408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69.379499747815245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-4.5474735088646412E-13</v>
      </c>
      <c r="CU197" s="17">
        <f>CT197*VLOOKUP('Données projet'!$B$13,Paramètres!$A$1:$I$89,3,0)*VLOOKUP('Données projet'!$B$13,Paramètres!$A$1:$I$89,5,0)</f>
        <v>-4.3273757910355926E-13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392.81074187112989</v>
      </c>
      <c r="CZ197" s="59">
        <f t="shared" ref="CZ197:CZ203" si="208">$CZ$3</f>
        <v>236.19146849073687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77.765941132431763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77.765941132431763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69.379499747815245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-4.5474735088646412E-13</v>
      </c>
      <c r="DP197" s="17">
        <f>DO197*VLOOKUP('Données projet'!$B$14,Paramètres!$A$1:$I$89,3,0)*VLOOKUP('Données projet'!$B$14,Paramètres!$A$1:$I$89,5,0)</f>
        <v>-4.8949004849418999E-13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434.77799524785502</v>
      </c>
      <c r="DU197" s="59">
        <f t="shared" ref="DU197:DU203" si="209">$DU$3</f>
        <v>259.85949838170006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87.964753084226032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87.964753084226032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69.379499747815245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-4.5474735088646412E-13</v>
      </c>
      <c r="EK197" s="17">
        <f>EJ197*VLOOKUP('Données projet'!$B$15,Paramètres!$A$1:$I$89,3,0)*VLOOKUP('Données projet'!$B$15,Paramètres!$A$1:$I$89,5,0)</f>
        <v>-4.3983163777738812E-13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398.06270423055565</v>
      </c>
      <c r="EP197" s="59">
        <f t="shared" ref="EP197:EP203" si="210">$EP$3</f>
        <v>239.15364562040614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79.040792626406031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79.040792626406031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69.379499747815245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-1.7053025658242404E-13</v>
      </c>
      <c r="FF197" s="17">
        <f>FE197*VLOOKUP('Données projet'!$B$16,Paramètres!$A$1:$I$89,3,0)*VLOOKUP('Données projet'!$B$16,Paramètres!$A$1:$I$89,5,0)</f>
        <v>-1.0197709343628959E-13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334.13861979962491</v>
      </c>
      <c r="FK197" s="59">
        <f t="shared" ref="FK197:FK203" si="211">$FK$3</f>
        <v>416.48635183664305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10.589219923575616</v>
      </c>
      <c r="FR197" s="21">
        <f>EXP(-LN(2)/25)*FR196+(1-EXP(-LN(2)/25))/(LN(2)/25)*Calculateur!FM197*Calculateur!FO197*VLOOKUP('Données projet'!$B$16,Paramètres!$A$1:$I$89,3,0)*0.475*44/12</f>
        <v>0.9632574319847006</v>
      </c>
      <c r="FS197" s="21">
        <f>EXP(-LN(2)/2)*FS196+(1-EXP(-LN(2)/2))/(LN(2)/2)*FM197*FP197*VLOOKUP('Données projet'!$B$16,Paramètres!$A$1:$I$89,3,0)*0.475*44/12</f>
        <v>6.8451054935076958E-20</v>
      </c>
      <c r="FT197" s="22">
        <f t="shared" si="184"/>
        <v>11.552477355560317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69.379499747815245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3.4106051316484809E-13</v>
      </c>
      <c r="GA197" s="17">
        <f>FZ197*VLOOKUP('Données projet'!$B$17,Paramètres!$A$1:$I$89,3,0)*VLOOKUP('Données projet'!$B$17,Paramètres!$A$1:$I$89,5,0)</f>
        <v>1.5961632016114892E-13</v>
      </c>
      <c r="GB197" s="13">
        <f t="shared" si="185"/>
        <v>2.2708641912150958E-12</v>
      </c>
      <c r="GC197" s="20">
        <f t="shared" si="186"/>
        <v>4.2330868906469593E-12</v>
      </c>
      <c r="GD197" s="59">
        <f t="shared" si="200"/>
        <v>291.05816574199343</v>
      </c>
      <c r="GE197" s="59">
        <f ca="1">AVERAGE(OFFSET($GD$3,0,0,'Données projet'!$E$17+1,1))-AVERAGE(OFFSET($H$3,0,0,'Données projet'!$E$17+1,1))</f>
        <v>317.79829681023142</v>
      </c>
      <c r="GF197" s="59">
        <f t="shared" ref="GF197:GF203" si="212">$GF$3</f>
        <v>275.07716943523621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30.068361536253065</v>
      </c>
      <c r="GM197" s="21">
        <f>EXP(-LN(2)/25)*GM196+(1-EXP(-LN(2)/25))/(LN(2)/25)*Calculateur!GH197*Calculateur!GJ197*VLOOKUP('Données projet'!$B$17,Paramètres!$A$1:$I$89,3,0)*0.475*44/12</f>
        <v>3.7239793148367908</v>
      </c>
      <c r="GN197" s="21">
        <f>EXP(-LN(2)/2)*GN196+(1-EXP(-LN(2)/2))/(LN(2)/2)*GH197*GK197*VLOOKUP('Données projet'!$B$17,Paramètres!$A$1:$I$89,3,0)*0.475*44/12</f>
        <v>8.9177799938474324E-13</v>
      </c>
      <c r="GO197" s="21">
        <f t="shared" si="187"/>
        <v>33.792340851090749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69.379499747815245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>
        <f>GU197*VLOOKUP('Données projet'!$B$18,Paramètres!$A$1:$I$89,3,0)*VLOOKUP('Données projet'!$B$18,Paramètres!$A$1:$I$89,5,0)</f>
        <v>0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336.21787234885699</v>
      </c>
      <c r="HA197" s="59">
        <f t="shared" ref="HA197:HA203" si="213">$HA$3</f>
        <v>315.36156736899113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18.059161117782022</v>
      </c>
      <c r="HH197" s="21">
        <f>EXP(-LN(2)/25)*HH196+(1-EXP(-LN(2)/25))/(LN(2)/25)*Calculateur!HC197*Calculateur!HE197*VLOOKUP('Données projet'!$B$18,Paramètres!$A$1:$I$89,3,0)*0.475*44/12</f>
        <v>1.7808832422108725</v>
      </c>
      <c r="HI197" s="21">
        <f>EXP(-LN(2)/2)*HI196+(1-EXP(-LN(2)/2))/(LN(2)/2)*HC197*HF197*VLOOKUP('Données projet'!$B$18,Paramètres!$A$1:$I$89,3,0)*0.475*44/12</f>
        <v>8.6372663163103975E-18</v>
      </c>
      <c r="HJ197" s="22">
        <f t="shared" si="190"/>
        <v>19.840044359992895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3.7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13.566666666666668</v>
      </c>
      <c r="H198" s="67">
        <f t="shared" si="192"/>
        <v>202.4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69.390264039959916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5.1431925385259092E-13</v>
      </c>
      <c r="P198" s="13">
        <f t="shared" si="203"/>
        <v>6.3855359115685756E-12</v>
      </c>
      <c r="Q198" s="20">
        <f t="shared" si="162"/>
        <v>1.2017247746441865E-11</v>
      </c>
      <c r="R198" s="59">
        <f t="shared" si="191"/>
        <v>291.09763481319834</v>
      </c>
      <c r="S198" s="59">
        <f ca="1">AVERAGE(OFFSET($R$3,0,0,'Données projet'!$E$9+1,1))-AVERAGE(OFFSET($H$3,0,0,'Données projet'!$E$9+1,1))</f>
        <v>411.64357329340851</v>
      </c>
      <c r="T198" s="59">
        <f t="shared" si="204"/>
        <v>294.07942258675632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48.139906971712911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48.139906971712911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69.390264039959916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5.763922672485933E-13</v>
      </c>
      <c r="AK198" s="13">
        <f t="shared" si="164"/>
        <v>7.0619171555808457E-12</v>
      </c>
      <c r="AL198" s="20">
        <f t="shared" si="165"/>
        <v>1.3303388911427938E-11</v>
      </c>
      <c r="AM198" s="59">
        <f t="shared" si="193"/>
        <v>291.09763481319965</v>
      </c>
      <c r="AN198" s="59">
        <f ca="1">AVERAGE(OFFSET($AM$3,0,0,'Données projet'!$E$10+1,1))-AVERAGE(OFFSET($H$3,0,0,'Données projet'!$E$10+1,1))</f>
        <v>453.05577105995508</v>
      </c>
      <c r="AO198" s="59">
        <f t="shared" si="205"/>
        <v>322.6839824496758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53.949895744161012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53.949895744161012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69.390264039959916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3.2684965844964609E-13</v>
      </c>
      <c r="BE198" s="13">
        <f>BD198*VLOOKUP('Données projet'!$B$11,Paramètres!$A$1:$I$89,3,0)*VLOOKUP('Données projet'!$B$11,Paramètres!$A$1:$I$89,5,0)</f>
        <v>3.2632669899612666E-13</v>
      </c>
      <c r="BF198" s="13">
        <f t="shared" si="167"/>
        <v>4.2718452243241941E-12</v>
      </c>
      <c r="BG198" s="20">
        <f t="shared" si="168"/>
        <v>8.0084827664495574E-12</v>
      </c>
      <c r="BH198" s="59">
        <f t="shared" si="194"/>
        <v>291.09763481319436</v>
      </c>
      <c r="BI198" s="59">
        <f ca="1">AVERAGE(OFFSET($BH$3,0,0,'Données projet'!$E$11+1,1))-AVERAGE(OFFSET($H$3,0,0,'Données projet'!$E$11+1,1))</f>
        <v>411.38162678377478</v>
      </c>
      <c r="BJ198" s="59">
        <f t="shared" si="206"/>
        <v>177.89903563360403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152.93752234448414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152.93752234448414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69.390264039959916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212.00000000000009</v>
      </c>
      <c r="BZ198" s="13">
        <f>BY198*VLOOKUP('Données projet'!$B$12,Paramètres!$A$1:$I$89,3,0)*VLOOKUP('Données projet'!$B$12,Paramètres!$A$1:$I$89,5,0)</f>
        <v>221.58240000000012</v>
      </c>
      <c r="CA198" s="13">
        <f t="shared" si="170"/>
        <v>54.458668952651578</v>
      </c>
      <c r="CB198" s="20">
        <f t="shared" si="171"/>
        <v>480.77152842586838</v>
      </c>
      <c r="CC198" s="59">
        <f t="shared" si="195"/>
        <v>771.86916323905473</v>
      </c>
      <c r="CD198" s="59">
        <f ca="1">AVERAGE(OFFSET($CC$3,0,0,'Données projet'!$E$12+1,1))-AVERAGE(OFFSET($H$3,0,0,'Données projet'!$E$12+1,1))</f>
        <v>374.38550202939507</v>
      </c>
      <c r="CE198" s="59">
        <f t="shared" si="207"/>
        <v>324.37486924296718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2.7226854011519528</v>
      </c>
      <c r="CL198" s="21">
        <f>EXP(-LN(2)/25)*CL197+(1-EXP(-LN(2)/25))/(LN(2)/25)*Calculateur!CG198*Calculateur!CI198*VLOOKUP('Données projet'!$B$12,Paramètres!$A$1:$I$89,3,0)*0.475*44/12</f>
        <v>1.2014376069571719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3.9241230081091247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69.390264039959916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-4.5474735088646412E-13</v>
      </c>
      <c r="CU198" s="17">
        <f>CT198*VLOOKUP('Données projet'!$B$13,Paramètres!$A$1:$I$89,3,0)*VLOOKUP('Données projet'!$B$13,Paramètres!$A$1:$I$89,5,0)</f>
        <v>-4.3273757910355926E-13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392.81074187112989</v>
      </c>
      <c r="CZ198" s="59">
        <f t="shared" si="208"/>
        <v>236.19146849073687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76.240998459365287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76.240998459365287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69.390264039959916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-4.5474735088646412E-13</v>
      </c>
      <c r="DP198" s="17">
        <f>DO198*VLOOKUP('Données projet'!$B$14,Paramètres!$A$1:$I$89,3,0)*VLOOKUP('Données projet'!$B$14,Paramètres!$A$1:$I$89,5,0)</f>
        <v>-4.8949004849418999E-13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434.77799524785502</v>
      </c>
      <c r="DU198" s="59">
        <f t="shared" si="209"/>
        <v>259.85949838170006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86.239817929445934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86.239817929445934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69.390264039959916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-4.5474735088646412E-13</v>
      </c>
      <c r="EK198" s="17">
        <f>EJ198*VLOOKUP('Données projet'!$B$15,Paramètres!$A$1:$I$89,3,0)*VLOOKUP('Données projet'!$B$15,Paramètres!$A$1:$I$89,5,0)</f>
        <v>-4.3983163777738812E-13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398.06270423055565</v>
      </c>
      <c r="EP198" s="59">
        <f t="shared" si="210"/>
        <v>239.15364562040614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77.490850893125355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77.490850893125355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69.390264039959916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-1.7053025658242404E-13</v>
      </c>
      <c r="FF198" s="17">
        <f>FE198*VLOOKUP('Données projet'!$B$16,Paramètres!$A$1:$I$89,3,0)*VLOOKUP('Données projet'!$B$16,Paramètres!$A$1:$I$89,5,0)</f>
        <v>-1.0197709343628959E-13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334.13861979962491</v>
      </c>
      <c r="FK198" s="59">
        <f t="shared" si="211"/>
        <v>416.48635183664305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10.3815717796607</v>
      </c>
      <c r="FR198" s="21">
        <f>EXP(-LN(2)/25)*FR197+(1-EXP(-LN(2)/25))/(LN(2)/25)*Calculateur!FM198*Calculateur!FO198*VLOOKUP('Données projet'!$B$16,Paramètres!$A$1:$I$89,3,0)*0.475*44/12</f>
        <v>0.93691710685157215</v>
      </c>
      <c r="FS198" s="21">
        <f>EXP(-LN(2)/2)*FS197+(1-EXP(-LN(2)/2))/(LN(2)/2)*FM198*FP198*VLOOKUP('Données projet'!$B$16,Paramètres!$A$1:$I$89,3,0)*0.475*44/12</f>
        <v>4.8402205123965808E-20</v>
      </c>
      <c r="FT198" s="22">
        <f t="shared" si="184"/>
        <v>11.318488886512272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69.390264039959916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3.4106051316484809E-13</v>
      </c>
      <c r="GA198" s="17">
        <f>FZ198*VLOOKUP('Données projet'!$B$17,Paramètres!$A$1:$I$89,3,0)*VLOOKUP('Données projet'!$B$17,Paramètres!$A$1:$I$89,5,0)</f>
        <v>1.5961632016114892E-13</v>
      </c>
      <c r="GB198" s="13">
        <f t="shared" si="185"/>
        <v>2.2708641912150958E-12</v>
      </c>
      <c r="GC198" s="20">
        <f t="shared" si="186"/>
        <v>4.2330868906469593E-12</v>
      </c>
      <c r="GD198" s="59">
        <f t="shared" si="200"/>
        <v>291.09763481319055</v>
      </c>
      <c r="GE198" s="59">
        <f ca="1">AVERAGE(OFFSET($GD$3,0,0,'Données projet'!$E$17+1,1))-AVERAGE(OFFSET($H$3,0,0,'Données projet'!$E$17+1,1))</f>
        <v>317.79829681023142</v>
      </c>
      <c r="GF198" s="59">
        <f t="shared" si="212"/>
        <v>275.07716943523621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29.478739306416767</v>
      </c>
      <c r="GM198" s="21">
        <f>EXP(-LN(2)/25)*GM197+(1-EXP(-LN(2)/25))/(LN(2)/25)*Calculateur!GH198*Calculateur!GJ198*VLOOKUP('Données projet'!$B$17,Paramètres!$A$1:$I$89,3,0)*0.475*44/12</f>
        <v>3.6221469046370181</v>
      </c>
      <c r="GN198" s="21">
        <f>EXP(-LN(2)/2)*GN197+(1-EXP(-LN(2)/2))/(LN(2)/2)*GH198*GK198*VLOOKUP('Données projet'!$B$17,Paramètres!$A$1:$I$89,3,0)*0.475*44/12</f>
        <v>6.3058227067792478E-13</v>
      </c>
      <c r="GO198" s="21">
        <f t="shared" si="187"/>
        <v>33.100886211054416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69.390264039959916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>
        <f>GU198*VLOOKUP('Données projet'!$B$18,Paramètres!$A$1:$I$89,3,0)*VLOOKUP('Données projet'!$B$18,Paramètres!$A$1:$I$89,5,0)</f>
        <v>0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336.21787234885699</v>
      </c>
      <c r="HA198" s="59">
        <f t="shared" si="213"/>
        <v>315.36156736899113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17.705031983262959</v>
      </c>
      <c r="HH198" s="21">
        <f>EXP(-LN(2)/25)*HH197+(1-EXP(-LN(2)/25))/(LN(2)/25)*Calculateur!HC198*Calculateur!HE198*VLOOKUP('Données projet'!$B$18,Paramètres!$A$1:$I$89,3,0)*0.475*44/12</f>
        <v>1.7321848963000368</v>
      </c>
      <c r="HI198" s="21">
        <f>EXP(-LN(2)/2)*HI197+(1-EXP(-LN(2)/2))/(LN(2)/2)*HC198*HF198*VLOOKUP('Données projet'!$B$18,Paramètres!$A$1:$I$89,3,0)*0.475*44/12</f>
        <v>6.1074695831772338E-18</v>
      </c>
      <c r="HJ198" s="22">
        <f t="shared" si="190"/>
        <v>19.437216879562996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3.7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13.566666666666668</v>
      </c>
      <c r="H199" s="67">
        <f t="shared" si="192"/>
        <v>202.4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69.400841595701223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5.1431925385259092E-13</v>
      </c>
      <c r="P199" s="13">
        <f t="shared" si="203"/>
        <v>6.3855359115685756E-12</v>
      </c>
      <c r="Q199" s="20">
        <f t="shared" si="162"/>
        <v>1.2017247746441865E-11</v>
      </c>
      <c r="R199" s="59">
        <f t="shared" si="191"/>
        <v>291.1364191842498</v>
      </c>
      <c r="S199" s="59">
        <f ca="1">AVERAGE(OFFSET($R$3,0,0,'Données projet'!$E$9+1,1))-AVERAGE(OFFSET($H$3,0,0,'Données projet'!$E$9+1,1))</f>
        <v>411.64357329340851</v>
      </c>
      <c r="T199" s="59">
        <f t="shared" si="204"/>
        <v>294.07942258675632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47.195912758441573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47.195912758441573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69.400841595701223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5.763922672485933E-13</v>
      </c>
      <c r="AK199" s="13">
        <f t="shared" si="164"/>
        <v>7.0619171555808457E-12</v>
      </c>
      <c r="AL199" s="20">
        <f t="shared" si="165"/>
        <v>1.3303388911427938E-11</v>
      </c>
      <c r="AM199" s="59">
        <f t="shared" si="193"/>
        <v>291.13641918425111</v>
      </c>
      <c r="AN199" s="59">
        <f ca="1">AVERAGE(OFFSET($AM$3,0,0,'Données projet'!$E$10+1,1))-AVERAGE(OFFSET($H$3,0,0,'Données projet'!$E$10+1,1))</f>
        <v>453.05577105995508</v>
      </c>
      <c r="AO199" s="59">
        <f t="shared" si="205"/>
        <v>322.6839824496758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52.891971194805201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52.891971194805201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69.400841595701223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3.2684965844964609E-13</v>
      </c>
      <c r="BE199" s="13">
        <f>BD199*VLOOKUP('Données projet'!$B$11,Paramètres!$A$1:$I$89,3,0)*VLOOKUP('Données projet'!$B$11,Paramètres!$A$1:$I$89,5,0)</f>
        <v>3.2632669899612666E-13</v>
      </c>
      <c r="BF199" s="13">
        <f t="shared" si="167"/>
        <v>4.2718452243241941E-12</v>
      </c>
      <c r="BG199" s="20">
        <f t="shared" si="168"/>
        <v>8.0084827664495574E-12</v>
      </c>
      <c r="BH199" s="59">
        <f t="shared" si="194"/>
        <v>291.13641918424582</v>
      </c>
      <c r="BI199" s="59">
        <f ca="1">AVERAGE(OFFSET($BH$3,0,0,'Données projet'!$E$11+1,1))-AVERAGE(OFFSET($H$3,0,0,'Données projet'!$E$11+1,1))</f>
        <v>411.38162678377478</v>
      </c>
      <c r="BJ199" s="59">
        <f t="shared" si="206"/>
        <v>177.89903563360403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149.93851081398654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149.93851081398654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69.400841595701223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212.00000000000009</v>
      </c>
      <c r="BZ199" s="13">
        <f>BY199*VLOOKUP('Données projet'!$B$12,Paramètres!$A$1:$I$89,3,0)*VLOOKUP('Données projet'!$B$12,Paramètres!$A$1:$I$89,5,0)</f>
        <v>221.58240000000012</v>
      </c>
      <c r="CA199" s="13">
        <f t="shared" si="170"/>
        <v>54.458668952651578</v>
      </c>
      <c r="CB199" s="20">
        <f t="shared" si="171"/>
        <v>480.77152842586838</v>
      </c>
      <c r="CC199" s="59">
        <f t="shared" si="195"/>
        <v>771.90794761010625</v>
      </c>
      <c r="CD199" s="59">
        <f ca="1">AVERAGE(OFFSET($CC$3,0,0,'Données projet'!$E$12+1,1))-AVERAGE(OFFSET($H$3,0,0,'Données projet'!$E$12+1,1))</f>
        <v>374.38550202939507</v>
      </c>
      <c r="CE199" s="59">
        <f t="shared" si="207"/>
        <v>324.37486924296718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2.6692952011094797</v>
      </c>
      <c r="CL199" s="21">
        <f>EXP(-LN(2)/25)*CL198+(1-EXP(-LN(2)/25))/(LN(2)/25)*Calculateur!CG199*Calculateur!CI199*VLOOKUP('Données projet'!$B$12,Paramètres!$A$1:$I$89,3,0)*0.475*44/12</f>
        <v>1.1685842324140703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3.83787943352355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69.400841595701223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-4.5474735088646412E-13</v>
      </c>
      <c r="CU199" s="17">
        <f>CT199*VLOOKUP('Données projet'!$B$13,Paramètres!$A$1:$I$89,3,0)*VLOOKUP('Données projet'!$B$13,Paramètres!$A$1:$I$89,5,0)</f>
        <v>-4.3273757910355926E-13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392.81074187112989</v>
      </c>
      <c r="CZ199" s="59">
        <f t="shared" si="208"/>
        <v>236.19146849073687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74.745958981994463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74.745958981994463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69.400841595701223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-4.5474735088646412E-13</v>
      </c>
      <c r="DP199" s="17">
        <f>DO199*VLOOKUP('Données projet'!$B$14,Paramètres!$A$1:$I$89,3,0)*VLOOKUP('Données projet'!$B$14,Paramètres!$A$1:$I$89,5,0)</f>
        <v>-4.8949004849418999E-13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434.77799524785502</v>
      </c>
      <c r="DU199" s="59">
        <f t="shared" si="209"/>
        <v>259.85949838170006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84.548707700944504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84.548707700944504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69.400841595701223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-4.5474735088646412E-13</v>
      </c>
      <c r="EK199" s="17">
        <f>EJ199*VLOOKUP('Données projet'!$B$15,Paramètres!$A$1:$I$89,3,0)*VLOOKUP('Données projet'!$B$15,Paramètres!$A$1:$I$89,5,0)</f>
        <v>-4.3983163777738812E-13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398.06270423055565</v>
      </c>
      <c r="EP199" s="59">
        <f t="shared" si="210"/>
        <v>239.15364562040614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75.971302571863205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75.971302571863205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69.400841595701223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-1.7053025658242404E-13</v>
      </c>
      <c r="FF199" s="17">
        <f>FE199*VLOOKUP('Données projet'!$B$16,Paramètres!$A$1:$I$89,3,0)*VLOOKUP('Données projet'!$B$16,Paramètres!$A$1:$I$89,5,0)</f>
        <v>-1.0197709343628959E-13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334.13861979962491</v>
      </c>
      <c r="FK199" s="59">
        <f t="shared" si="211"/>
        <v>416.48635183664305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10.177995489195093</v>
      </c>
      <c r="FR199" s="21">
        <f>EXP(-LN(2)/25)*FR198+(1-EXP(-LN(2)/25))/(LN(2)/25)*Calculateur!FM199*Calculateur!FO199*VLOOKUP('Données projet'!$B$16,Paramètres!$A$1:$I$89,3,0)*0.475*44/12</f>
        <v>0.91129705929438665</v>
      </c>
      <c r="FS199" s="21">
        <f>EXP(-LN(2)/2)*FS198+(1-EXP(-LN(2)/2))/(LN(2)/2)*FM199*FP199*VLOOKUP('Données projet'!$B$16,Paramètres!$A$1:$I$89,3,0)*0.475*44/12</f>
        <v>3.4225527467538479E-20</v>
      </c>
      <c r="FT199" s="22">
        <f t="shared" si="184"/>
        <v>11.08929254848948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69.400841595701223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3.4106051316484809E-13</v>
      </c>
      <c r="GA199" s="17">
        <f>FZ199*VLOOKUP('Données projet'!$B$17,Paramètres!$A$1:$I$89,3,0)*VLOOKUP('Données projet'!$B$17,Paramètres!$A$1:$I$89,5,0)</f>
        <v>1.5961632016114892E-13</v>
      </c>
      <c r="GB199" s="13">
        <f t="shared" si="185"/>
        <v>2.2708641912150958E-12</v>
      </c>
      <c r="GC199" s="20">
        <f t="shared" si="186"/>
        <v>4.2330868906469593E-12</v>
      </c>
      <c r="GD199" s="59">
        <f t="shared" si="200"/>
        <v>291.13641918424202</v>
      </c>
      <c r="GE199" s="59">
        <f ca="1">AVERAGE(OFFSET($GD$3,0,0,'Données projet'!$E$17+1,1))-AVERAGE(OFFSET($H$3,0,0,'Données projet'!$E$17+1,1))</f>
        <v>317.79829681023142</v>
      </c>
      <c r="GF199" s="59">
        <f t="shared" si="212"/>
        <v>275.07716943523621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28.900679208873509</v>
      </c>
      <c r="GM199" s="21">
        <f>EXP(-LN(2)/25)*GM198+(1-EXP(-LN(2)/25))/(LN(2)/25)*Calculateur!GH199*Calculateur!GJ199*VLOOKUP('Données projet'!$B$17,Paramètres!$A$1:$I$89,3,0)*0.475*44/12</f>
        <v>3.5230991070492914</v>
      </c>
      <c r="GN199" s="21">
        <f>EXP(-LN(2)/2)*GN198+(1-EXP(-LN(2)/2))/(LN(2)/2)*GH199*GK199*VLOOKUP('Données projet'!$B$17,Paramètres!$A$1:$I$89,3,0)*0.475*44/12</f>
        <v>4.4588899969237167E-13</v>
      </c>
      <c r="GO199" s="21">
        <f t="shared" si="187"/>
        <v>32.423778315923251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69.400841595701223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>
        <f>GU199*VLOOKUP('Données projet'!$B$18,Paramètres!$A$1:$I$89,3,0)*VLOOKUP('Données projet'!$B$18,Paramètres!$A$1:$I$89,5,0)</f>
        <v>0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336.21787234885699</v>
      </c>
      <c r="HA199" s="59">
        <f t="shared" si="213"/>
        <v>315.36156736899113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17.35784710507437</v>
      </c>
      <c r="HH199" s="21">
        <f>EXP(-LN(2)/25)*HH198+(1-EXP(-LN(2)/25))/(LN(2)/25)*Calculateur!HC199*Calculateur!HE199*VLOOKUP('Données projet'!$B$18,Paramètres!$A$1:$I$89,3,0)*0.475*44/12</f>
        <v>1.6848182092190676</v>
      </c>
      <c r="HI199" s="21">
        <f>EXP(-LN(2)/2)*HI198+(1-EXP(-LN(2)/2))/(LN(2)/2)*HC199*HF199*VLOOKUP('Données projet'!$B$18,Paramètres!$A$1:$I$89,3,0)*0.475*44/12</f>
        <v>4.3186331581551988E-18</v>
      </c>
      <c r="HJ199" s="22">
        <f t="shared" si="190"/>
        <v>19.042665314293437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3.7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13.566666666666668</v>
      </c>
      <c r="H200" s="67">
        <f t="shared" si="192"/>
        <v>202.4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69.411235654498284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5.1431925385259092E-13</v>
      </c>
      <c r="P200" s="13">
        <f t="shared" si="203"/>
        <v>6.3855359115685756E-12</v>
      </c>
      <c r="Q200" s="20">
        <f t="shared" si="162"/>
        <v>1.2017247746441865E-11</v>
      </c>
      <c r="R200" s="59">
        <f t="shared" si="191"/>
        <v>291.17453073317233</v>
      </c>
      <c r="S200" s="59">
        <f ca="1">AVERAGE(OFFSET($R$3,0,0,'Données projet'!$E$9+1,1))-AVERAGE(OFFSET($H$3,0,0,'Données projet'!$E$9+1,1))</f>
        <v>411.64357329340851</v>
      </c>
      <c r="T200" s="59">
        <f t="shared" si="204"/>
        <v>294.07942258675632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46.270429695912867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46.270429695912867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69.411235654498284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5.763922672485933E-13</v>
      </c>
      <c r="AK200" s="13">
        <f t="shared" si="164"/>
        <v>7.0619171555808457E-12</v>
      </c>
      <c r="AL200" s="20">
        <f t="shared" si="165"/>
        <v>1.3303388911427938E-11</v>
      </c>
      <c r="AM200" s="59">
        <f t="shared" si="193"/>
        <v>291.17453073317364</v>
      </c>
      <c r="AN200" s="59">
        <f ca="1">AVERAGE(OFFSET($AM$3,0,0,'Données projet'!$E$10+1,1))-AVERAGE(OFFSET($H$3,0,0,'Données projet'!$E$10+1,1))</f>
        <v>453.05577105995508</v>
      </c>
      <c r="AO200" s="59">
        <f t="shared" si="205"/>
        <v>322.6839824496758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51.854791900591998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51.854791900591998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69.411235654498284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3.2684965844964609E-13</v>
      </c>
      <c r="BE200" s="13">
        <f>BD200*VLOOKUP('Données projet'!$B$11,Paramètres!$A$1:$I$89,3,0)*VLOOKUP('Données projet'!$B$11,Paramètres!$A$1:$I$89,5,0)</f>
        <v>3.2632669899612666E-13</v>
      </c>
      <c r="BF200" s="13">
        <f t="shared" si="167"/>
        <v>4.2718452243241941E-12</v>
      </c>
      <c r="BG200" s="20">
        <f t="shared" si="168"/>
        <v>8.0084827664495574E-12</v>
      </c>
      <c r="BH200" s="59">
        <f t="shared" si="194"/>
        <v>291.17453073316835</v>
      </c>
      <c r="BI200" s="59">
        <f ca="1">AVERAGE(OFFSET($BH$3,0,0,'Données projet'!$E$11+1,1))-AVERAGE(OFFSET($H$3,0,0,'Données projet'!$E$11+1,1))</f>
        <v>411.38162678377478</v>
      </c>
      <c r="BJ200" s="59">
        <f t="shared" si="206"/>
        <v>177.89903563360403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146.99830807038558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146.99830807038558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69.411235654498284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212.00000000000009</v>
      </c>
      <c r="BZ200" s="13">
        <f>BY200*VLOOKUP('Données projet'!$B$12,Paramètres!$A$1:$I$89,3,0)*VLOOKUP('Données projet'!$B$12,Paramètres!$A$1:$I$89,5,0)</f>
        <v>221.58240000000012</v>
      </c>
      <c r="CA200" s="13">
        <f t="shared" si="170"/>
        <v>54.458668952651578</v>
      </c>
      <c r="CB200" s="20">
        <f t="shared" si="171"/>
        <v>480.77152842586838</v>
      </c>
      <c r="CC200" s="59">
        <f t="shared" si="195"/>
        <v>771.94605915902866</v>
      </c>
      <c r="CD200" s="59">
        <f ca="1">AVERAGE(OFFSET($CC$3,0,0,'Données projet'!$E$12+1,1))-AVERAGE(OFFSET($H$3,0,0,'Données projet'!$E$12+1,1))</f>
        <v>374.38550202939507</v>
      </c>
      <c r="CE200" s="59">
        <f t="shared" si="207"/>
        <v>324.37486924296718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2.6169519503250331</v>
      </c>
      <c r="CL200" s="21">
        <f>EXP(-LN(2)/25)*CL199+(1-EXP(-LN(2)/25))/(LN(2)/25)*Calculateur!CG200*Calculateur!CI200*VLOOKUP('Données projet'!$B$12,Paramètres!$A$1:$I$89,3,0)*0.475*44/12</f>
        <v>1.1366292351255336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3.7535811854505665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69.411235654498284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-4.5474735088646412E-13</v>
      </c>
      <c r="CU200" s="17">
        <f>CT200*VLOOKUP('Données projet'!$B$13,Paramètres!$A$1:$I$89,3,0)*VLOOKUP('Données projet'!$B$13,Paramètres!$A$1:$I$89,5,0)</f>
        <v>-4.3273757910355926E-13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392.81074187112989</v>
      </c>
      <c r="CZ200" s="59">
        <f t="shared" si="208"/>
        <v>236.19146849073687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73.280236316890836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73.280236316890836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69.411235654498284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-4.5474735088646412E-13</v>
      </c>
      <c r="DP200" s="17">
        <f>DO200*VLOOKUP('Données projet'!$B$14,Paramètres!$A$1:$I$89,3,0)*VLOOKUP('Données projet'!$B$14,Paramètres!$A$1:$I$89,5,0)</f>
        <v>-4.8949004849418999E-13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434.77799524785502</v>
      </c>
      <c r="DU200" s="59">
        <f t="shared" si="209"/>
        <v>259.85949838170006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82.890759112548608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82.890759112548608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69.411235654498284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-4.5474735088646412E-13</v>
      </c>
      <c r="EK200" s="17">
        <f>EJ200*VLOOKUP('Données projet'!$B$15,Paramètres!$A$1:$I$89,3,0)*VLOOKUP('Données projet'!$B$15,Paramètres!$A$1:$I$89,5,0)</f>
        <v>-4.3983163777738812E-13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398.06270423055565</v>
      </c>
      <c r="EP200" s="59">
        <f t="shared" si="210"/>
        <v>239.15364562040614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74.481551666348054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74.481551666348054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69.411235654498284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-1.7053025658242404E-13</v>
      </c>
      <c r="FF200" s="17">
        <f>FE200*VLOOKUP('Données projet'!$B$16,Paramètres!$A$1:$I$89,3,0)*VLOOKUP('Données projet'!$B$16,Paramètres!$A$1:$I$89,5,0)</f>
        <v>-1.0197709343628959E-13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334.13861979962491</v>
      </c>
      <c r="FK200" s="59">
        <f t="shared" si="211"/>
        <v>416.48635183664305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9.97841120561624</v>
      </c>
      <c r="FR200" s="21">
        <f>EXP(-LN(2)/25)*FR199+(1-EXP(-LN(2)/25))/(LN(2)/25)*Calculateur!FM200*Calculateur!FO200*VLOOKUP('Données projet'!$B$16,Paramètres!$A$1:$I$89,3,0)*0.475*44/12</f>
        <v>0.88637759328495214</v>
      </c>
      <c r="FS200" s="21">
        <f>EXP(-LN(2)/2)*FS199+(1-EXP(-LN(2)/2))/(LN(2)/2)*FM200*FP200*VLOOKUP('Données projet'!$B$16,Paramètres!$A$1:$I$89,3,0)*0.475*44/12</f>
        <v>2.4201102561982904E-20</v>
      </c>
      <c r="FT200" s="22">
        <f t="shared" si="184"/>
        <v>10.864788798901191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69.411235654498284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3.4106051316484809E-13</v>
      </c>
      <c r="GA200" s="17">
        <f>FZ200*VLOOKUP('Données projet'!$B$17,Paramètres!$A$1:$I$89,3,0)*VLOOKUP('Données projet'!$B$17,Paramètres!$A$1:$I$89,5,0)</f>
        <v>1.5961632016114892E-13</v>
      </c>
      <c r="GB200" s="13">
        <f t="shared" si="185"/>
        <v>2.2708641912150958E-12</v>
      </c>
      <c r="GC200" s="20">
        <f t="shared" si="186"/>
        <v>4.2330868906469593E-12</v>
      </c>
      <c r="GD200" s="59">
        <f t="shared" si="200"/>
        <v>291.17453073316454</v>
      </c>
      <c r="GE200" s="59">
        <f ca="1">AVERAGE(OFFSET($GD$3,0,0,'Données projet'!$E$17+1,1))-AVERAGE(OFFSET($H$3,0,0,'Données projet'!$E$17+1,1))</f>
        <v>317.79829681023142</v>
      </c>
      <c r="GF200" s="59">
        <f t="shared" si="212"/>
        <v>275.07716943523621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28.33395451726123</v>
      </c>
      <c r="GM200" s="21">
        <f>EXP(-LN(2)/25)*GM199+(1-EXP(-LN(2)/25))/(LN(2)/25)*Calculateur!GH200*Calculateur!GJ200*VLOOKUP('Données projet'!$B$17,Paramètres!$A$1:$I$89,3,0)*0.475*44/12</f>
        <v>3.4267597766952989</v>
      </c>
      <c r="GN200" s="21">
        <f>EXP(-LN(2)/2)*GN199+(1-EXP(-LN(2)/2))/(LN(2)/2)*GH200*GK200*VLOOKUP('Données projet'!$B$17,Paramètres!$A$1:$I$89,3,0)*0.475*44/12</f>
        <v>3.1529113533896244E-13</v>
      </c>
      <c r="GO200" s="21">
        <f t="shared" si="187"/>
        <v>31.760714293956845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69.411235654498284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>
        <f>GU200*VLOOKUP('Données projet'!$B$18,Paramètres!$A$1:$I$89,3,0)*VLOOKUP('Données projet'!$B$18,Paramètres!$A$1:$I$89,5,0)</f>
        <v>0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336.21787234885699</v>
      </c>
      <c r="HA200" s="59">
        <f t="shared" si="213"/>
        <v>315.36156736899113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17.017470310585193</v>
      </c>
      <c r="HH200" s="21">
        <f>EXP(-LN(2)/25)*HH199+(1-EXP(-LN(2)/25))/(LN(2)/25)*Calculateur!HC200*Calculateur!HE200*VLOOKUP('Données projet'!$B$18,Paramètres!$A$1:$I$89,3,0)*0.475*44/12</f>
        <v>1.6387467666872333</v>
      </c>
      <c r="HI200" s="21">
        <f>EXP(-LN(2)/2)*HI199+(1-EXP(-LN(2)/2))/(LN(2)/2)*HC200*HF200*VLOOKUP('Données projet'!$B$18,Paramètres!$A$1:$I$89,3,0)*0.475*44/12</f>
        <v>3.0537347915886169E-18</v>
      </c>
      <c r="HJ200" s="22">
        <f t="shared" si="190"/>
        <v>18.656217077272427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3.7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13.566666666666668</v>
      </c>
      <c r="H201" s="67">
        <f t="shared" si="192"/>
        <v>202.4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69.421449399612854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5.1431925385259092E-13</v>
      </c>
      <c r="P201" s="13">
        <f t="shared" si="203"/>
        <v>6.3855359115685756E-12</v>
      </c>
      <c r="Q201" s="20">
        <f t="shared" si="162"/>
        <v>1.2017247746441865E-11</v>
      </c>
      <c r="R201" s="59">
        <f t="shared" si="191"/>
        <v>291.21198113192577</v>
      </c>
      <c r="S201" s="59">
        <f ca="1">AVERAGE(OFFSET($R$3,0,0,'Données projet'!$E$9+1,1))-AVERAGE(OFFSET($H$3,0,0,'Données projet'!$E$9+1,1))</f>
        <v>411.64357329340851</v>
      </c>
      <c r="T201" s="59">
        <f t="shared" si="204"/>
        <v>294.07942258675632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45.363094791751422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45.363094791751422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69.421449399612854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5.763922672485933E-13</v>
      </c>
      <c r="AK201" s="13">
        <f t="shared" si="164"/>
        <v>7.0619171555808457E-12</v>
      </c>
      <c r="AL201" s="20">
        <f t="shared" si="165"/>
        <v>1.3303388911427938E-11</v>
      </c>
      <c r="AM201" s="59">
        <f t="shared" si="193"/>
        <v>291.21198113192708</v>
      </c>
      <c r="AN201" s="59">
        <f ca="1">AVERAGE(OFFSET($AM$3,0,0,'Données projet'!$E$10+1,1))-AVERAGE(OFFSET($H$3,0,0,'Données projet'!$E$10+1,1))</f>
        <v>453.05577105995508</v>
      </c>
      <c r="AO201" s="59">
        <f t="shared" si="205"/>
        <v>322.6839824496758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50.837951059721412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50.837951059721412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69.421449399612854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3.2684965844964609E-13</v>
      </c>
      <c r="BE201" s="13">
        <f>BD201*VLOOKUP('Données projet'!$B$11,Paramètres!$A$1:$I$89,3,0)*VLOOKUP('Données projet'!$B$11,Paramètres!$A$1:$I$89,5,0)</f>
        <v>3.2632669899612666E-13</v>
      </c>
      <c r="BF201" s="13">
        <f t="shared" si="167"/>
        <v>4.2718452243241941E-12</v>
      </c>
      <c r="BG201" s="20">
        <f t="shared" si="168"/>
        <v>8.0084827664495574E-12</v>
      </c>
      <c r="BH201" s="59">
        <f t="shared" si="194"/>
        <v>291.21198113192179</v>
      </c>
      <c r="BI201" s="59">
        <f ca="1">AVERAGE(OFFSET($BH$3,0,0,'Données projet'!$E$11+1,1))-AVERAGE(OFFSET($H$3,0,0,'Données projet'!$E$11+1,1))</f>
        <v>411.38162678377478</v>
      </c>
      <c r="BJ201" s="59">
        <f t="shared" si="206"/>
        <v>177.89903563360403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144.11576090924004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144.11576090924004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69.421449399612854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212.00000000000009</v>
      </c>
      <c r="BZ201" s="13">
        <f>BY201*VLOOKUP('Données projet'!$B$12,Paramètres!$A$1:$I$89,3,0)*VLOOKUP('Données projet'!$B$12,Paramètres!$A$1:$I$89,5,0)</f>
        <v>221.58240000000012</v>
      </c>
      <c r="CA201" s="13">
        <f t="shared" si="170"/>
        <v>54.458668952651578</v>
      </c>
      <c r="CB201" s="20">
        <f t="shared" si="171"/>
        <v>480.77152842586838</v>
      </c>
      <c r="CC201" s="59">
        <f t="shared" si="195"/>
        <v>771.9835095577821</v>
      </c>
      <c r="CD201" s="59">
        <f ca="1">AVERAGE(OFFSET($CC$3,0,0,'Données projet'!$E$12+1,1))-AVERAGE(OFFSET($H$3,0,0,'Données projet'!$E$12+1,1))</f>
        <v>374.38550202939507</v>
      </c>
      <c r="CE201" s="59">
        <f t="shared" si="207"/>
        <v>324.37486924296718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2.565635118762239</v>
      </c>
      <c r="CL201" s="21">
        <f>EXP(-LN(2)/25)*CL200+(1-EXP(-LN(2)/25))/(LN(2)/25)*Calculateur!CG201*Calculateur!CI201*VLOOKUP('Données projet'!$B$12,Paramètres!$A$1:$I$89,3,0)*0.475*44/12</f>
        <v>1.1055480489182923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3.6711831676805313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69.421449399612854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-4.5474735088646412E-13</v>
      </c>
      <c r="CU201" s="17">
        <f>CT201*VLOOKUP('Données projet'!$B$13,Paramètres!$A$1:$I$89,3,0)*VLOOKUP('Données projet'!$B$13,Paramètres!$A$1:$I$89,5,0)</f>
        <v>-4.3273757910355926E-13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392.81074187112989</v>
      </c>
      <c r="CZ201" s="59">
        <f t="shared" si="208"/>
        <v>236.19146849073687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71.843255579247341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71.843255579247341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69.421449399612854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-4.5474735088646412E-13</v>
      </c>
      <c r="DP201" s="17">
        <f>DO201*VLOOKUP('Données projet'!$B$14,Paramètres!$A$1:$I$89,3,0)*VLOOKUP('Données projet'!$B$14,Paramètres!$A$1:$I$89,5,0)</f>
        <v>-4.8949004849418999E-13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434.77799524785502</v>
      </c>
      <c r="DU201" s="59">
        <f t="shared" si="209"/>
        <v>259.85949838170006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81.265321884722368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81.265321884722368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69.421449399612854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-4.5474735088646412E-13</v>
      </c>
      <c r="EK201" s="17">
        <f>EJ201*VLOOKUP('Données projet'!$B$15,Paramètres!$A$1:$I$89,3,0)*VLOOKUP('Données projet'!$B$15,Paramètres!$A$1:$I$89,5,0)</f>
        <v>-4.3983163777738812E-13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398.06270423055565</v>
      </c>
      <c r="EP201" s="59">
        <f t="shared" si="210"/>
        <v>239.15364562040614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73.021013867431719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73.021013867431719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69.421449399612854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-1.7053025658242404E-13</v>
      </c>
      <c r="FF201" s="17">
        <f>FE201*VLOOKUP('Données projet'!$B$16,Paramètres!$A$1:$I$89,3,0)*VLOOKUP('Données projet'!$B$16,Paramètres!$A$1:$I$89,5,0)</f>
        <v>-1.0197709343628959E-13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334.13861979962491</v>
      </c>
      <c r="FK201" s="59">
        <f t="shared" si="211"/>
        <v>416.48635183664305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9.7827406481039763</v>
      </c>
      <c r="FR201" s="21">
        <f>EXP(-LN(2)/25)*FR200+(1-EXP(-LN(2)/25))/(LN(2)/25)*Calculateur!FM201*Calculateur!FO201*VLOOKUP('Données projet'!$B$16,Paramètres!$A$1:$I$89,3,0)*0.475*44/12</f>
        <v>0.86213955138400333</v>
      </c>
      <c r="FS201" s="21">
        <f>EXP(-LN(2)/2)*FS200+(1-EXP(-LN(2)/2))/(LN(2)/2)*FM201*FP201*VLOOKUP('Données projet'!$B$16,Paramètres!$A$1:$I$89,3,0)*0.475*44/12</f>
        <v>1.711276373376924E-20</v>
      </c>
      <c r="FT201" s="22">
        <f t="shared" si="184"/>
        <v>10.644880199487979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69.421449399612854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3.4106051316484809E-13</v>
      </c>
      <c r="GA201" s="17">
        <f>FZ201*VLOOKUP('Données projet'!$B$17,Paramètres!$A$1:$I$89,3,0)*VLOOKUP('Données projet'!$B$17,Paramètres!$A$1:$I$89,5,0)</f>
        <v>1.5961632016114892E-13</v>
      </c>
      <c r="GB201" s="13">
        <f t="shared" si="185"/>
        <v>2.2708641912150958E-12</v>
      </c>
      <c r="GC201" s="20">
        <f t="shared" si="186"/>
        <v>4.2330868906469593E-12</v>
      </c>
      <c r="GD201" s="59">
        <f t="shared" si="200"/>
        <v>291.21198113191798</v>
      </c>
      <c r="GE201" s="59">
        <f ca="1">AVERAGE(OFFSET($GD$3,0,0,'Données projet'!$E$17+1,1))-AVERAGE(OFFSET($H$3,0,0,'Données projet'!$E$17+1,1))</f>
        <v>317.79829681023142</v>
      </c>
      <c r="GF201" s="59">
        <f t="shared" si="212"/>
        <v>275.07716943523621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27.778342951183536</v>
      </c>
      <c r="GM201" s="21">
        <f>EXP(-LN(2)/25)*GM200+(1-EXP(-LN(2)/25))/(LN(2)/25)*Calculateur!GH201*Calculateur!GJ201*VLOOKUP('Données projet'!$B$17,Paramètres!$A$1:$I$89,3,0)*0.475*44/12</f>
        <v>3.3330548503961013</v>
      </c>
      <c r="GN201" s="21">
        <f>EXP(-LN(2)/2)*GN200+(1-EXP(-LN(2)/2))/(LN(2)/2)*GH201*GK201*VLOOKUP('Données projet'!$B$17,Paramètres!$A$1:$I$89,3,0)*0.475*44/12</f>
        <v>2.2294449984618586E-13</v>
      </c>
      <c r="GO201" s="21">
        <f t="shared" si="187"/>
        <v>31.111397801579862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69.421449399612854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>
        <f>GU201*VLOOKUP('Données projet'!$B$18,Paramètres!$A$1:$I$89,3,0)*VLOOKUP('Données projet'!$B$18,Paramètres!$A$1:$I$89,5,0)</f>
        <v>0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336.21787234885699</v>
      </c>
      <c r="HA201" s="59">
        <f t="shared" si="213"/>
        <v>315.36156736899113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16.683768097426604</v>
      </c>
      <c r="HH201" s="21">
        <f>EXP(-LN(2)/25)*HH200+(1-EXP(-LN(2)/25))/(LN(2)/25)*Calculateur!HC201*Calculateur!HE201*VLOOKUP('Données projet'!$B$18,Paramètres!$A$1:$I$89,3,0)*0.475*44/12</f>
        <v>1.5939351501742238</v>
      </c>
      <c r="HI201" s="21">
        <f>EXP(-LN(2)/2)*HI200+(1-EXP(-LN(2)/2))/(LN(2)/2)*HC201*HF201*VLOOKUP('Données projet'!$B$18,Paramètres!$A$1:$I$89,3,0)*0.475*44/12</f>
        <v>2.1593165790775994E-18</v>
      </c>
      <c r="HJ201" s="22">
        <f t="shared" si="190"/>
        <v>18.277703247600829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3.7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13.566666666666668</v>
      </c>
      <c r="H202" s="67">
        <f t="shared" si="192"/>
        <v>202.4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69.431485959084199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5.1431925385259092E-13</v>
      </c>
      <c r="P202" s="13">
        <f t="shared" si="203"/>
        <v>6.3855359115685756E-12</v>
      </c>
      <c r="Q202" s="20">
        <f t="shared" si="162"/>
        <v>1.2017247746441865E-11</v>
      </c>
      <c r="R202" s="59">
        <f t="shared" si="191"/>
        <v>291.24878184998738</v>
      </c>
      <c r="S202" s="59">
        <f ca="1">AVERAGE(OFFSET($R$3,0,0,'Données projet'!$E$9+1,1))-AVERAGE(OFFSET($H$3,0,0,'Données projet'!$E$9+1,1))</f>
        <v>411.64357329340851</v>
      </c>
      <c r="T202" s="59">
        <f t="shared" si="204"/>
        <v>294.07942258675632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44.473552171640939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44.473552171640939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69.431485959084199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5.763922672485933E-13</v>
      </c>
      <c r="AK202" s="13">
        <f t="shared" si="164"/>
        <v>7.0619171555808457E-12</v>
      </c>
      <c r="AL202" s="20">
        <f t="shared" si="165"/>
        <v>1.3303388911427938E-11</v>
      </c>
      <c r="AM202" s="59">
        <f t="shared" si="193"/>
        <v>291.24878184998869</v>
      </c>
      <c r="AN202" s="59">
        <f ca="1">AVERAGE(OFFSET($AM$3,0,0,'Données projet'!$E$10+1,1))-AVERAGE(OFFSET($H$3,0,0,'Données projet'!$E$10+1,1))</f>
        <v>453.05577105995508</v>
      </c>
      <c r="AO202" s="59">
        <f t="shared" si="205"/>
        <v>322.6839824496758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49.84104984752863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49.84104984752863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69.431485959084199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3.2684965844964609E-13</v>
      </c>
      <c r="BE202" s="13">
        <f>BD202*VLOOKUP('Données projet'!$B$11,Paramètres!$A$1:$I$89,3,0)*VLOOKUP('Données projet'!$B$11,Paramètres!$A$1:$I$89,5,0)</f>
        <v>3.2632669899612666E-13</v>
      </c>
      <c r="BF202" s="13">
        <f t="shared" si="167"/>
        <v>4.2718452243241941E-12</v>
      </c>
      <c r="BG202" s="20">
        <f t="shared" si="168"/>
        <v>8.0084827664495574E-12</v>
      </c>
      <c r="BH202" s="59">
        <f t="shared" si="194"/>
        <v>291.2487818499834</v>
      </c>
      <c r="BI202" s="59">
        <f ca="1">AVERAGE(OFFSET($BH$3,0,0,'Données projet'!$E$11+1,1))-AVERAGE(OFFSET($H$3,0,0,'Données projet'!$E$11+1,1))</f>
        <v>411.38162678377478</v>
      </c>
      <c r="BJ202" s="59">
        <f t="shared" si="206"/>
        <v>177.89903563360403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141.28973873974439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141.28973873974439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69.431485959084199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212.00000000000009</v>
      </c>
      <c r="BZ202" s="13">
        <f>BY202*VLOOKUP('Données projet'!$B$12,Paramètres!$A$1:$I$89,3,0)*VLOOKUP('Données projet'!$B$12,Paramètres!$A$1:$I$89,5,0)</f>
        <v>221.58240000000012</v>
      </c>
      <c r="CA202" s="13">
        <f t="shared" si="170"/>
        <v>54.458668952651578</v>
      </c>
      <c r="CB202" s="20">
        <f t="shared" si="171"/>
        <v>480.77152842586838</v>
      </c>
      <c r="CC202" s="59">
        <f t="shared" si="195"/>
        <v>772.02031027584371</v>
      </c>
      <c r="CD202" s="59">
        <f ca="1">AVERAGE(OFFSET($CC$3,0,0,'Données projet'!$E$12+1,1))-AVERAGE(OFFSET($H$3,0,0,'Données projet'!$E$12+1,1))</f>
        <v>374.38550202939507</v>
      </c>
      <c r="CE202" s="59">
        <f t="shared" si="207"/>
        <v>324.37486924296718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2.5153245789662146</v>
      </c>
      <c r="CL202" s="21">
        <f>EXP(-LN(2)/25)*CL201+(1-EXP(-LN(2)/25))/(LN(2)/25)*Calculateur!CG202*Calculateur!CI202*VLOOKUP('Données projet'!$B$12,Paramètres!$A$1:$I$89,3,0)*0.475*44/12</f>
        <v>1.0753167793823764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3.590641358348591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69.431485959084199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-4.5474735088646412E-13</v>
      </c>
      <c r="CU202" s="17">
        <f>CT202*VLOOKUP('Données projet'!$B$13,Paramètres!$A$1:$I$89,3,0)*VLOOKUP('Données projet'!$B$13,Paramètres!$A$1:$I$89,5,0)</f>
        <v>-4.3273757910355926E-13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392.81074187112989</v>
      </c>
      <c r="CZ202" s="59">
        <f t="shared" si="208"/>
        <v>236.19146849073687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70.434453157397328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70.434453157397328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69.431485959084199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-4.5474735088646412E-13</v>
      </c>
      <c r="DP202" s="17">
        <f>DO202*VLOOKUP('Données projet'!$B$14,Paramètres!$A$1:$I$89,3,0)*VLOOKUP('Données projet'!$B$14,Paramètres!$A$1:$I$89,5,0)</f>
        <v>-4.8949004849418999E-13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434.77799524785502</v>
      </c>
      <c r="DU202" s="59">
        <f t="shared" si="209"/>
        <v>259.85949838170006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79.671758489514986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79.671758489514986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69.431485959084199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-4.5474735088646412E-13</v>
      </c>
      <c r="EK202" s="17">
        <f>EJ202*VLOOKUP('Données projet'!$B$15,Paramètres!$A$1:$I$89,3,0)*VLOOKUP('Données projet'!$B$15,Paramètres!$A$1:$I$89,5,0)</f>
        <v>-4.3983163777738812E-13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398.06270423055565</v>
      </c>
      <c r="EP202" s="59">
        <f t="shared" si="210"/>
        <v>239.15364562040614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71.589116323912037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71.589116323912037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69.431485959084199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-1.7053025658242404E-13</v>
      </c>
      <c r="FF202" s="17">
        <f>FE202*VLOOKUP('Données projet'!$B$16,Paramètres!$A$1:$I$89,3,0)*VLOOKUP('Données projet'!$B$16,Paramètres!$A$1:$I$89,5,0)</f>
        <v>-1.0197709343628959E-13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334.13861979962491</v>
      </c>
      <c r="FK202" s="59">
        <f t="shared" si="211"/>
        <v>416.48635183664305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9.5909070708772717</v>
      </c>
      <c r="FR202" s="21">
        <f>EXP(-LN(2)/25)*FR201+(1-EXP(-LN(2)/25))/(LN(2)/25)*Calculateur!FM202*Calculateur!FO202*VLOOKUP('Données projet'!$B$16,Paramètres!$A$1:$I$89,3,0)*0.475*44/12</f>
        <v>0.83856430001345916</v>
      </c>
      <c r="FS202" s="21">
        <f>EXP(-LN(2)/2)*FS201+(1-EXP(-LN(2)/2))/(LN(2)/2)*FM202*FP202*VLOOKUP('Données projet'!$B$16,Paramètres!$A$1:$I$89,3,0)*0.475*44/12</f>
        <v>1.2100551280991452E-20</v>
      </c>
      <c r="FT202" s="22">
        <f t="shared" si="184"/>
        <v>10.429471370890731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69.431485959084199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3.4106051316484809E-13</v>
      </c>
      <c r="GA202" s="17">
        <f>FZ202*VLOOKUP('Données projet'!$B$17,Paramètres!$A$1:$I$89,3,0)*VLOOKUP('Données projet'!$B$17,Paramètres!$A$1:$I$89,5,0)</f>
        <v>1.5961632016114892E-13</v>
      </c>
      <c r="GB202" s="13">
        <f t="shared" si="185"/>
        <v>2.2708641912150958E-12</v>
      </c>
      <c r="GC202" s="20">
        <f t="shared" si="186"/>
        <v>4.2330868906469593E-12</v>
      </c>
      <c r="GD202" s="59">
        <f t="shared" si="200"/>
        <v>291.24878184997959</v>
      </c>
      <c r="GE202" s="59">
        <f ca="1">AVERAGE(OFFSET($GD$3,0,0,'Données projet'!$E$17+1,1))-AVERAGE(OFFSET($H$3,0,0,'Données projet'!$E$17+1,1))</f>
        <v>317.79829681023142</v>
      </c>
      <c r="GF202" s="59">
        <f t="shared" si="212"/>
        <v>275.07716943523621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27.233626589027033</v>
      </c>
      <c r="GM202" s="21">
        <f>EXP(-LN(2)/25)*GM201+(1-EXP(-LN(2)/25))/(LN(2)/25)*Calculateur!GH202*Calculateur!GJ202*VLOOKUP('Données projet'!$B$17,Paramètres!$A$1:$I$89,3,0)*0.475*44/12</f>
        <v>3.241912290234283</v>
      </c>
      <c r="GN202" s="21">
        <f>EXP(-LN(2)/2)*GN201+(1-EXP(-LN(2)/2))/(LN(2)/2)*GH202*GK202*VLOOKUP('Données projet'!$B$17,Paramètres!$A$1:$I$89,3,0)*0.475*44/12</f>
        <v>1.5764556766948125E-13</v>
      </c>
      <c r="GO202" s="21">
        <f t="shared" si="187"/>
        <v>30.475538879261471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69.431485959084199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>
        <f>GU202*VLOOKUP('Données projet'!$B$18,Paramètres!$A$1:$I$89,3,0)*VLOOKUP('Données projet'!$B$18,Paramètres!$A$1:$I$89,5,0)</f>
        <v>0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336.21787234885699</v>
      </c>
      <c r="HA202" s="59">
        <f t="shared" si="213"/>
        <v>315.36156736899113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16.356609581129803</v>
      </c>
      <c r="HH202" s="21">
        <f>EXP(-LN(2)/25)*HH201+(1-EXP(-LN(2)/25))/(LN(2)/25)*Calculateur!HC202*Calculateur!HE202*VLOOKUP('Données projet'!$B$18,Paramètres!$A$1:$I$89,3,0)*0.475*44/12</f>
        <v>1.550348909671303</v>
      </c>
      <c r="HI202" s="21">
        <f>EXP(-LN(2)/2)*HI201+(1-EXP(-LN(2)/2))/(LN(2)/2)*HC202*HF202*VLOOKUP('Données projet'!$B$18,Paramètres!$A$1:$I$89,3,0)*0.475*44/12</f>
        <v>1.5268673957943084E-18</v>
      </c>
      <c r="HJ202" s="22">
        <f t="shared" si="190"/>
        <v>17.906958490801106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3.7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51.5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13.566666666666668</v>
      </c>
      <c r="H203" s="67">
        <f t="shared" si="192"/>
        <v>202.4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69.441348406687112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5.1431925385259092E-13</v>
      </c>
      <c r="P203" s="13">
        <f t="shared" si="203"/>
        <v>6.3855359115685756E-12</v>
      </c>
      <c r="Q203" s="20">
        <f t="shared" si="162"/>
        <v>1.2017247746441865E-11</v>
      </c>
      <c r="R203" s="59">
        <f t="shared" si="191"/>
        <v>291.28494415786474</v>
      </c>
      <c r="S203" s="59">
        <f ca="1">AVERAGE(OFFSET($R$3,0,0,'Données projet'!$E$9+1,1))-AVERAGE(OFFSET($H$3,0,0,'Données projet'!$E$9+1,1))</f>
        <v>411.64357329340851</v>
      </c>
      <c r="T203" s="59">
        <f t="shared" si="204"/>
        <v>294.07942258675632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43.601452939743396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43.601452939743396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69.441348406687112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5.763922672485933E-13</v>
      </c>
      <c r="AK203" s="13">
        <f t="shared" si="164"/>
        <v>7.0619171555808457E-12</v>
      </c>
      <c r="AL203" s="20">
        <f t="shared" si="165"/>
        <v>1.3303388911427938E-11</v>
      </c>
      <c r="AM203" s="59">
        <f t="shared" si="193"/>
        <v>291.28494415786605</v>
      </c>
      <c r="AN203" s="59">
        <f ca="1">AVERAGE(OFFSET($AM$3,0,0,'Données projet'!$E$10+1,1))-AVERAGE(OFFSET($H$3,0,0,'Données projet'!$E$10+1,1))</f>
        <v>453.05577105995508</v>
      </c>
      <c r="AO203" s="59">
        <f t="shared" si="205"/>
        <v>322.6839824496758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48.863697260057243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48.863697260057243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69.441348406687112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3.2684965844964609E-13</v>
      </c>
      <c r="BE203" s="13">
        <f>BD203*VLOOKUP('Données projet'!$B$11,Paramètres!$A$1:$I$89,3,0)*VLOOKUP('Données projet'!$B$11,Paramètres!$A$1:$I$89,5,0)</f>
        <v>3.2632669899612666E-13</v>
      </c>
      <c r="BF203" s="13">
        <f t="shared" si="167"/>
        <v>4.2718452243241941E-12</v>
      </c>
      <c r="BG203" s="20">
        <f t="shared" si="168"/>
        <v>8.0084827664495574E-12</v>
      </c>
      <c r="BH203" s="59">
        <f t="shared" si="194"/>
        <v>291.28494415786076</v>
      </c>
      <c r="BI203" s="59">
        <f ca="1">AVERAGE(OFFSET($BH$3,0,0,'Données projet'!$E$11+1,1))-AVERAGE(OFFSET($H$3,0,0,'Données projet'!$E$11+1,1))</f>
        <v>411.38162678377478</v>
      </c>
      <c r="BJ203" s="59">
        <f t="shared" si="206"/>
        <v>177.89903563360403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138.51913314128925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138.51913314128925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69.441348406687112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212.00000000000009</v>
      </c>
      <c r="BZ203" s="13">
        <f>BY203*VLOOKUP('Données projet'!$B$12,Paramètres!$A$1:$I$89,3,0)*VLOOKUP('Données projet'!$B$12,Paramètres!$A$1:$I$89,5,0)</f>
        <v>221.58240000000012</v>
      </c>
      <c r="CA203" s="13">
        <f t="shared" si="170"/>
        <v>54.458668952651578</v>
      </c>
      <c r="CB203" s="20">
        <f t="shared" si="171"/>
        <v>480.77152842586838</v>
      </c>
      <c r="CC203" s="59">
        <f t="shared" si="195"/>
        <v>772.05647258372119</v>
      </c>
      <c r="CD203" s="59">
        <f ca="1">AVERAGE(OFFSET($CC$3,0,0,'Données projet'!$E$12+1,1))-AVERAGE(OFFSET($H$3,0,0,'Données projet'!$E$12+1,1))</f>
        <v>374.38550202939507</v>
      </c>
      <c r="CE203" s="59">
        <f t="shared" si="207"/>
        <v>324.37486924296718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2.4660005981691908</v>
      </c>
      <c r="CL203" s="21">
        <f>EXP(-LN(2)/25)*CL202+(1-EXP(-LN(2)/25))/(LN(2)/25)*Calculateur!CG203*Calculateur!CI203*VLOOKUP('Données projet'!$B$12,Paramètres!$A$1:$I$89,3,0)*0.475*44/12</f>
        <v>1.0459121855017135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3.5119127836709043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69.441348406687112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-4.5474735088646412E-13</v>
      </c>
      <c r="CU203" s="17">
        <f>CT203*VLOOKUP('Données projet'!$B$13,Paramètres!$A$1:$I$89,3,0)*VLOOKUP('Données projet'!$B$13,Paramètres!$A$1:$I$89,5,0)</f>
        <v>-4.3273757910355926E-13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392.81074187112989</v>
      </c>
      <c r="CZ203" s="59">
        <f t="shared" si="208"/>
        <v>236.19146849073687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69.05327649175517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69.05327649175517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69.441348406687112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-4.5474735088646412E-13</v>
      </c>
      <c r="DP203" s="17">
        <f>DO203*VLOOKUP('Données projet'!$B$14,Paramètres!$A$1:$I$89,3,0)*VLOOKUP('Données projet'!$B$14,Paramètres!$A$1:$I$89,5,0)</f>
        <v>-4.8949004849418999E-13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434.77799524785502</v>
      </c>
      <c r="DU203" s="59">
        <f t="shared" si="209"/>
        <v>259.85949838170006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78.109443900509916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78.109443900509916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69.441348406687112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-4.5474735088646412E-13</v>
      </c>
      <c r="EK203" s="17">
        <f>EJ203*VLOOKUP('Données projet'!$B$15,Paramètres!$A$1:$I$89,3,0)*VLOOKUP('Données projet'!$B$15,Paramètres!$A$1:$I$89,5,0)</f>
        <v>-4.3983163777738812E-13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398.06270423055565</v>
      </c>
      <c r="EP203" s="59">
        <f t="shared" si="210"/>
        <v>239.15364562040614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70.185297417849512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70.185297417849512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69.441348406687112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-1.7053025658242404E-13</v>
      </c>
      <c r="FF203" s="17">
        <f>FE203*VLOOKUP('Données projet'!$B$16,Paramètres!$A$1:$I$89,3,0)*VLOOKUP('Données projet'!$B$16,Paramètres!$A$1:$I$89,5,0)</f>
        <v>-1.0197709343628959E-13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334.13861979962491</v>
      </c>
      <c r="FK203" s="59">
        <f t="shared" si="211"/>
        <v>416.48635183664305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9.4028352330930538</v>
      </c>
      <c r="FR203" s="21">
        <f>EXP(-LN(2)/25)*FR202+(1-EXP(-LN(2)/25))/(LN(2)/25)*Calculateur!FM203*Calculateur!FO203*VLOOKUP('Données projet'!$B$16,Paramètres!$A$1:$I$89,3,0)*0.475*44/12</f>
        <v>0.81563371513141114</v>
      </c>
      <c r="FS203" s="21">
        <f>EXP(-LN(2)/2)*FS202+(1-EXP(-LN(2)/2))/(LN(2)/2)*FM203*FP203*VLOOKUP('Données projet'!$B$16,Paramètres!$A$1:$I$89,3,0)*0.475*44/12</f>
        <v>8.5563818668846198E-21</v>
      </c>
      <c r="FT203" s="22">
        <f t="shared" si="184"/>
        <v>10.218468948224466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69.441348406687112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3.4106051316484809E-13</v>
      </c>
      <c r="GA203" s="17">
        <f>FZ203*VLOOKUP('Données projet'!$B$17,Paramètres!$A$1:$I$89,3,0)*VLOOKUP('Données projet'!$B$17,Paramètres!$A$1:$I$89,5,0)</f>
        <v>1.5961632016114892E-13</v>
      </c>
      <c r="GB203" s="13">
        <f t="shared" si="185"/>
        <v>2.2708641912150958E-12</v>
      </c>
      <c r="GC203" s="20">
        <f t="shared" si="186"/>
        <v>4.2330868906469593E-12</v>
      </c>
      <c r="GD203" s="59">
        <f t="shared" si="200"/>
        <v>291.28494415785696</v>
      </c>
      <c r="GE203" s="59">
        <f ca="1">AVERAGE(OFFSET($GD$3,0,0,'Données projet'!$E$17+1,1))-AVERAGE(OFFSET($H$3,0,0,'Données projet'!$E$17+1,1))</f>
        <v>317.79829681023142</v>
      </c>
      <c r="GF203" s="59">
        <f t="shared" si="212"/>
        <v>275.07716943523621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26.699591782488245</v>
      </c>
      <c r="GM203" s="21">
        <f>EXP(-LN(2)/25)*GM202+(1-EXP(-LN(2)/25))/(LN(2)/25)*Calculateur!GH203*Calculateur!GJ203*VLOOKUP('Données projet'!$B$17,Paramètres!$A$1:$I$89,3,0)*0.475*44/12</f>
        <v>3.1532620281730686</v>
      </c>
      <c r="GN203" s="21">
        <f>EXP(-LN(2)/2)*GN202+(1-EXP(-LN(2)/2))/(LN(2)/2)*GH203*GK203*VLOOKUP('Données projet'!$B$17,Paramètres!$A$1:$I$89,3,0)*0.475*44/12</f>
        <v>1.1147224992309296E-13</v>
      </c>
      <c r="GO203" s="21">
        <f t="shared" si="187"/>
        <v>29.852853810661422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69.441348406687112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>
        <f>GU203*VLOOKUP('Données projet'!$B$18,Paramètres!$A$1:$I$89,3,0)*VLOOKUP('Données projet'!$B$18,Paramètres!$A$1:$I$89,5,0)</f>
        <v>0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336.21787234885699</v>
      </c>
      <c r="HA203" s="59">
        <f t="shared" si="213"/>
        <v>315.36156736899113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16.035866443790589</v>
      </c>
      <c r="HH203" s="21">
        <f>EXP(-LN(2)/25)*HH202+(1-EXP(-LN(2)/25))/(LN(2)/25)*Calculateur!HC203*Calculateur!HE203*VLOOKUP('Données projet'!$B$18,Paramètres!$A$1:$I$89,3,0)*0.475*44/12</f>
        <v>1.5079545372070355</v>
      </c>
      <c r="HI203" s="21">
        <f>EXP(-LN(2)/2)*HI202+(1-EXP(-LN(2)/2))/(LN(2)/2)*HC203*HF203*VLOOKUP('Données projet'!$B$18,Paramètres!$A$1:$I$89,3,0)*0.475*44/12</f>
        <v>1.0796582895387997E-18</v>
      </c>
      <c r="HJ203" s="22">
        <f t="shared" si="190"/>
        <v>17.543820980997623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1.1736311550444201</v>
      </c>
      <c r="BA205" s="82">
        <f>EXP(LN('Données projet'!B88)/'Données projet'!A88)</f>
        <v>1.1440997575339091</v>
      </c>
      <c r="BV205" s="82">
        <f>EXP(LN('Données projet'!B114)/'Données projet'!A114)</f>
        <v>1.335141362540313</v>
      </c>
      <c r="CQ205" s="82">
        <f>EXP(LN('Données projet'!B140)/'Données projet'!A140)</f>
        <v>1.1608269964373037</v>
      </c>
      <c r="DL205" s="82">
        <f>EXP(LN('Données projet'!B166)/'Données projet'!A166)</f>
        <v>1.1608269964373037</v>
      </c>
      <c r="EG205" s="82">
        <f>EXP(LN('Données projet'!B192)/'Données projet'!A192)</f>
        <v>1.1608269964373037</v>
      </c>
      <c r="FB205" s="82">
        <f>EXP(LN('Données projet'!B218)/'Données projet'!A218)</f>
        <v>1.3909694153327172</v>
      </c>
      <c r="FW205" s="82">
        <f>EXP(LN('Données projet'!B244)/'Données projet'!A244)</f>
        <v>1.1963772029987372</v>
      </c>
      <c r="GR205" s="82">
        <f>EXP(LN('Données projet'!B270)/'Données projet'!A270)</f>
        <v>1.2805631431945952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0" workbookViewId="0">
      <selection activeCell="K13" sqref="K13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1.0083333333333333</v>
      </c>
      <c r="C6" s="147">
        <f ca="1">IF(OR('Données projet'!B9="",'Données projet'!C9="",'Données projet'!C9=0%),0,Calculateur!S3)</f>
        <v>411.64357329340851</v>
      </c>
      <c r="D6" s="147">
        <f>IF(OR('Données projet'!B9="",'Données projet'!C9="",'Données projet'!C9=0%),0,Calculateur!T3)</f>
        <v>294.07942258675632</v>
      </c>
      <c r="E6" s="147">
        <f ca="1">MIN(C6,D6)</f>
        <v>294.07942258675632</v>
      </c>
      <c r="F6" s="147">
        <f ca="1">E6*B6</f>
        <v>296.53008444164595</v>
      </c>
      <c r="G6" s="147">
        <f ca="1">F6*(100%-'Données projet'!$C$24)*(100%-'Données projet'!$C$25)*(100%-'Données projet'!$C$26)*(100%-'Données projet'!$C$27)</f>
        <v>266.87707599748137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266.87707599748137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pubescent</v>
      </c>
      <c r="B7" s="154">
        <f>'Données projet'!D10</f>
        <v>1.0083333333333333</v>
      </c>
      <c r="C7" s="147">
        <f ca="1">IF(OR('Données projet'!B10="",'Données projet'!C10="",'Données projet'!C10=0%),0,Calculateur!AN3)</f>
        <v>453.05577105995508</v>
      </c>
      <c r="D7" s="147">
        <f>IF(OR('Données projet'!B10="",'Données projet'!C10="",'Données projet'!C10=0%),0,Calculateur!AO3)</f>
        <v>322.6839824496758</v>
      </c>
      <c r="E7" s="147">
        <f t="shared" ref="E7:E15" ca="1" si="0">MIN(C7,D7)</f>
        <v>322.6839824496758</v>
      </c>
      <c r="F7" s="147">
        <f t="shared" ref="F7:F15" ca="1" si="1">E7*B7</f>
        <v>325.37301563675641</v>
      </c>
      <c r="G7" s="147">
        <f ca="1">F7*(100%-'Données projet'!$C$24)*(100%-'Données projet'!$C$25)*(100%-'Données projet'!$C$26)*(100%-'Données projet'!$C$27)</f>
        <v>292.83571407308079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292.83571407308079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tauzin</v>
      </c>
      <c r="B8" s="154">
        <f>'Données projet'!D11</f>
        <v>1.0083333333333333</v>
      </c>
      <c r="C8" s="147">
        <f ca="1">IF(OR('Données projet'!B11="",'Données projet'!C11="",'Données projet'!C11=0%),0,Calculateur!BI3)</f>
        <v>411.38162678377478</v>
      </c>
      <c r="D8" s="147">
        <f>IF(OR('Données projet'!B11="",'Données projet'!C11="",'Données projet'!C11=0%),0,Calculateur!BJ3)</f>
        <v>177.89903563360403</v>
      </c>
      <c r="E8" s="147">
        <f t="shared" ca="1" si="0"/>
        <v>177.89903563360403</v>
      </c>
      <c r="F8" s="147">
        <f t="shared" ca="1" si="1"/>
        <v>179.3815275972174</v>
      </c>
      <c r="G8" s="147">
        <f ca="1">F8*(100%-'Données projet'!$C$24)*(100%-'Données projet'!$C$25)*(100%-'Données projet'!$C$26)*(100%-'Données projet'!$C$27)</f>
        <v>161.44337483749567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161.44337483749567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chevelu</v>
      </c>
      <c r="B9" s="154">
        <f>'Données projet'!D12</f>
        <v>1.0083333333333333</v>
      </c>
      <c r="C9" s="147">
        <f ca="1">IF(OR('Données projet'!B12="",'Données projet'!C12="",'Données projet'!C12=0%),0,Calculateur!CD3)</f>
        <v>374.38550202939507</v>
      </c>
      <c r="D9" s="147">
        <f>IF(OR('Données projet'!B12="",'Données projet'!C12="",'Données projet'!C12=0%),0,Calculateur!CE3)</f>
        <v>324.37486924296718</v>
      </c>
      <c r="E9" s="147">
        <f t="shared" ca="1" si="0"/>
        <v>324.37486924296718</v>
      </c>
      <c r="F9" s="147">
        <f t="shared" ca="1" si="1"/>
        <v>327.07799315332522</v>
      </c>
      <c r="G9" s="147">
        <f ca="1">F9*(100%-'Données projet'!$C$24)*(100%-'Données projet'!$C$25)*(100%-'Données projet'!$C$26)*(100%-'Données projet'!$C$27)</f>
        <v>294.3701938379927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294.3701938379927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Charme</v>
      </c>
      <c r="B10" s="154">
        <f>'Données projet'!D13</f>
        <v>0.28233333333333333</v>
      </c>
      <c r="C10" s="147">
        <f ca="1">IF(OR('Données projet'!B13="",'Données projet'!C13="",'Données projet'!C13=0%),0,Calculateur!CY3)</f>
        <v>392.81074187112989</v>
      </c>
      <c r="D10" s="147">
        <f>IF(OR('Données projet'!B13="",'Données projet'!C13="",'Données projet'!C13=0%),0,Calculateur!CZ3)</f>
        <v>236.19146849073687</v>
      </c>
      <c r="E10" s="147">
        <f t="shared" ca="1" si="0"/>
        <v>236.19146849073687</v>
      </c>
      <c r="F10" s="147">
        <f t="shared" ca="1" si="1"/>
        <v>66.684724603884703</v>
      </c>
      <c r="G10" s="147">
        <f ca="1">F10*(100%-'Données projet'!$C$24)*(100%-'Données projet'!$C$25)*(100%-'Données projet'!$C$26)*(100%-'Données projet'!$C$27)</f>
        <v>60.016252143496231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60.016252143496231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Cormier</v>
      </c>
      <c r="B11" s="154">
        <f>'Données projet'!D14</f>
        <v>0.28233333333333333</v>
      </c>
      <c r="C11" s="147">
        <f ca="1">IF(OR('Données projet'!B14="",'Données projet'!C14="",'Données projet'!C14=0%),0,Calculateur!DT3)</f>
        <v>434.77799524785502</v>
      </c>
      <c r="D11" s="147">
        <f>IF(OR('Données projet'!B14="",'Données projet'!C14="",'Données projet'!C14=0%),0,Calculateur!DU3)</f>
        <v>259.85949838170006</v>
      </c>
      <c r="E11" s="147">
        <f t="shared" ca="1" si="0"/>
        <v>259.85949838170006</v>
      </c>
      <c r="F11" s="147">
        <f t="shared" ca="1" si="1"/>
        <v>73.366998376433315</v>
      </c>
      <c r="G11" s="147">
        <f ca="1">F11*(100%-'Données projet'!$C$24)*(100%-'Données projet'!$C$25)*(100%-'Données projet'!$C$26)*(100%-'Données projet'!$C$27)</f>
        <v>66.030298538789992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66.030298538789992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Alisier torminal</v>
      </c>
      <c r="B12" s="154">
        <f>'Données projet'!D15</f>
        <v>0.28233333333333333</v>
      </c>
      <c r="C12" s="147">
        <f ca="1">IF(OR('Données projet'!B15="",'Données projet'!C15="",'Données projet'!C15=0%),0,Calculateur!EO3)</f>
        <v>398.06270423055565</v>
      </c>
      <c r="D12" s="147">
        <f>IF(OR('Données projet'!B15="",'Données projet'!C15="",'Données projet'!C15=0%),0,Calculateur!EP3)</f>
        <v>239.15364562040614</v>
      </c>
      <c r="E12" s="147">
        <f t="shared" ca="1" si="0"/>
        <v>239.15364562040614</v>
      </c>
      <c r="F12" s="147">
        <f t="shared" ca="1" si="1"/>
        <v>67.521045946827996</v>
      </c>
      <c r="G12" s="147">
        <f ca="1">F12*(100%-'Données projet'!$C$24)*(100%-'Données projet'!$C$25)*(100%-'Données projet'!$C$26)*(100%-'Données projet'!$C$27)</f>
        <v>60.768941352145198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60.768941352145198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Pin maritime</v>
      </c>
      <c r="B13" s="154">
        <f>'Données projet'!D16</f>
        <v>0.72600000000000009</v>
      </c>
      <c r="C13" s="147">
        <f ca="1">IF(OR('Données projet'!B16="",'Données projet'!C16="",'Données projet'!C16=0%),0,Calculateur!FJ3)</f>
        <v>334.13861979962491</v>
      </c>
      <c r="D13" s="147">
        <f>IF(OR('Données projet'!B16="",'Données projet'!C16="",'Données projet'!C16=0%),0,Calculateur!FK3)</f>
        <v>416.48635183664305</v>
      </c>
      <c r="E13" s="147">
        <f t="shared" ca="1" si="0"/>
        <v>334.13861979962491</v>
      </c>
      <c r="F13" s="147">
        <f t="shared" ca="1" si="1"/>
        <v>242.58463797452771</v>
      </c>
      <c r="G13" s="147">
        <f ca="1">F13*(100%-'Données projet'!$C$24)*(100%-'Données projet'!$C$25)*(100%-'Données projet'!$C$26)*(100%-'Données projet'!$C$27)</f>
        <v>218.32617417707493</v>
      </c>
      <c r="H13" s="155">
        <f>IF(OR('Données projet'!B16="",'Données projet'!C16="",'Données projet'!C16=0%),0,AVERAGE(Calculateur!$FT$3:$FT$33)*B13)</f>
        <v>9.4517526954981452</v>
      </c>
      <c r="I13" s="149">
        <f>H13*(100%-'Données projet'!$C$24)*(100%-'Données projet'!$C$25)*(100%-'Données projet'!$C$26)*(100%-'Données projet'!$C$27)</f>
        <v>8.5065774259483309</v>
      </c>
      <c r="J13" s="150">
        <f>IF(OR('Données projet'!C16="",'Données projet'!C16=0%),0,SUM(Calculateur!$FM$3:$FM$33)*VLOOKUP('Données projet'!$B$16,Paramètres!$A$1:$I$89,9,0)*B13)</f>
        <v>62.320175076923086</v>
      </c>
      <c r="K13" s="151">
        <f>J13*(100%-'Données projet'!$C$24)*(100%-'Données projet'!$C$25)*(100%-'Données projet'!$C$26)*(100%-'Données projet'!$C$27)</f>
        <v>56.088157569230781</v>
      </c>
      <c r="L13" s="152">
        <f t="shared" ca="1" si="2"/>
        <v>282.92090917225403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>Cèdre de l'Atlas</v>
      </c>
      <c r="B14" s="154">
        <f>'Données projet'!D17</f>
        <v>0.72600000000000009</v>
      </c>
      <c r="C14" s="147">
        <f ca="1">IF(OR('Données projet'!B17="",'Données projet'!C17="",'Données projet'!C17=0%),0,Calculateur!GE3)</f>
        <v>317.79829681023142</v>
      </c>
      <c r="D14" s="147">
        <f>IF(OR('Données projet'!B17="",'Données projet'!C17="",'Données projet'!C17=0%),0,Calculateur!GF3)</f>
        <v>275.07716943523621</v>
      </c>
      <c r="E14" s="147">
        <f t="shared" ca="1" si="0"/>
        <v>275.07716943523621</v>
      </c>
      <c r="F14" s="147">
        <f t="shared" ca="1" si="1"/>
        <v>199.70602500998152</v>
      </c>
      <c r="G14" s="147">
        <f ca="1">F14*(100%-'Données projet'!$C$24)*(100%-'Données projet'!$C$25)*(100%-'Données projet'!$C$26)*(100%-'Données projet'!$C$27)</f>
        <v>179.73542250898336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179.73542250898336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>Douglas</v>
      </c>
      <c r="B15" s="157">
        <f>'Données projet'!D18</f>
        <v>0.72600000000000009</v>
      </c>
      <c r="C15" s="158">
        <f ca="1">IF(OR('Données projet'!B18="",'Données projet'!C18="",'Données projet'!C18=0%),0,Calculateur!GZ3)</f>
        <v>336.21787234885699</v>
      </c>
      <c r="D15" s="158">
        <f>IF(OR('Données projet'!B18="",'Données projet'!C18="",'Données projet'!C18=0%),0,Calculateur!HA3)</f>
        <v>315.36156736899113</v>
      </c>
      <c r="E15" s="158">
        <f t="shared" ca="1" si="0"/>
        <v>315.36156736899113</v>
      </c>
      <c r="F15" s="159">
        <f t="shared" ca="1" si="1"/>
        <v>228.9524979098876</v>
      </c>
      <c r="G15" s="159">
        <f ca="1">F15*(100%-'Données projet'!$C$24)*(100%-'Données projet'!$C$25)*(100%-'Données projet'!$C$26)*(100%-'Données projet'!$C$27)</f>
        <v>206.05724811889885</v>
      </c>
      <c r="H15" s="160">
        <f>IF(OR('Données projet'!B18="",'Données projet'!C18="",'Données projet'!C18=0%),0,AVERAGE(Calculateur!$HJ$3:$HJ$33)*B15)</f>
        <v>5.9097032774957201</v>
      </c>
      <c r="I15" s="161">
        <f>H15*(100%-'Données projet'!$C$24)*(100%-'Données projet'!$C$25)*(100%-'Données projet'!$C$26)*(100%-'Données projet'!$C$27)</f>
        <v>5.3187329497461482</v>
      </c>
      <c r="J15" s="162">
        <f>IF(OR('Données projet'!B18="",'Données projet'!C18="",'Données projet'!C18=0%),0,SUM(Calculateur!$HC$3:$HC$33)*VLOOKUP('Données projet'!$B$18,Paramètres!$A$1:$I$89,9,0)*B15)</f>
        <v>36.863655230769233</v>
      </c>
      <c r="K15" s="163">
        <f>J15*(100%-'Données projet'!$C$24)*(100%-'Données projet'!$C$25)*(100%-'Données projet'!$C$26)*(100%-'Données projet'!$C$27)</f>
        <v>33.17728970769231</v>
      </c>
      <c r="L15" s="164">
        <f t="shared" ca="1" si="2"/>
        <v>244.55327077633729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2007.1785506504875</v>
      </c>
      <c r="G16" s="166">
        <f t="shared" ca="1" si="3"/>
        <v>1806.4606955854392</v>
      </c>
      <c r="H16" s="167">
        <f t="shared" si="3"/>
        <v>15.361455972993866</v>
      </c>
      <c r="I16" s="167">
        <f t="shared" si="3"/>
        <v>13.825310375694478</v>
      </c>
      <c r="J16" s="168">
        <f t="shared" si="3"/>
        <v>99.183830307692318</v>
      </c>
      <c r="K16" s="168">
        <f t="shared" si="3"/>
        <v>89.265447276923084</v>
      </c>
      <c r="L16" s="169">
        <f t="shared" ca="1" si="3"/>
        <v>1909.5514532380566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tauzin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chevelu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Pin maritime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>Cèdre de l'Atlas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>Douglas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11" zoomScale="80" zoomScaleNormal="80" workbookViewId="0">
      <selection activeCell="S37" sqref="S3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-1382.4274463996815</v>
      </c>
      <c r="U10" s="178">
        <f>'Données projet'!D9</f>
        <v>1.0083333333333333</v>
      </c>
      <c r="V10" s="177">
        <f>U10*T10</f>
        <v>-1393.9476751196787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-1770.1829679172063</v>
      </c>
      <c r="U11" s="178">
        <f>'Données projet'!D10</f>
        <v>1.0083333333333333</v>
      </c>
      <c r="V11" s="177">
        <f t="shared" ref="V11" si="0">U11*T11</f>
        <v>-1784.9344926498495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tauzin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-2399.205102103143</v>
      </c>
      <c r="U12" s="178">
        <f>'Données projet'!D11</f>
        <v>1.0083333333333333</v>
      </c>
      <c r="V12" s="177">
        <f t="shared" ref="V12:V19" si="1">U12*T12</f>
        <v>-2419.1984779540026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chevelu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226.60578420905765</v>
      </c>
      <c r="U13" s="178">
        <f>'Données projet'!D12</f>
        <v>1.0083333333333333</v>
      </c>
      <c r="V13" s="177">
        <f t="shared" si="1"/>
        <v>228.49416574413311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Charme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-516.52456465993237</v>
      </c>
      <c r="U14" s="178">
        <f>'Données projet'!D13</f>
        <v>0.28233333333333333</v>
      </c>
      <c r="V14" s="177">
        <f t="shared" si="1"/>
        <v>-145.83210208898757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Cormier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-1420.063578066161</v>
      </c>
      <c r="U15" s="178">
        <f>'Données projet'!D14</f>
        <v>0.28233333333333333</v>
      </c>
      <c r="V15" s="177">
        <f t="shared" si="1"/>
        <v>-400.93128354067943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Alisier torminal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-6040.0635780661632</v>
      </c>
      <c r="U16" s="178">
        <f>'Données projet'!D15</f>
        <v>0.28233333333333333</v>
      </c>
      <c r="V16" s="177">
        <f t="shared" si="1"/>
        <v>-1705.3112835406801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3500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Pin maritime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2186.5318217078566</v>
      </c>
      <c r="U17" s="178">
        <f>'Données projet'!D16</f>
        <v>0.72600000000000009</v>
      </c>
      <c r="V17" s="177">
        <f t="shared" si="1"/>
        <v>1587.422102559904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>Cèdre de l'Atlas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-422.57224994733753</v>
      </c>
      <c r="U18" s="178">
        <f>'Données projet'!D17</f>
        <v>0.72600000000000009</v>
      </c>
      <c r="V18" s="177">
        <f t="shared" si="1"/>
        <v>-306.78745346176709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>Douglas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556.02674481449685</v>
      </c>
      <c r="U19" s="178">
        <f>'Données projet'!D18</f>
        <v>0.72600000000000009</v>
      </c>
      <c r="V19" s="177">
        <f t="shared" si="1"/>
        <v>403.67541673532475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14100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3388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0</v>
      </c>
      <c r="I22" s="191">
        <v>11200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>
        <v>10</v>
      </c>
      <c r="D23" s="182">
        <f>B23*C23</f>
        <v>0</v>
      </c>
      <c r="E23" s="193"/>
      <c r="F23" s="230"/>
      <c r="H23" s="190">
        <v>0</v>
      </c>
      <c r="I23" s="191">
        <v>16640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-684794.48235187039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35</v>
      </c>
      <c r="B24" s="181">
        <f>'Données projet'!D37</f>
        <v>60.602564102564102</v>
      </c>
      <c r="C24" s="193">
        <v>10</v>
      </c>
      <c r="D24" s="182">
        <f t="shared" ref="D24:D42" si="2">B24*C24</f>
        <v>606.02564102564099</v>
      </c>
      <c r="E24" s="193">
        <v>150</v>
      </c>
      <c r="F24" s="233"/>
      <c r="H24" s="190">
        <v>0</v>
      </c>
      <c r="I24" s="191">
        <v>4235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180690.79828211755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41</v>
      </c>
      <c r="B25" s="181">
        <f>'Données projet'!D38</f>
        <v>38.512820512820511</v>
      </c>
      <c r="C25" s="193">
        <v>50</v>
      </c>
      <c r="D25" s="182">
        <f t="shared" si="2"/>
        <v>1925.6410256410256</v>
      </c>
      <c r="E25" s="193">
        <v>150</v>
      </c>
      <c r="F25" s="233"/>
      <c r="H25" s="190">
        <v>5</v>
      </c>
      <c r="I25" s="191">
        <v>38115</v>
      </c>
      <c r="K25" s="208"/>
      <c r="L25" s="130" t="s">
        <v>285</v>
      </c>
      <c r="M25" s="130"/>
      <c r="N25" s="130"/>
      <c r="O25" s="130"/>
      <c r="P25" s="192">
        <v>1000</v>
      </c>
      <c r="Q25" s="234"/>
      <c r="R25" s="23"/>
      <c r="S25" s="186" t="s">
        <v>266</v>
      </c>
      <c r="T25" s="303">
        <f ca="1">T23-T24</f>
        <v>-865485.28063398798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48</v>
      </c>
      <c r="B26" s="181">
        <f>'Données projet'!D39</f>
        <v>48.025641025641022</v>
      </c>
      <c r="C26" s="193">
        <v>50</v>
      </c>
      <c r="D26" s="182">
        <f t="shared" si="2"/>
        <v>2401.2820512820513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55</v>
      </c>
      <c r="B27" s="181">
        <f>'Données projet'!D40</f>
        <v>45.147435897435898</v>
      </c>
      <c r="C27" s="193">
        <v>50</v>
      </c>
      <c r="D27" s="182">
        <f t="shared" si="2"/>
        <v>2257.3717948717949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63</v>
      </c>
      <c r="B28" s="181">
        <f>'Données projet'!D41</f>
        <v>41.724358974358978</v>
      </c>
      <c r="C28" s="193">
        <v>100</v>
      </c>
      <c r="D28" s="182">
        <f t="shared" si="2"/>
        <v>4172.4358974358975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71</v>
      </c>
      <c r="B29" s="181">
        <f>'Données projet'!D42</f>
        <v>39.935897435897431</v>
      </c>
      <c r="C29" s="193">
        <v>100</v>
      </c>
      <c r="D29" s="182">
        <f t="shared" si="2"/>
        <v>3993.5897435897432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80</v>
      </c>
      <c r="B30" s="181">
        <f>'Données projet'!D43</f>
        <v>45.608974358974358</v>
      </c>
      <c r="C30" s="193">
        <v>150</v>
      </c>
      <c r="D30" s="182">
        <f t="shared" si="2"/>
        <v>6841.3461538461534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21333.03403566913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89</v>
      </c>
      <c r="B31" s="181">
        <f>'Données projet'!D44</f>
        <v>49.391025641025635</v>
      </c>
      <c r="C31" s="193">
        <v>150</v>
      </c>
      <c r="D31" s="182">
        <f t="shared" si="2"/>
        <v>7408.6538461538457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99</v>
      </c>
      <c r="B32" s="181">
        <f>'Données projet'!D45</f>
        <v>48.019230769230766</v>
      </c>
      <c r="C32" s="193">
        <v>150</v>
      </c>
      <c r="D32" s="182">
        <f t="shared" si="2"/>
        <v>7202.8846153846152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109</v>
      </c>
      <c r="B33" s="181">
        <f>'Données projet'!D46</f>
        <v>51.28846153846154</v>
      </c>
      <c r="C33" s="193">
        <v>200</v>
      </c>
      <c r="D33" s="182">
        <f t="shared" si="2"/>
        <v>10257.692307692309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119</v>
      </c>
      <c r="B34" s="181">
        <f>'Données projet'!D47</f>
        <v>150.02564102564102</v>
      </c>
      <c r="C34" s="193">
        <v>200</v>
      </c>
      <c r="D34" s="182">
        <f t="shared" si="2"/>
        <v>30005.128205128203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956.93779904306223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123</v>
      </c>
      <c r="B35" s="181">
        <f>'Données projet'!D48</f>
        <v>77.17307692307692</v>
      </c>
      <c r="C35" s="193">
        <v>200</v>
      </c>
      <c r="D35" s="182">
        <f t="shared" si="2"/>
        <v>15434.615384615385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915.72995123738031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127</v>
      </c>
      <c r="B36" s="181">
        <f>'Données projet'!D49</f>
        <v>49.916666666666671</v>
      </c>
      <c r="C36" s="193">
        <v>200</v>
      </c>
      <c r="D36" s="182">
        <f t="shared" si="2"/>
        <v>9983.3333333333339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876.29660405490938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131</v>
      </c>
      <c r="B37" s="181">
        <f>'Données projet'!D50</f>
        <v>110.91025641025641</v>
      </c>
      <c r="C37" s="193">
        <v>200</v>
      </c>
      <c r="D37" s="182">
        <f t="shared" si="2"/>
        <v>22182.051282051281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838.56134359321493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802.45104650068413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767.89573827816685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734.82845768245625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703.18512696885784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672.90442772139511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643.92768203004323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616.19873878473038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589.66386486577085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564.27164101987637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539.97286221997751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3750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516.72044231576797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494.46932279020876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473.17638544517581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452.80036884705828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433.30178837039074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414.64285968458455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>
        <v>10</v>
      </c>
      <c r="D54" s="179">
        <f>B54*C54</f>
        <v>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396.78742553548756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35</v>
      </c>
      <c r="B55" s="181">
        <f>'Données projet'!D63</f>
        <v>60.602564102564102</v>
      </c>
      <c r="C55" s="191">
        <v>10</v>
      </c>
      <c r="D55" s="179">
        <f t="shared" ref="D55:D73" si="4">B55*C55</f>
        <v>606.02564102564099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379.70088567989251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41</v>
      </c>
      <c r="B56" s="181">
        <f>'Données projet'!D64</f>
        <v>38.512820512820511</v>
      </c>
      <c r="C56" s="191">
        <v>50</v>
      </c>
      <c r="D56" s="179">
        <f t="shared" si="4"/>
        <v>1925.6410256410256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363.35012983721771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48</v>
      </c>
      <c r="B57" s="181">
        <f>'Données projet'!D65</f>
        <v>48.025641025641022</v>
      </c>
      <c r="C57" s="191">
        <v>50</v>
      </c>
      <c r="D57" s="179">
        <f t="shared" si="4"/>
        <v>2401.2820512820513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347.70347352843805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55</v>
      </c>
      <c r="B58" s="181">
        <f>'Données projet'!D66</f>
        <v>45.147435897435898</v>
      </c>
      <c r="C58" s="191">
        <v>50</v>
      </c>
      <c r="D58" s="179">
        <f t="shared" si="4"/>
        <v>2257.3717948717949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332.7305966779312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63</v>
      </c>
      <c r="B59" s="181">
        <f>'Données projet'!D67</f>
        <v>41.724358974358978</v>
      </c>
      <c r="C59" s="191">
        <v>100</v>
      </c>
      <c r="D59" s="179">
        <f t="shared" si="4"/>
        <v>4172.4358974358975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318.4024848592644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71</v>
      </c>
      <c r="B60" s="181">
        <f>'Données projet'!D68</f>
        <v>39.935897435897431</v>
      </c>
      <c r="C60" s="191">
        <v>100</v>
      </c>
      <c r="D60" s="179">
        <f t="shared" si="4"/>
        <v>3993.5897435897432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304.69137307106638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80</v>
      </c>
      <c r="B61" s="181">
        <f>'Données projet'!D69</f>
        <v>45.608974358974358</v>
      </c>
      <c r="C61" s="191">
        <v>150</v>
      </c>
      <c r="D61" s="179">
        <f t="shared" si="4"/>
        <v>6841.3461538461534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291.57069193403493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89</v>
      </c>
      <c r="B62" s="181">
        <f>'Données projet'!D70</f>
        <v>49.391025641025635</v>
      </c>
      <c r="C62" s="191">
        <v>150</v>
      </c>
      <c r="D62" s="179">
        <f t="shared" si="4"/>
        <v>7408.6538461538457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279.01501620481804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99</v>
      </c>
      <c r="B63" s="181">
        <f>'Données projet'!D71</f>
        <v>48.019230769230766</v>
      </c>
      <c r="C63" s="191">
        <v>150</v>
      </c>
      <c r="D63" s="179">
        <f t="shared" si="4"/>
        <v>7202.8846153846152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267.00001550700301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109</v>
      </c>
      <c r="B64" s="181">
        <f>'Données projet'!D72</f>
        <v>51.28846153846154</v>
      </c>
      <c r="C64" s="191">
        <v>200</v>
      </c>
      <c r="D64" s="179">
        <f t="shared" si="4"/>
        <v>10257.692307692309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255.50240718373487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119</v>
      </c>
      <c r="B65" s="181">
        <f>'Données projet'!D73</f>
        <v>150.02564102564102</v>
      </c>
      <c r="C65" s="191">
        <v>200</v>
      </c>
      <c r="D65" s="179">
        <f t="shared" si="4"/>
        <v>30005.128205128203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244.49991118060768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123</v>
      </c>
      <c r="B66" s="181">
        <f>'Données projet'!D74</f>
        <v>77.17307692307692</v>
      </c>
      <c r="C66" s="191">
        <v>200</v>
      </c>
      <c r="D66" s="179">
        <f t="shared" si="4"/>
        <v>15434.615384615385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233.97120687139494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127</v>
      </c>
      <c r="B67" s="181">
        <f>'Données projet'!D75</f>
        <v>49.916666666666671</v>
      </c>
      <c r="C67" s="191">
        <v>200</v>
      </c>
      <c r="D67" s="179">
        <f t="shared" si="4"/>
        <v>9983.3333333333339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223.89589174296168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131</v>
      </c>
      <c r="B68" s="181">
        <f>'Données projet'!D76</f>
        <v>110.91025641025641</v>
      </c>
      <c r="C68" s="191">
        <v>200</v>
      </c>
      <c r="D68" s="179">
        <f t="shared" si="4"/>
        <v>22182.051282051281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214.25444185929348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205.02817402803208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196.19920959620296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187.75043980497892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179.66549263634349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171.92870108741008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164.52507281091874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157.44026106308016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Chêne tauzin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150.66053690246906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144.17276258609482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137.9643661110955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2750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132.02331685272301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126.33810225140957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120.89770550374126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115.69158421410647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110.70964996565215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105.942248770959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>
        <v>10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101.38014236455409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60</v>
      </c>
      <c r="B86" s="181">
        <f>'Données projet'!D89</f>
        <v>60.096153846153847</v>
      </c>
      <c r="C86" s="191">
        <v>10</v>
      </c>
      <c r="D86" s="179">
        <f t="shared" ref="D86:D104" si="6">B86*C86</f>
        <v>600.96153846153845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97.014490301008692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69</v>
      </c>
      <c r="B87" s="181">
        <f>'Données projet'!D90</f>
        <v>32.807692307692307</v>
      </c>
      <c r="C87" s="191">
        <v>50</v>
      </c>
      <c r="D87" s="179">
        <f t="shared" si="6"/>
        <v>1640.3846153846152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92.8368328239318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77</v>
      </c>
      <c r="B88" s="181">
        <f>'Données projet'!D91</f>
        <v>25.53846153846154</v>
      </c>
      <c r="C88" s="191">
        <v>50</v>
      </c>
      <c r="D88" s="179">
        <f t="shared" si="6"/>
        <v>1276.9230769230769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88.839074472661991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86</v>
      </c>
      <c r="B89" s="181">
        <f>'Données projet'!D92</f>
        <v>27.583333333333332</v>
      </c>
      <c r="C89" s="191">
        <v>50</v>
      </c>
      <c r="D89" s="179">
        <f t="shared" si="6"/>
        <v>1379.1666666666665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85.013468394891888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95</v>
      </c>
      <c r="B90" s="181">
        <f>'Données projet'!D93</f>
        <v>30.634615384615383</v>
      </c>
      <c r="C90" s="191">
        <v>100</v>
      </c>
      <c r="D90" s="179">
        <f t="shared" si="6"/>
        <v>3063.4615384615381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104</v>
      </c>
      <c r="B91" s="181">
        <f>'Données projet'!D94</f>
        <v>28.275641025641026</v>
      </c>
      <c r="C91" s="191">
        <v>100</v>
      </c>
      <c r="D91" s="179">
        <f t="shared" si="6"/>
        <v>2827.5641025641025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113</v>
      </c>
      <c r="B92" s="181">
        <f>'Données projet'!D95</f>
        <v>29.602564102564102</v>
      </c>
      <c r="C92" s="191">
        <v>150</v>
      </c>
      <c r="D92" s="179">
        <f t="shared" si="6"/>
        <v>4440.3846153846152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122</v>
      </c>
      <c r="B93" s="181">
        <f>'Données projet'!D96</f>
        <v>32.333333333333329</v>
      </c>
      <c r="C93" s="191">
        <v>150</v>
      </c>
      <c r="D93" s="179">
        <f t="shared" si="6"/>
        <v>4849.9999999999991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132</v>
      </c>
      <c r="B94" s="181">
        <f>'Données projet'!D97</f>
        <v>34.128205128205131</v>
      </c>
      <c r="C94" s="191">
        <v>150</v>
      </c>
      <c r="D94" s="179">
        <f t="shared" si="6"/>
        <v>5119.2307692307695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144</v>
      </c>
      <c r="B95" s="181">
        <f>'Données projet'!D98</f>
        <v>42.397435897435898</v>
      </c>
      <c r="C95" s="191">
        <v>200</v>
      </c>
      <c r="D95" s="179">
        <f t="shared" si="6"/>
        <v>8479.4871794871797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156</v>
      </c>
      <c r="B96" s="181">
        <f>'Données projet'!D99</f>
        <v>45.429487179487182</v>
      </c>
      <c r="C96" s="191">
        <v>200</v>
      </c>
      <c r="D96" s="179">
        <f t="shared" si="6"/>
        <v>9085.8974358974374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168</v>
      </c>
      <c r="B97" s="181">
        <f>'Données projet'!D100</f>
        <v>49.102564102564095</v>
      </c>
      <c r="C97" s="191">
        <v>200</v>
      </c>
      <c r="D97" s="179">
        <f t="shared" si="6"/>
        <v>9820.5128205128185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180</v>
      </c>
      <c r="B98" s="181">
        <f>'Données projet'!D101</f>
        <v>120.15384615384615</v>
      </c>
      <c r="C98" s="191">
        <v>200</v>
      </c>
      <c r="D98" s="179">
        <f t="shared" si="6"/>
        <v>24030.76923076923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184</v>
      </c>
      <c r="B99" s="181">
        <f>'Données projet'!D102</f>
        <v>69.160256410256409</v>
      </c>
      <c r="C99" s="191">
        <v>200</v>
      </c>
      <c r="D99" s="179">
        <f t="shared" si="6"/>
        <v>13832.051282051281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188</v>
      </c>
      <c r="B100" s="181">
        <f>'Données projet'!D103</f>
        <v>49.307692307692307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191</v>
      </c>
      <c r="B101" s="181">
        <f>'Données projet'!D104</f>
        <v>98.961538461538453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Chêne chevelu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3000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10</v>
      </c>
      <c r="B116" s="181">
        <f>'Données projet'!D114</f>
        <v>0</v>
      </c>
      <c r="C116" s="191">
        <v>10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>
        <f>'Données projet'!D115</f>
        <v>0</v>
      </c>
      <c r="C117" s="191">
        <v>10</v>
      </c>
      <c r="D117" s="179">
        <f t="shared" ref="D117:D135" si="8">B117*C117</f>
        <v>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20</v>
      </c>
      <c r="B118" s="181" t="str">
        <f>'Données projet'!D116</f>
        <v>29</v>
      </c>
      <c r="C118" s="191">
        <v>50</v>
      </c>
      <c r="D118" s="179">
        <f t="shared" si="8"/>
        <v>1450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25</v>
      </c>
      <c r="B119" s="181" t="str">
        <f>'Données projet'!D117</f>
        <v>19</v>
      </c>
      <c r="C119" s="191">
        <v>50</v>
      </c>
      <c r="D119" s="179">
        <f t="shared" si="8"/>
        <v>950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 t="str">
        <f>'Données projet'!D118</f>
        <v>20</v>
      </c>
      <c r="C120" s="191">
        <v>50</v>
      </c>
      <c r="D120" s="179">
        <f t="shared" si="8"/>
        <v>1000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35</v>
      </c>
      <c r="B121" s="181" t="str">
        <f>'Données projet'!D119</f>
        <v>20</v>
      </c>
      <c r="C121" s="191">
        <v>100</v>
      </c>
      <c r="D121" s="179">
        <f t="shared" si="8"/>
        <v>2000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40</v>
      </c>
      <c r="B122" s="181" t="str">
        <f>'Données projet'!D120</f>
        <v>20</v>
      </c>
      <c r="C122" s="191">
        <v>100</v>
      </c>
      <c r="D122" s="179">
        <f t="shared" si="8"/>
        <v>2000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45</v>
      </c>
      <c r="B123" s="181" t="str">
        <f>'Données projet'!D121</f>
        <v>19</v>
      </c>
      <c r="C123" s="191">
        <v>150</v>
      </c>
      <c r="D123" s="179">
        <f t="shared" si="8"/>
        <v>2850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50</v>
      </c>
      <c r="B124" s="181" t="str">
        <f>'Données projet'!D122</f>
        <v>18</v>
      </c>
      <c r="C124" s="191">
        <v>150</v>
      </c>
      <c r="D124" s="179">
        <f t="shared" si="8"/>
        <v>2700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55</v>
      </c>
      <c r="B125" s="181" t="str">
        <f>'Données projet'!D123</f>
        <v>17</v>
      </c>
      <c r="C125" s="191">
        <v>150</v>
      </c>
      <c r="D125" s="179">
        <f t="shared" si="8"/>
        <v>2550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60</v>
      </c>
      <c r="B126" s="181" t="str">
        <f>'Données projet'!D124</f>
        <v>16</v>
      </c>
      <c r="C126" s="191">
        <v>200</v>
      </c>
      <c r="D126" s="179">
        <f t="shared" si="8"/>
        <v>3200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65</v>
      </c>
      <c r="B127" s="181" t="str">
        <f>'Données projet'!D125</f>
        <v>15</v>
      </c>
      <c r="C127" s="191">
        <v>200</v>
      </c>
      <c r="D127" s="179">
        <f t="shared" si="8"/>
        <v>3000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70</v>
      </c>
      <c r="B128" s="181" t="str">
        <f>'Données projet'!D126</f>
        <v>14</v>
      </c>
      <c r="C128" s="191">
        <v>200</v>
      </c>
      <c r="D128" s="179">
        <f t="shared" si="8"/>
        <v>2800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75</v>
      </c>
      <c r="B129" s="181" t="str">
        <f>'Données projet'!D127</f>
        <v>12</v>
      </c>
      <c r="C129" s="191">
        <v>200</v>
      </c>
      <c r="D129" s="179">
        <f t="shared" si="8"/>
        <v>2400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80</v>
      </c>
      <c r="B130" s="181" t="str">
        <f>'Données projet'!D128</f>
        <v>11</v>
      </c>
      <c r="C130" s="191">
        <v>200</v>
      </c>
      <c r="D130" s="179">
        <f t="shared" si="8"/>
        <v>2200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85</v>
      </c>
      <c r="B131" s="181" t="str">
        <f>'Données projet'!D129</f>
        <v>10</v>
      </c>
      <c r="C131" s="191">
        <v>200</v>
      </c>
      <c r="D131" s="179">
        <f t="shared" si="8"/>
        <v>2000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90</v>
      </c>
      <c r="B132" s="181" t="str">
        <f>'Données projet'!D130</f>
        <v>10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95</v>
      </c>
      <c r="B133" s="181" t="str">
        <f>'Données projet'!D131</f>
        <v>11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100</v>
      </c>
      <c r="B134" s="181" t="str">
        <f>'Données projet'!D132</f>
        <v>11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Charme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700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30</v>
      </c>
      <c r="B147" s="175">
        <f>'Données projet'!D140</f>
        <v>0</v>
      </c>
      <c r="C147" s="191">
        <v>10</v>
      </c>
      <c r="D147" s="182">
        <f>B147*C147</f>
        <v>0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44</v>
      </c>
      <c r="B148" s="175">
        <f>'Données projet'!D141</f>
        <v>64.416666666666657</v>
      </c>
      <c r="C148" s="191">
        <v>10</v>
      </c>
      <c r="D148" s="182">
        <f t="shared" ref="D148:D166" si="10">B148*C148</f>
        <v>644.16666666666652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51</v>
      </c>
      <c r="B149" s="175">
        <f>'Données projet'!D142</f>
        <v>37.685897435897431</v>
      </c>
      <c r="C149" s="191">
        <v>15</v>
      </c>
      <c r="D149" s="182">
        <f t="shared" si="10"/>
        <v>565.28846153846143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59</v>
      </c>
      <c r="B150" s="175">
        <f>'Données projet'!D143</f>
        <v>38.942307692307693</v>
      </c>
      <c r="C150" s="191">
        <v>15</v>
      </c>
      <c r="D150" s="182">
        <f t="shared" si="10"/>
        <v>584.13461538461536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67</v>
      </c>
      <c r="B151" s="175">
        <f>'Données projet'!D144</f>
        <v>31.993589743589741</v>
      </c>
      <c r="C151" s="191">
        <v>50</v>
      </c>
      <c r="D151" s="182">
        <f t="shared" si="10"/>
        <v>1599.6794871794871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75</v>
      </c>
      <c r="B152" s="175">
        <f>'Données projet'!D145</f>
        <v>30.916666666666664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84</v>
      </c>
      <c r="B153" s="175">
        <f>'Données projet'!D146</f>
        <v>35.083333333333329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93</v>
      </c>
      <c r="B154" s="175">
        <f>'Données projet'!D147</f>
        <v>30.083333333333332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103</v>
      </c>
      <c r="B155" s="175">
        <f>'Données projet'!D148</f>
        <v>39.512820512820511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113</v>
      </c>
      <c r="B156" s="175">
        <f>'Données projet'!D149</f>
        <v>31.602564102564099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125</v>
      </c>
      <c r="B157" s="175">
        <f>'Données projet'!D150</f>
        <v>48.160256410256409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137</v>
      </c>
      <c r="B158" s="175">
        <f>'Données projet'!D151</f>
        <v>51.160256410256409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149</v>
      </c>
      <c r="B159" s="175">
        <f>'Données projet'!D152</f>
        <v>120.50641025641026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153</v>
      </c>
      <c r="B160" s="175">
        <f>'Données projet'!D153</f>
        <v>70.115384615384613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157</v>
      </c>
      <c r="B161" s="175">
        <f>'Données projet'!D154</f>
        <v>45.71153846153846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161</v>
      </c>
      <c r="B162" s="175">
        <f>'Données projet'!D155</f>
        <v>91.365384615384613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Cormier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1120+700</f>
        <v>1820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30</v>
      </c>
      <c r="B178" s="181">
        <f>'Données projet'!D166</f>
        <v>0</v>
      </c>
      <c r="C178" s="193">
        <v>10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44</v>
      </c>
      <c r="B179" s="181">
        <f>'Données projet'!D167</f>
        <v>64.416666666666657</v>
      </c>
      <c r="C179" s="193">
        <v>10</v>
      </c>
      <c r="D179" s="179">
        <f t="shared" ref="D179:D197" si="11">B179*C179</f>
        <v>644.16666666666652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51</v>
      </c>
      <c r="B180" s="181">
        <f>'Données projet'!D168</f>
        <v>37.685897435897431</v>
      </c>
      <c r="C180" s="193">
        <v>15</v>
      </c>
      <c r="D180" s="179">
        <f t="shared" si="11"/>
        <v>565.28846153846143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59</v>
      </c>
      <c r="B181" s="181">
        <f>'Données projet'!D169</f>
        <v>38.942307692307693</v>
      </c>
      <c r="C181" s="193">
        <v>15</v>
      </c>
      <c r="D181" s="179">
        <f t="shared" si="11"/>
        <v>584.13461538461536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67</v>
      </c>
      <c r="B182" s="181">
        <f>'Données projet'!D170</f>
        <v>31.993589743589741</v>
      </c>
      <c r="C182" s="193">
        <v>50</v>
      </c>
      <c r="D182" s="179">
        <f t="shared" si="11"/>
        <v>1599.6794871794871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75</v>
      </c>
      <c r="B183" s="181">
        <f>'Données projet'!D171</f>
        <v>30.916666666666664</v>
      </c>
      <c r="C183" s="193">
        <v>50</v>
      </c>
      <c r="D183" s="179">
        <f t="shared" si="11"/>
        <v>1545.8333333333333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84</v>
      </c>
      <c r="B184" s="181">
        <f>'Données projet'!D172</f>
        <v>35.083333333333329</v>
      </c>
      <c r="C184" s="193">
        <v>50</v>
      </c>
      <c r="D184" s="179">
        <f t="shared" si="11"/>
        <v>1754.1666666666665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93</v>
      </c>
      <c r="B185" s="181">
        <f>'Données projet'!D173</f>
        <v>30.083333333333332</v>
      </c>
      <c r="C185" s="193">
        <v>50</v>
      </c>
      <c r="D185" s="179">
        <f t="shared" si="11"/>
        <v>1504.1666666666665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103</v>
      </c>
      <c r="B186" s="181">
        <f>'Données projet'!D174</f>
        <v>39.512820512820511</v>
      </c>
      <c r="C186" s="193">
        <v>50</v>
      </c>
      <c r="D186" s="179">
        <f t="shared" si="11"/>
        <v>1975.6410256410256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113</v>
      </c>
      <c r="B187" s="181">
        <f>'Données projet'!D175</f>
        <v>31.602564102564099</v>
      </c>
      <c r="C187" s="193">
        <v>50</v>
      </c>
      <c r="D187" s="179">
        <f t="shared" si="11"/>
        <v>1580.1282051282049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125</v>
      </c>
      <c r="B188" s="181">
        <f>'Données projet'!D176</f>
        <v>48.160256410256409</v>
      </c>
      <c r="C188" s="193">
        <v>50</v>
      </c>
      <c r="D188" s="179">
        <f t="shared" si="11"/>
        <v>2408.0128205128203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137</v>
      </c>
      <c r="B189" s="181">
        <f>'Données projet'!D177</f>
        <v>51.160256410256409</v>
      </c>
      <c r="C189" s="193">
        <v>50</v>
      </c>
      <c r="D189" s="179">
        <f t="shared" si="11"/>
        <v>2558.0128205128203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149</v>
      </c>
      <c r="B190" s="181">
        <f>'Données projet'!D178</f>
        <v>120.50641025641026</v>
      </c>
      <c r="C190" s="193">
        <v>50</v>
      </c>
      <c r="D190" s="179">
        <f t="shared" si="11"/>
        <v>6025.3205128205127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153</v>
      </c>
      <c r="B191" s="181">
        <f>'Données projet'!D179</f>
        <v>70.115384615384613</v>
      </c>
      <c r="C191" s="193">
        <v>50</v>
      </c>
      <c r="D191" s="179">
        <f t="shared" si="11"/>
        <v>3505.7692307692305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157</v>
      </c>
      <c r="B192" s="181">
        <f>'Données projet'!D180</f>
        <v>45.71153846153846</v>
      </c>
      <c r="C192" s="193">
        <v>50</v>
      </c>
      <c r="D192" s="179">
        <f t="shared" si="11"/>
        <v>2285.5769230769229</v>
      </c>
      <c r="E192" s="193">
        <v>150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161</v>
      </c>
      <c r="B193" s="181">
        <f>'Données projet'!D181</f>
        <v>91.365384615384613</v>
      </c>
      <c r="C193" s="193">
        <v>50</v>
      </c>
      <c r="D193" s="179">
        <f t="shared" si="11"/>
        <v>4568.2692307692305</v>
      </c>
      <c r="E193" s="193">
        <v>150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6440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30</v>
      </c>
      <c r="B209" s="181">
        <f>'Données projet'!D192</f>
        <v>0</v>
      </c>
      <c r="C209" s="193">
        <v>10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44</v>
      </c>
      <c r="B210" s="181">
        <f>'Données projet'!D193</f>
        <v>64.416666666666657</v>
      </c>
      <c r="C210" s="193">
        <v>10</v>
      </c>
      <c r="D210" s="179">
        <f t="shared" ref="D210:D228" si="12">B210*C210</f>
        <v>644.16666666666652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51</v>
      </c>
      <c r="B211" s="181">
        <f>'Données projet'!D194</f>
        <v>37.685897435897431</v>
      </c>
      <c r="C211" s="193">
        <v>15</v>
      </c>
      <c r="D211" s="179">
        <f t="shared" si="12"/>
        <v>565.28846153846143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59</v>
      </c>
      <c r="B212" s="181">
        <f>'Données projet'!D195</f>
        <v>38.942307692307693</v>
      </c>
      <c r="C212" s="193">
        <v>15</v>
      </c>
      <c r="D212" s="179">
        <f t="shared" si="12"/>
        <v>584.13461538461536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67</v>
      </c>
      <c r="B213" s="181">
        <f>'Données projet'!D196</f>
        <v>31.993589743589741</v>
      </c>
      <c r="C213" s="193">
        <v>50</v>
      </c>
      <c r="D213" s="179">
        <f t="shared" si="12"/>
        <v>1599.6794871794871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75</v>
      </c>
      <c r="B214" s="181">
        <f>'Données projet'!D197</f>
        <v>30.916666666666664</v>
      </c>
      <c r="C214" s="193">
        <v>50</v>
      </c>
      <c r="D214" s="179">
        <f t="shared" si="12"/>
        <v>1545.8333333333333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84</v>
      </c>
      <c r="B215" s="181">
        <f>'Données projet'!D198</f>
        <v>35.083333333333329</v>
      </c>
      <c r="C215" s="193">
        <v>50</v>
      </c>
      <c r="D215" s="179">
        <f t="shared" si="12"/>
        <v>1754.1666666666665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93</v>
      </c>
      <c r="B216" s="181">
        <f>'Données projet'!D199</f>
        <v>30.083333333333332</v>
      </c>
      <c r="C216" s="193">
        <v>50</v>
      </c>
      <c r="D216" s="179">
        <f t="shared" si="12"/>
        <v>1504.1666666666665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103</v>
      </c>
      <c r="B217" s="181">
        <f>'Données projet'!D200</f>
        <v>39.512820512820511</v>
      </c>
      <c r="C217" s="193">
        <v>50</v>
      </c>
      <c r="D217" s="179">
        <f t="shared" si="12"/>
        <v>1975.6410256410256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113</v>
      </c>
      <c r="B218" s="181">
        <f>'Données projet'!D201</f>
        <v>31.602564102564099</v>
      </c>
      <c r="C218" s="193">
        <v>50</v>
      </c>
      <c r="D218" s="179">
        <f t="shared" si="12"/>
        <v>1580.1282051282049</v>
      </c>
      <c r="E218" s="193">
        <v>150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125</v>
      </c>
      <c r="B219" s="181">
        <f>'Données projet'!D202</f>
        <v>48.160256410256409</v>
      </c>
      <c r="C219" s="193">
        <v>50</v>
      </c>
      <c r="D219" s="179">
        <f t="shared" si="12"/>
        <v>2408.0128205128203</v>
      </c>
      <c r="E219" s="193">
        <v>150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137</v>
      </c>
      <c r="B220" s="181">
        <f>'Données projet'!D203</f>
        <v>51.160256410256409</v>
      </c>
      <c r="C220" s="193">
        <v>50</v>
      </c>
      <c r="D220" s="179">
        <f t="shared" si="12"/>
        <v>2558.0128205128203</v>
      </c>
      <c r="E220" s="193">
        <v>150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149</v>
      </c>
      <c r="B221" s="181">
        <f>'Données projet'!D204</f>
        <v>120.50641025641026</v>
      </c>
      <c r="C221" s="193">
        <v>50</v>
      </c>
      <c r="D221" s="179">
        <f t="shared" si="12"/>
        <v>6025.3205128205127</v>
      </c>
      <c r="E221" s="193">
        <v>150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153</v>
      </c>
      <c r="B222" s="181">
        <f>'Données projet'!D205</f>
        <v>70.115384615384613</v>
      </c>
      <c r="C222" s="193">
        <v>50</v>
      </c>
      <c r="D222" s="179">
        <f t="shared" si="12"/>
        <v>3505.7692307692305</v>
      </c>
      <c r="E222" s="193">
        <v>150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157</v>
      </c>
      <c r="B223" s="181">
        <f>'Données projet'!D206</f>
        <v>45.71153846153846</v>
      </c>
      <c r="C223" s="193">
        <v>50</v>
      </c>
      <c r="D223" s="179">
        <f t="shared" si="12"/>
        <v>2285.5769230769229</v>
      </c>
      <c r="E223" s="193">
        <v>150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161</v>
      </c>
      <c r="B224" s="181">
        <f>'Données projet'!D207</f>
        <v>91.365384615384613</v>
      </c>
      <c r="C224" s="193">
        <v>50</v>
      </c>
      <c r="D224" s="179">
        <f t="shared" si="12"/>
        <v>4568.2692307692305</v>
      </c>
      <c r="E224" s="193">
        <v>150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>Pin maritime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900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15</v>
      </c>
      <c r="B240" s="181">
        <f>'Données projet'!D218</f>
        <v>49.784615384615385</v>
      </c>
      <c r="C240" s="193">
        <v>10</v>
      </c>
      <c r="D240" s="179">
        <f>B240*C240</f>
        <v>497.84615384615387</v>
      </c>
      <c r="E240" s="193">
        <v>150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20</v>
      </c>
      <c r="B241" s="181">
        <f>'Données projet'!D219</f>
        <v>48.723076923076924</v>
      </c>
      <c r="C241" s="193">
        <v>18</v>
      </c>
      <c r="D241" s="179">
        <f t="shared" ref="D241:D259" si="13">B241*C241</f>
        <v>877.01538461538462</v>
      </c>
      <c r="E241" s="193">
        <v>150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26</v>
      </c>
      <c r="B242" s="181">
        <f>'Données projet'!D220</f>
        <v>46.984615384615381</v>
      </c>
      <c r="C242" s="193">
        <v>25</v>
      </c>
      <c r="D242" s="179">
        <f t="shared" si="13"/>
        <v>1174.6153846153845</v>
      </c>
      <c r="E242" s="193">
        <v>150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32</v>
      </c>
      <c r="B243" s="181">
        <f>'Données projet'!D221</f>
        <v>64.523076923076914</v>
      </c>
      <c r="C243" s="193">
        <v>25</v>
      </c>
      <c r="D243" s="179">
        <f t="shared" si="13"/>
        <v>1613.0769230769229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40</v>
      </c>
      <c r="B244" s="181">
        <f>'Données projet'!D222</f>
        <v>92.661538461538456</v>
      </c>
      <c r="C244" s="193">
        <v>35</v>
      </c>
      <c r="D244" s="179">
        <f t="shared" si="13"/>
        <v>3243.1538461538457</v>
      </c>
      <c r="E244" s="193">
        <v>150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48</v>
      </c>
      <c r="B245" s="181">
        <f>'Données projet'!D223</f>
        <v>83.969230769230762</v>
      </c>
      <c r="C245" s="193">
        <v>35</v>
      </c>
      <c r="D245" s="179">
        <f t="shared" si="13"/>
        <v>2938.9230769230767</v>
      </c>
      <c r="E245" s="193">
        <v>150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56</v>
      </c>
      <c r="B246" s="181">
        <f>'Données projet'!D224</f>
        <v>446.47692307692301</v>
      </c>
      <c r="C246" s="193">
        <v>35</v>
      </c>
      <c r="D246" s="179">
        <f t="shared" si="13"/>
        <v>15626.692307692305</v>
      </c>
      <c r="E246" s="193">
        <v>150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>
        <v>40</v>
      </c>
      <c r="D247" s="179">
        <f t="shared" si="13"/>
        <v>0</v>
      </c>
      <c r="E247" s="193">
        <v>150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>
        <v>150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>Cèdre de l'Atlas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2250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30</v>
      </c>
      <c r="B271" s="181">
        <f>'Données projet'!D244</f>
        <v>0</v>
      </c>
      <c r="C271" s="193">
        <v>10</v>
      </c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42</v>
      </c>
      <c r="B272" s="181">
        <f>'Données projet'!D245</f>
        <v>179.84615384615384</v>
      </c>
      <c r="C272" s="193">
        <v>18</v>
      </c>
      <c r="D272" s="179">
        <f t="shared" ref="D272:D290" si="14">B272*C272</f>
        <v>3237.2307692307691</v>
      </c>
      <c r="E272" s="193">
        <v>150</v>
      </c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49</v>
      </c>
      <c r="B273" s="181">
        <f>'Données projet'!D246</f>
        <v>94.476923076923072</v>
      </c>
      <c r="C273" s="193">
        <v>25</v>
      </c>
      <c r="D273" s="179">
        <f t="shared" si="14"/>
        <v>2361.9230769230767</v>
      </c>
      <c r="E273" s="193">
        <v>150</v>
      </c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56</v>
      </c>
      <c r="B274" s="181">
        <f>'Données projet'!D247</f>
        <v>72.769230769230759</v>
      </c>
      <c r="C274" s="193">
        <v>35</v>
      </c>
      <c r="D274" s="179">
        <f t="shared" si="14"/>
        <v>2546.9230769230767</v>
      </c>
      <c r="E274" s="193">
        <v>150</v>
      </c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63</v>
      </c>
      <c r="B275" s="181">
        <f>'Données projet'!D248</f>
        <v>71.123076923076923</v>
      </c>
      <c r="C275" s="193">
        <v>40</v>
      </c>
      <c r="D275" s="179">
        <f t="shared" si="14"/>
        <v>2844.9230769230771</v>
      </c>
      <c r="E275" s="193">
        <v>150</v>
      </c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71</v>
      </c>
      <c r="B276" s="181">
        <f>'Données projet'!D249</f>
        <v>80.399999999999991</v>
      </c>
      <c r="C276" s="193">
        <v>45</v>
      </c>
      <c r="D276" s="179">
        <f t="shared" si="14"/>
        <v>3617.9999999999995</v>
      </c>
      <c r="E276" s="193">
        <v>150</v>
      </c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79</v>
      </c>
      <c r="B277" s="181">
        <f>'Données projet'!D250</f>
        <v>77.338461538461544</v>
      </c>
      <c r="C277" s="193">
        <v>45</v>
      </c>
      <c r="D277" s="179">
        <f t="shared" si="14"/>
        <v>3480.2307692307695</v>
      </c>
      <c r="E277" s="193">
        <v>150</v>
      </c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87</v>
      </c>
      <c r="B278" s="181">
        <f>'Données projet'!D251</f>
        <v>77.330769230769235</v>
      </c>
      <c r="C278" s="193">
        <v>56</v>
      </c>
      <c r="D278" s="179">
        <f t="shared" si="14"/>
        <v>4330.5230769230775</v>
      </c>
      <c r="E278" s="193">
        <v>150</v>
      </c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95</v>
      </c>
      <c r="B279" s="181">
        <f>'Données projet'!D252</f>
        <v>234.42307692307691</v>
      </c>
      <c r="C279" s="193">
        <v>56</v>
      </c>
      <c r="D279" s="179">
        <f t="shared" si="14"/>
        <v>13127.692307692307</v>
      </c>
      <c r="E279" s="193">
        <v>150</v>
      </c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105</v>
      </c>
      <c r="B280" s="181">
        <f>'Données projet'!D253</f>
        <v>309.71538461538461</v>
      </c>
      <c r="C280" s="193">
        <v>56</v>
      </c>
      <c r="D280" s="179">
        <f t="shared" si="14"/>
        <v>17344.061538461538</v>
      </c>
      <c r="E280" s="193">
        <v>150</v>
      </c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>Douglas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1620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21</v>
      </c>
      <c r="B302" s="181">
        <f>'Données projet'!D270</f>
        <v>61.169230769230765</v>
      </c>
      <c r="C302" s="191">
        <v>10</v>
      </c>
      <c r="D302" s="182">
        <f>B302*C302</f>
        <v>611.69230769230762</v>
      </c>
      <c r="E302" s="193">
        <v>150</v>
      </c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28</v>
      </c>
      <c r="B303" s="181">
        <f>'Données projet'!D271</f>
        <v>56.91538461538461</v>
      </c>
      <c r="C303" s="191">
        <v>10</v>
      </c>
      <c r="D303" s="182">
        <f t="shared" ref="D303:D321" si="15">B303*C303</f>
        <v>569.15384615384608</v>
      </c>
      <c r="E303" s="193">
        <v>150</v>
      </c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35</v>
      </c>
      <c r="B304" s="181">
        <f>'Données projet'!D272</f>
        <v>70.5</v>
      </c>
      <c r="C304" s="191">
        <v>18</v>
      </c>
      <c r="D304" s="182">
        <f t="shared" si="15"/>
        <v>1269</v>
      </c>
      <c r="E304" s="193">
        <v>150</v>
      </c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42</v>
      </c>
      <c r="B305" s="181">
        <f>'Données projet'!D273</f>
        <v>80.669230769230765</v>
      </c>
      <c r="C305" s="191">
        <v>25</v>
      </c>
      <c r="D305" s="182">
        <f t="shared" si="15"/>
        <v>2016.7307692307691</v>
      </c>
      <c r="E305" s="193">
        <v>150</v>
      </c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49</v>
      </c>
      <c r="B306" s="181">
        <f>'Données projet'!D274</f>
        <v>90.453846153846158</v>
      </c>
      <c r="C306" s="191">
        <v>25</v>
      </c>
      <c r="D306" s="182">
        <f t="shared" si="15"/>
        <v>2261.3461538461538</v>
      </c>
      <c r="E306" s="193">
        <v>150</v>
      </c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56</v>
      </c>
      <c r="B307" s="181">
        <f>'Données projet'!D275</f>
        <v>75.869230769230768</v>
      </c>
      <c r="C307" s="191">
        <v>35</v>
      </c>
      <c r="D307" s="182">
        <f t="shared" si="15"/>
        <v>2655.4230769230767</v>
      </c>
      <c r="E307" s="193">
        <v>150</v>
      </c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63</v>
      </c>
      <c r="B308" s="181">
        <f>'Données projet'!D276</f>
        <v>79.723076923076917</v>
      </c>
      <c r="C308" s="191">
        <v>40</v>
      </c>
      <c r="D308" s="182">
        <f t="shared" si="15"/>
        <v>3188.9230769230767</v>
      </c>
      <c r="E308" s="193">
        <v>150</v>
      </c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70</v>
      </c>
      <c r="B309" s="181">
        <f>'Données projet'!D277</f>
        <v>469.06923076923073</v>
      </c>
      <c r="C309" s="191">
        <v>45</v>
      </c>
      <c r="D309" s="182">
        <f t="shared" si="15"/>
        <v>21108.115384615383</v>
      </c>
      <c r="E309" s="193">
        <v>150</v>
      </c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>
        <v>55</v>
      </c>
      <c r="D310" s="182">
        <f t="shared" si="15"/>
        <v>0</v>
      </c>
      <c r="E310" s="193">
        <v>150</v>
      </c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3736BB-B382-47F5-A0B5-EC8CF0AE5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9C0A8-7F2E-4F71-B0BF-2A5EAE99953C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D1446BBE-3213-44BB-B84B-AD49EE567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EVEN</cp:lastModifiedBy>
  <dcterms:created xsi:type="dcterms:W3CDTF">2021-02-01T08:22:39Z</dcterms:created>
  <dcterms:modified xsi:type="dcterms:W3CDTF">2024-05-14T09:51:10Z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