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GFR GARREAU\LBC\Documents LBC\"/>
    </mc:Choice>
  </mc:AlternateContent>
  <xr:revisionPtr revIDLastSave="0" documentId="13_ncr:1_{24E4BCF8-295E-4299-AAA6-34DCFE2AD62D}" xr6:coauthVersionLast="47" xr6:coauthVersionMax="47" xr10:uidLastSave="{00000000-0000-0000-0000-000000000000}"/>
  <bookViews>
    <workbookView xWindow="-108" yWindow="-108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D71" i="1" s="1"/>
  <c r="B70" i="1"/>
  <c r="B69" i="1"/>
  <c r="B68" i="1"/>
  <c r="B67" i="1"/>
  <c r="B66" i="1"/>
  <c r="B65" i="1"/>
  <c r="B64" i="1"/>
  <c r="B63" i="1"/>
  <c r="D47" i="1"/>
  <c r="B47" i="1"/>
  <c r="B46" i="1"/>
  <c r="B45" i="1"/>
  <c r="B44" i="1"/>
  <c r="B43" i="1"/>
  <c r="B42" i="1"/>
  <c r="B41" i="1"/>
  <c r="B40" i="1"/>
  <c r="B39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FS20" i="2"/>
  <c r="HG20" i="2"/>
  <c r="EW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X113" i="2"/>
  <c r="FS113" i="2"/>
  <c r="EB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A144" i="2"/>
  <c r="EX144" i="2"/>
  <c r="EB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ED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I163" i="2"/>
  <c r="HG164" i="2"/>
  <c r="EA164" i="2"/>
  <c r="EX164" i="2"/>
  <c r="EV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I167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EB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EV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HG192" i="2"/>
  <c r="EA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HH197" i="2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EB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R203" i="2" l="1"/>
  <c r="AH92" i="2" a="1"/>
  <c r="AH92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<sst xmlns="http://schemas.openxmlformats.org/spreadsheetml/2006/main" count="1171" uniqueCount="324">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</sst>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1.9869580405124943</c:v>
                </c:pt>
                <c:pt idx="2">
                  <c:v>2.8904867977510769</c:v>
                </c:pt>
                <c:pt idx="3">
                  <c:v>4.2067299519535721</c:v>
                </c:pt>
                <c:pt idx="4">
                  <c:v>6.12500314356791</c:v>
                </c:pt>
                <c:pt idx="5">
                  <c:v>8.9218028732098968</c:v>
                </c:pt>
                <c:pt idx="6">
                  <c:v>19.621201914754778</c:v>
                </c:pt>
                <c:pt idx="7">
                  <c:v>30.14302051460983</c:v>
                </c:pt>
                <c:pt idx="8">
                  <c:v>40.560989354507619</c:v>
                </c:pt>
                <c:pt idx="9">
                  <c:v>50.906050141768617</c:v>
                </c:pt>
                <c:pt idx="10">
                  <c:v>61.195253174133917</c:v>
                </c:pt>
                <c:pt idx="11">
                  <c:v>78.865630358080224</c:v>
                </c:pt>
                <c:pt idx="12">
                  <c:v>96.43500928621522</c:v>
                </c:pt>
                <c:pt idx="13">
                  <c:v>113.92449191335385</c:v>
                </c:pt>
                <c:pt idx="14">
                  <c:v>131.34811216056735</c:v>
                </c:pt>
                <c:pt idx="15">
                  <c:v>148.7158543713862</c:v>
                </c:pt>
                <c:pt idx="16">
                  <c:v>170.35813814817604</c:v>
                </c:pt>
                <c:pt idx="17">
                  <c:v>191.93562952471487</c:v>
                </c:pt>
                <c:pt idx="18">
                  <c:v>213.45664137520598</c:v>
                </c:pt>
                <c:pt idx="19">
                  <c:v>234.92767007142686</c:v>
                </c:pt>
                <c:pt idx="20">
                  <c:v>256.35392599796734</c:v>
                </c:pt>
                <c:pt idx="21">
                  <c:v>278.63929601472205</c:v>
                </c:pt>
                <c:pt idx="22">
                  <c:v>300.88468458626141</c:v>
                </c:pt>
                <c:pt idx="23">
                  <c:v>323.09346191501317</c:v>
                </c:pt>
                <c:pt idx="24">
                  <c:v>345.26849706819104</c:v>
                </c:pt>
                <c:pt idx="25">
                  <c:v>367.41226056988825</c:v>
                </c:pt>
                <c:pt idx="26">
                  <c:v>387.96415515852169</c:v>
                </c:pt>
                <c:pt idx="27">
                  <c:v>408.49242078809272</c:v>
                </c:pt>
                <c:pt idx="28">
                  <c:v>428.99841119859292</c:v>
                </c:pt>
                <c:pt idx="29">
                  <c:v>449.48334022536238</c:v>
                </c:pt>
                <c:pt idx="30">
                  <c:v>469.94830210518927</c:v>
                </c:pt>
                <c:pt idx="31">
                  <c:v>487.0619594434861</c:v>
                </c:pt>
                <c:pt idx="32">
                  <c:v>504.16285829046438</c:v>
                </c:pt>
                <c:pt idx="33">
                  <c:v>521.25149210727739</c:v>
                </c:pt>
                <c:pt idx="34">
                  <c:v>538.32831937910123</c:v>
                </c:pt>
                <c:pt idx="35">
                  <c:v>555.39376714784089</c:v>
                </c:pt>
                <c:pt idx="36">
                  <c:v>569.34822153532423</c:v>
                </c:pt>
                <c:pt idx="37">
                  <c:v>583.29553105603065</c:v>
                </c:pt>
                <c:pt idx="38">
                  <c:v>597.23589054999945</c:v>
                </c:pt>
                <c:pt idx="39">
                  <c:v>611.16948502399748</c:v>
                </c:pt>
                <c:pt idx="40">
                  <c:v>625.09649036531653</c:v>
                </c:pt>
                <c:pt idx="41">
                  <c:v>635.9241576361818</c:v>
                </c:pt>
                <c:pt idx="42">
                  <c:v>646.74801576779112</c:v>
                </c:pt>
                <c:pt idx="43">
                  <c:v>657.56813747641911</c:v>
                </c:pt>
                <c:pt idx="44">
                  <c:v>668.38459289090156</c:v>
                </c:pt>
                <c:pt idx="45">
                  <c:v>679.19744968596967</c:v>
                </c:pt>
                <c:pt idx="46">
                  <c:v>687.80107267276674</c:v>
                </c:pt>
                <c:pt idx="47">
                  <c:v>696.40248936226101</c:v>
                </c:pt>
                <c:pt idx="48">
                  <c:v>705.00173084119558</c:v>
                </c:pt>
                <c:pt idx="49">
                  <c:v>713.5988273762855</c:v>
                </c:pt>
                <c:pt idx="50">
                  <c:v>722.19380844568104</c:v>
                </c:pt>
                <c:pt idx="51">
                  <c:v>728.58359390263615</c:v>
                </c:pt>
                <c:pt idx="52">
                  <c:v>734.97223710399157</c:v>
                </c:pt>
                <c:pt idx="53">
                  <c:v>741.35974937768617</c:v>
                </c:pt>
                <c:pt idx="54">
                  <c:v>747.74614184056315</c:v>
                </c:pt>
                <c:pt idx="55">
                  <c:v>754.13142540411025</c:v>
                </c:pt>
                <c:pt idx="56">
                  <c:v>758.9747004966888</c:v>
                </c:pt>
                <c:pt idx="57">
                  <c:v>763.81734818206417</c:v>
                </c:pt>
                <c:pt idx="58">
                  <c:v>768.65937299884274</c:v>
                </c:pt>
                <c:pt idx="59">
                  <c:v>773.50077942378914</c:v>
                </c:pt>
                <c:pt idx="60">
                  <c:v>778.34157187306153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42" zoomScale="80" zoomScaleNormal="80" workbookViewId="0">
      <selection activeCell="F87" sqref="F8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10.053699999999999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123</v>
      </c>
      <c r="C9" s="32">
        <v>0.624</v>
      </c>
      <c r="D9" s="33">
        <f t="shared" ref="D9:D18" si="0">C9*$C$5</f>
        <v>6.2735087999999992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0.376</v>
      </c>
      <c r="D10" s="33">
        <f t="shared" si="0"/>
        <v>3.7801911999999995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10.053699999999999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Dorskamp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7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1.4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f>51-D36</f>
        <v>51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8.8000000000000007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f>127-SUM(D36:D37)</f>
        <v>127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15.2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f>222-SUM(D36:D38)</f>
        <v>222</v>
      </c>
      <c r="C39" s="60">
        <v>4</v>
      </c>
      <c r="D39" s="60">
        <v>0</v>
      </c>
      <c r="E39" s="51"/>
      <c r="F39" s="51"/>
      <c r="G39" s="51"/>
      <c r="H39" s="51"/>
      <c r="I39" s="49">
        <f>IF(A39&lt;&gt;0,(B39-(B38-D38))/(A39-A38),"")</f>
        <v>19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f>321-SUM(D36:D39)</f>
        <v>321</v>
      </c>
      <c r="C40" s="60">
        <v>5</v>
      </c>
      <c r="D40" s="60">
        <v>0</v>
      </c>
      <c r="E40" s="51"/>
      <c r="F40" s="51"/>
      <c r="G40" s="51"/>
      <c r="H40" s="51"/>
      <c r="I40" s="49">
        <f>IF(A40&lt;&gt;0,(B40-(B39-D39))/(A40-A39),"")</f>
        <v>19.8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30</v>
      </c>
      <c r="B41" s="60">
        <f>413-SUM(D36:D40)</f>
        <v>413</v>
      </c>
      <c r="C41" s="60">
        <v>6</v>
      </c>
      <c r="D41" s="60">
        <v>0</v>
      </c>
      <c r="E41" s="51"/>
      <c r="F41" s="51"/>
      <c r="G41" s="51"/>
      <c r="H41" s="51"/>
      <c r="I41" s="53">
        <f>IF(A41&lt;&gt;0,(B41-(B40-D40))/(A41-A40),"")</f>
        <v>18.399999999999999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35</v>
      </c>
      <c r="B42" s="60">
        <f>490-SUM(D36:D41)</f>
        <v>490</v>
      </c>
      <c r="C42" s="60">
        <v>7</v>
      </c>
      <c r="D42" s="60">
        <v>0</v>
      </c>
      <c r="E42" s="51"/>
      <c r="F42" s="51"/>
      <c r="G42" s="51"/>
      <c r="H42" s="51"/>
      <c r="I42" s="53">
        <f t="shared" si="1"/>
        <v>15.4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40</v>
      </c>
      <c r="B43" s="60">
        <f>553-SUM(D36:D42)</f>
        <v>553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12.6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45</v>
      </c>
      <c r="B44" s="60">
        <f>602-SUM(D36:D43)</f>
        <v>602</v>
      </c>
      <c r="C44" s="60">
        <v>9</v>
      </c>
      <c r="D44" s="60">
        <v>0</v>
      </c>
      <c r="E44" s="51"/>
      <c r="F44" s="51"/>
      <c r="G44" s="51"/>
      <c r="H44" s="51"/>
      <c r="I44" s="49">
        <f t="shared" si="1"/>
        <v>9.8000000000000007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50</v>
      </c>
      <c r="B45" s="60">
        <f>641-SUM(D36:D44)</f>
        <v>641</v>
      </c>
      <c r="C45" s="60">
        <v>10</v>
      </c>
      <c r="D45" s="60">
        <v>0</v>
      </c>
      <c r="E45" s="51"/>
      <c r="F45" s="51"/>
      <c r="G45" s="51"/>
      <c r="H45" s="51"/>
      <c r="I45" s="49">
        <f t="shared" si="1"/>
        <v>7.8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55</v>
      </c>
      <c r="B46" s="60">
        <f>670-SUM(D36:D45)</f>
        <v>670</v>
      </c>
      <c r="C46" s="60">
        <v>11</v>
      </c>
      <c r="D46" s="60">
        <v>0</v>
      </c>
      <c r="E46" s="51"/>
      <c r="F46" s="51"/>
      <c r="G46" s="51"/>
      <c r="H46" s="51"/>
      <c r="I46" s="49">
        <f t="shared" si="1"/>
        <v>5.8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60</v>
      </c>
      <c r="B47" s="60">
        <f>692-SUM(D36:D46)</f>
        <v>692</v>
      </c>
      <c r="C47" s="60">
        <v>12</v>
      </c>
      <c r="D47" s="60">
        <f>B47</f>
        <v>692</v>
      </c>
      <c r="E47" s="51"/>
      <c r="F47" s="51"/>
      <c r="G47" s="51"/>
      <c r="H47" s="51"/>
      <c r="I47" s="49">
        <f t="shared" si="1"/>
        <v>4.4000000000000004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12</v>
      </c>
      <c r="B62" s="60">
        <v>46.2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3.85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16</v>
      </c>
      <c r="B63" s="60">
        <f>107.5-D62</f>
        <v>107.5</v>
      </c>
      <c r="C63" s="60">
        <v>2</v>
      </c>
      <c r="D63" s="60">
        <v>25</v>
      </c>
      <c r="E63" s="51"/>
      <c r="F63" s="51"/>
      <c r="G63" s="51">
        <v>0.5</v>
      </c>
      <c r="H63" s="51">
        <v>0.5</v>
      </c>
      <c r="I63" s="49">
        <f>IF(A63&lt;&gt;0,(B63-(B62-D62))/(A63-A62),"")</f>
        <v>15.324999999999999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176.3-SUM(D62:D63)</f>
        <v>151.30000000000001</v>
      </c>
      <c r="C64" s="60">
        <v>3</v>
      </c>
      <c r="D64" s="60">
        <v>33.700000000000003</v>
      </c>
      <c r="E64" s="51">
        <v>0.2</v>
      </c>
      <c r="F64" s="51"/>
      <c r="G64" s="51">
        <v>0.6</v>
      </c>
      <c r="H64" s="51">
        <v>0.2</v>
      </c>
      <c r="I64" s="49">
        <f>IF(A64&lt;&gt;0,(B64-(B63-D63))/(A64-A63),"")</f>
        <v>17.200000000000003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24</v>
      </c>
      <c r="B65" s="60">
        <f>255.9-SUM(D62:D64)</f>
        <v>197.2</v>
      </c>
      <c r="C65" s="60">
        <v>4</v>
      </c>
      <c r="D65" s="60">
        <v>42.9</v>
      </c>
      <c r="E65" s="51">
        <v>0.3</v>
      </c>
      <c r="F65" s="51"/>
      <c r="G65" s="51">
        <v>0.5</v>
      </c>
      <c r="H65" s="51">
        <v>0.2</v>
      </c>
      <c r="I65" s="49">
        <f>IF(A65&lt;&gt;0,(B65-(B64-D64))/(A65-A64),"")</f>
        <v>19.899999999999995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28</v>
      </c>
      <c r="B66" s="60">
        <f>335.4-SUM(D62:D65)</f>
        <v>233.79999999999998</v>
      </c>
      <c r="C66" s="60">
        <v>5</v>
      </c>
      <c r="D66" s="60">
        <v>41.4</v>
      </c>
      <c r="E66" s="51">
        <v>0.5</v>
      </c>
      <c r="F66" s="51"/>
      <c r="G66" s="51">
        <v>0.4</v>
      </c>
      <c r="H66" s="51">
        <v>0.1</v>
      </c>
      <c r="I66" s="49">
        <f t="shared" ref="I66:I81" si="2">IF(A66&lt;&gt;0,(B66-(B65-D65))/(A66-A65),"")</f>
        <v>19.875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34</v>
      </c>
      <c r="B67" s="60">
        <f>447.6-SUM(D62:D66)</f>
        <v>304.60000000000002</v>
      </c>
      <c r="C67" s="60">
        <v>6</v>
      </c>
      <c r="D67" s="60">
        <v>59.9</v>
      </c>
      <c r="E67" s="51">
        <v>0.7</v>
      </c>
      <c r="F67" s="51"/>
      <c r="G67" s="51">
        <v>0.2</v>
      </c>
      <c r="H67" s="51">
        <v>0.1</v>
      </c>
      <c r="I67" s="49">
        <f t="shared" si="2"/>
        <v>18.700000000000006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f>536.7-SUM(D62:D67)</f>
        <v>333.80000000000007</v>
      </c>
      <c r="C68" s="60">
        <v>7</v>
      </c>
      <c r="D68" s="60">
        <v>34.1</v>
      </c>
      <c r="E68" s="51"/>
      <c r="F68" s="51"/>
      <c r="G68" s="51"/>
      <c r="H68" s="51"/>
      <c r="I68" s="49">
        <f t="shared" si="2"/>
        <v>14.850000000000009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46</v>
      </c>
      <c r="B69" s="50">
        <f>603-SUM(D62:D68)</f>
        <v>366</v>
      </c>
      <c r="C69" s="50">
        <v>8</v>
      </c>
      <c r="D69" s="50">
        <v>21.3</v>
      </c>
      <c r="E69" s="51"/>
      <c r="F69" s="51"/>
      <c r="G69" s="51"/>
      <c r="H69" s="51"/>
      <c r="I69" s="49">
        <f t="shared" si="2"/>
        <v>11.049999999999992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54</v>
      </c>
      <c r="B70" s="50">
        <f>661.4-SUM(D62:D69)</f>
        <v>403.09999999999997</v>
      </c>
      <c r="C70" s="50">
        <v>9</v>
      </c>
      <c r="D70" s="50">
        <v>17.399999999999999</v>
      </c>
      <c r="E70" s="51"/>
      <c r="F70" s="51"/>
      <c r="G70" s="51"/>
      <c r="H70" s="51"/>
      <c r="I70" s="49">
        <f t="shared" si="2"/>
        <v>7.2999999999999972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62</v>
      </c>
      <c r="B71" s="50">
        <f>685.7-SUM(D62:D70)</f>
        <v>410.00000000000006</v>
      </c>
      <c r="C71" s="50">
        <v>10</v>
      </c>
      <c r="D71" s="50">
        <f>B71</f>
        <v>410.00000000000006</v>
      </c>
      <c r="E71" s="51"/>
      <c r="F71" s="51"/>
      <c r="G71" s="51"/>
      <c r="H71" s="51"/>
      <c r="I71" s="49">
        <f t="shared" si="2"/>
        <v>3.0375000000000085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8" sqref="G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Dorskamp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463.16285713357729</v>
      </c>
      <c r="T3" s="59">
        <f>IF('Données projet'!E9&gt;30,$R$33-$H$33,LOOKUP('Données projet'!$E$9,$A$3:$A$203,R3:R203)-LOOKUP('Données projet'!$E$9,$A$3:$A$203,$H$3:$H$203))</f>
        <v>525.72239370489785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336.28176557459966</v>
      </c>
      <c r="AO3" s="59">
        <f>IF('Données projet'!E10&gt;30,$AM$33-$H$33,LOOKUP('Données projet'!$E$10,$A$3:$A$203,AM3:AM203)-LOOKUP('Données projet'!$E$10,$A$3:$A$203,$H$3:$H$203))</f>
        <v>357.30155664292317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1.4</v>
      </c>
      <c r="N4" s="13">
        <f>IF('Données projet'!$A$36&gt;35,N3+M4-V3,IF(A4&lt;'Données projet'!$A$36,$K$205^A4,IF(A4='Données projet'!$A$36,'Données projet'!$B$36,N3+M4-V3)))</f>
        <v>1.475773161594552</v>
      </c>
      <c r="O4" s="13">
        <f>N4*VLOOKUP('Données projet'!$B$9,Paramètres!$A$1:$I$89,3,0)*VLOOKUP('Données projet'!$B$9,Paramètres!$A$1:$I$89,5,0)</f>
        <v>0.77354126038140048</v>
      </c>
      <c r="P4" s="13">
        <f>EXP(-1.0587+0.8836*LN(O4)+0.284)</f>
        <v>0.36729589206596491</v>
      </c>
      <c r="Q4" s="20">
        <f t="shared" ref="Q4:Q34" si="2">(O4+P4)*0.475*44/12</f>
        <v>1.9869580405124943</v>
      </c>
      <c r="R4" s="59">
        <f t="shared" si="0"/>
        <v>169.79939199343633</v>
      </c>
      <c r="S4" s="59">
        <f ca="1">AVERAGE(OFFSET($R$3,0,0,'Données projet'!$E$9+1,1))-AVERAGE(OFFSET($H$3,0,0,'Données projet'!$E$9+1,1))</f>
        <v>463.16285713357729</v>
      </c>
      <c r="T4" s="59">
        <f>$T$3</f>
        <v>525.72239370489785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3.85</v>
      </c>
      <c r="AI4" s="13">
        <f>IF('Données projet'!$A$62&gt;35,AI3+AH4-AQ3,IF(A4&lt;'Données projet'!$A$62,$AF$205^A4,IF(A4='Données projet'!$A$62,'Données projet'!$B$62,AI3+AH4-AQ3)))</f>
        <v>1.3763223570336161</v>
      </c>
      <c r="AJ4" s="13">
        <f>AI4*VLOOKUP('Données projet'!$B$10,Paramètres!$A$1:$I$89,3,0)*VLOOKUP('Données projet'!$B$10,Paramètres!$A$1:$I$89,5,0)</f>
        <v>0.82304076950610239</v>
      </c>
      <c r="AK4" s="13">
        <f>EXP(-1.0587+0.8836*LN(AJ4)+0.284)</f>
        <v>0.38798806692284393</v>
      </c>
      <c r="AL4" s="20">
        <f t="shared" ref="AL4:AL67" si="4">(AJ4+AK4)*0.475*44/12</f>
        <v>2.1092085567804149</v>
      </c>
      <c r="AM4" s="59">
        <f t="shared" ref="AM4:AM67" si="5">AL4+(AD4+AE4)*44/12</f>
        <v>169.92164250970424</v>
      </c>
      <c r="AN4" s="59">
        <f ca="1">AVERAGE(OFFSET($AM$3,0,0,'Données projet'!$E$10+1,1))-AVERAGE(OFFSET($H$3,0,0,'Données projet'!$E$10+1,1))</f>
        <v>336.28176557459966</v>
      </c>
      <c r="AO4" s="59">
        <f>$AO$3</f>
        <v>357.30155664292317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1.4</v>
      </c>
      <c r="N5" s="13">
        <f>IF('Données projet'!$A$36&gt;35,N4+M5-V4,IF(A5&lt;'Données projet'!$A$36,$K$205^A5,IF(A5='Données projet'!$A$36,'Données projet'!$B$36,N4+M5-V4)))</f>
        <v>2.1779064244827797</v>
      </c>
      <c r="O5" s="13">
        <f>N5*VLOOKUP('Données projet'!$B$9,Paramètres!$A$1:$I$89,3,0)*VLOOKUP('Données projet'!$B$9,Paramètres!$A$1:$I$89,5,0)</f>
        <v>1.1415714314568939</v>
      </c>
      <c r="P5" s="13">
        <f t="shared" ref="P5:P68" si="33">EXP(-1.0587+0.8836*LN(O5)+0.284)</f>
        <v>0.51803821318487264</v>
      </c>
      <c r="Q5" s="20">
        <f t="shared" si="2"/>
        <v>2.8904867977510769</v>
      </c>
      <c r="R5" s="59">
        <f t="shared" si="0"/>
        <v>173.4877680852519</v>
      </c>
      <c r="S5" s="59">
        <f ca="1">AVERAGE(OFFSET($R$3,0,0,'Données projet'!$E$9+1,1))-AVERAGE(OFFSET($H$3,0,0,'Données projet'!$E$9+1,1))</f>
        <v>463.16285713357729</v>
      </c>
      <c r="T5" s="59">
        <f t="shared" ref="T5:T68" si="34">$T$3</f>
        <v>525.72239370489785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3.85</v>
      </c>
      <c r="AI5" s="13">
        <f>IF('Données projet'!$A$62&gt;35,AI4+AH5-AQ4,IF(A5&lt;'Données projet'!$A$62,$AF$205^A5,IF(A5='Données projet'!$A$62,'Données projet'!$B$62,AI4+AH5-AQ4)))</f>
        <v>1.8942632304705684</v>
      </c>
      <c r="AJ5" s="13">
        <f>AI5*VLOOKUP('Données projet'!$B$10,Paramètres!$A$1:$I$89,3,0)*VLOOKUP('Données projet'!$B$10,Paramètres!$A$1:$I$89,5,0)</f>
        <v>1.1327694118214</v>
      </c>
      <c r="AK5" s="13">
        <f t="shared" ref="AK5:AK68" si="35">EXP(-1.0587+0.8836*LN(AJ5)+0.284)</f>
        <v>0.51450725843982192</v>
      </c>
      <c r="AL5" s="20">
        <f t="shared" si="4"/>
        <v>2.8690068673716276</v>
      </c>
      <c r="AM5" s="59">
        <f t="shared" si="5"/>
        <v>173.46628815487247</v>
      </c>
      <c r="AN5" s="59">
        <f ca="1">AVERAGE(OFFSET($AM$3,0,0,'Données projet'!$E$10+1,1))-AVERAGE(OFFSET($H$3,0,0,'Données projet'!$E$10+1,1))</f>
        <v>336.28176557459966</v>
      </c>
      <c r="AO5" s="59">
        <f t="shared" ref="AO5:AO68" si="36">$AO$3</f>
        <v>357.30155664292317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1.4</v>
      </c>
      <c r="N6" s="13">
        <f>IF('Données projet'!$A$36&gt;35,N5+M6-V5,IF(A6&lt;'Données projet'!$A$36,$K$205^A6,IF(A6='Données projet'!$A$36,'Données projet'!$B$36,N5+M6-V5)))</f>
        <v>3.2140958497160383</v>
      </c>
      <c r="O6" s="13">
        <f>N6*VLOOKUP('Données projet'!$B$9,Paramètres!$A$1:$I$89,3,0)*VLOOKUP('Données projet'!$B$9,Paramètres!$A$1:$I$89,5,0)</f>
        <v>1.6847004805871588</v>
      </c>
      <c r="P6" s="13">
        <f t="shared" si="33"/>
        <v>0.73064686024742831</v>
      </c>
      <c r="Q6" s="20">
        <f t="shared" si="2"/>
        <v>4.2067299519535721</v>
      </c>
      <c r="R6" s="59">
        <f t="shared" si="0"/>
        <v>177.56175052183846</v>
      </c>
      <c r="S6" s="59">
        <f ca="1">AVERAGE(OFFSET($R$3,0,0,'Données projet'!$E$9+1,1))-AVERAGE(OFFSET($H$3,0,0,'Données projet'!$E$9+1,1))</f>
        <v>463.16285713357729</v>
      </c>
      <c r="T6" s="59">
        <f t="shared" si="34"/>
        <v>525.72239370489785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3.85</v>
      </c>
      <c r="AI6" s="13">
        <f>IF('Données projet'!$A$62&gt;35,AI5+AH6-AQ5,IF(A6&lt;'Données projet'!$A$62,$AF$205^A6,IF(A6='Données projet'!$A$62,'Données projet'!$B$62,AI5+AH6-AQ5)))</f>
        <v>2.6071168342033646</v>
      </c>
      <c r="AJ6" s="13">
        <f>AI6*VLOOKUP('Données projet'!$B$10,Paramètres!$A$1:$I$89,3,0)*VLOOKUP('Données projet'!$B$10,Paramètres!$A$1:$I$89,5,0)</f>
        <v>1.5590558668536121</v>
      </c>
      <c r="AK6" s="13">
        <f t="shared" si="35"/>
        <v>0.68228314619764829</v>
      </c>
      <c r="AL6" s="20">
        <f t="shared" si="4"/>
        <v>3.9036654477309445</v>
      </c>
      <c r="AM6" s="59">
        <f t="shared" si="5"/>
        <v>177.25868601761584</v>
      </c>
      <c r="AN6" s="59">
        <f ca="1">AVERAGE(OFFSET($AM$3,0,0,'Données projet'!$E$10+1,1))-AVERAGE(OFFSET($H$3,0,0,'Données projet'!$E$10+1,1))</f>
        <v>336.28176557459966</v>
      </c>
      <c r="AO6" s="59">
        <f t="shared" si="36"/>
        <v>357.30155664292317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1.4</v>
      </c>
      <c r="N7" s="13">
        <f>IF('Données projet'!$A$36&gt;35,N6+M7-V6,IF(A7&lt;'Données projet'!$A$36,$K$205^A7,IF(A7='Données projet'!$A$36,'Données projet'!$B$36,N6+M7-V6)))</f>
        <v>4.7432763938033657</v>
      </c>
      <c r="O7" s="13">
        <f>N7*VLOOKUP('Données projet'!$B$9,Paramètres!$A$1:$I$89,3,0)*VLOOKUP('Données projet'!$B$9,Paramètres!$A$1:$I$89,5,0)</f>
        <v>2.4862357545759726</v>
      </c>
      <c r="P7" s="13">
        <f t="shared" si="33"/>
        <v>1.0305124618266559</v>
      </c>
      <c r="Q7" s="20">
        <f t="shared" si="2"/>
        <v>6.12500314356791</v>
      </c>
      <c r="R7" s="59">
        <f t="shared" si="0"/>
        <v>182.21112520774486</v>
      </c>
      <c r="S7" s="59">
        <f ca="1">AVERAGE(OFFSET($R$3,0,0,'Données projet'!$E$9+1,1))-AVERAGE(OFFSET($H$3,0,0,'Données projet'!$E$9+1,1))</f>
        <v>463.16285713357729</v>
      </c>
      <c r="T7" s="59">
        <f t="shared" si="34"/>
        <v>525.72239370489785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3.85</v>
      </c>
      <c r="AI7" s="13">
        <f>IF('Données projet'!$A$62&gt;35,AI6+AH7-AQ6,IF(A7&lt;'Données projet'!$A$62,$AF$205^A7,IF(A7='Données projet'!$A$62,'Données projet'!$B$62,AI6+AH7-AQ6)))</f>
        <v>3.5882331863127939</v>
      </c>
      <c r="AJ7" s="13">
        <f>AI7*VLOOKUP('Données projet'!$B$10,Paramètres!$A$1:$I$89,3,0)*VLOOKUP('Données projet'!$B$10,Paramètres!$A$1:$I$89,5,0)</f>
        <v>2.1457634454150507</v>
      </c>
      <c r="AK7" s="13">
        <f t="shared" si="35"/>
        <v>0.90476914358207983</v>
      </c>
      <c r="AL7" s="20">
        <f t="shared" si="4"/>
        <v>5.3130109258366689</v>
      </c>
      <c r="AM7" s="59">
        <f t="shared" si="5"/>
        <v>181.39913299001361</v>
      </c>
      <c r="AN7" s="59">
        <f ca="1">AVERAGE(OFFSET($AM$3,0,0,'Données projet'!$E$10+1,1))-AVERAGE(OFFSET($H$3,0,0,'Données projet'!$E$10+1,1))</f>
        <v>336.28176557459966</v>
      </c>
      <c r="AO7" s="59">
        <f t="shared" si="36"/>
        <v>357.30155664292317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</v>
      </c>
      <c r="L8" s="12">
        <f>VLOOKUP(A8,'Données projet'!$A$35:$I$55,9,0)</f>
        <v>1.4</v>
      </c>
      <c r="M8" s="12">
        <f t="array" ref="M8">INDEX(L:L,MIN(IF(ISNUMBER(L8:L204),ROW(L8:L204),"")))</f>
        <v>1.4</v>
      </c>
      <c r="N8" s="13">
        <f>IF('Données projet'!$A$36&gt;35,N7+M8-V7,IF(A8&lt;'Données projet'!$A$36,$K$205^A8,IF(A8='Données projet'!$A$36,'Données projet'!$B$36,N7+M8-V7)))</f>
        <v>7</v>
      </c>
      <c r="O8" s="13">
        <f>N8*VLOOKUP('Données projet'!$B$9,Paramètres!$A$1:$I$89,3,0)*VLOOKUP('Données projet'!$B$9,Paramètres!$A$1:$I$89,5,0)</f>
        <v>3.6691200000000008</v>
      </c>
      <c r="P8" s="13">
        <f t="shared" si="33"/>
        <v>1.4534462429913286</v>
      </c>
      <c r="Q8" s="20">
        <f t="shared" si="2"/>
        <v>8.9218028732098968</v>
      </c>
      <c r="R8" s="59">
        <f t="shared" si="0"/>
        <v>187.71285074965724</v>
      </c>
      <c r="S8" s="59">
        <f ca="1">AVERAGE(OFFSET($R$3,0,0,'Données projet'!$E$9+1,1))-AVERAGE(OFFSET($H$3,0,0,'Données projet'!$E$9+1,1))</f>
        <v>463.16285713357729</v>
      </c>
      <c r="T8" s="59">
        <f t="shared" si="34"/>
        <v>525.72239370489785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3.85</v>
      </c>
      <c r="AI8" s="13">
        <f>IF('Données projet'!$A$62&gt;35,AI7+AH8-AQ7,IF(A8&lt;'Données projet'!$A$62,$AF$205^A8,IF(A8='Données projet'!$A$62,'Données projet'!$B$62,AI7+AH8-AQ7)))</f>
        <v>4.938565556572267</v>
      </c>
      <c r="AJ8" s="13">
        <f>AI8*VLOOKUP('Données projet'!$B$10,Paramètres!$A$1:$I$89,3,0)*VLOOKUP('Données projet'!$B$10,Paramètres!$A$1:$I$89,5,0)</f>
        <v>2.9532622028302162</v>
      </c>
      <c r="AK8" s="13">
        <f t="shared" si="35"/>
        <v>1.1998056931939969</v>
      </c>
      <c r="AL8" s="20">
        <f t="shared" si="4"/>
        <v>7.2332599189088382</v>
      </c>
      <c r="AM8" s="59">
        <f t="shared" si="5"/>
        <v>186.02430779535618</v>
      </c>
      <c r="AN8" s="59">
        <f ca="1">AVERAGE(OFFSET($AM$3,0,0,'Données projet'!$E$10+1,1))-AVERAGE(OFFSET($H$3,0,0,'Données projet'!$E$10+1,1))</f>
        <v>336.28176557459966</v>
      </c>
      <c r="AO8" s="59">
        <f t="shared" si="36"/>
        <v>357.30155664292317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8.8000000000000007</v>
      </c>
      <c r="N9" s="13">
        <f>IF('Données projet'!$A$36&gt;35,N8+M9-V8,IF(A9&lt;'Données projet'!$A$36,$K$205^A9,IF(A9='Données projet'!$A$36,'Données projet'!$B$36,N8+M9-V8)))</f>
        <v>15.8</v>
      </c>
      <c r="O9" s="13">
        <f>N9*VLOOKUP('Données projet'!$B$9,Paramètres!$A$1:$I$89,3,0)*VLOOKUP('Données projet'!$B$9,Paramètres!$A$1:$I$89,5,0)</f>
        <v>8.2817280000000011</v>
      </c>
      <c r="P9" s="13">
        <f t="shared" si="33"/>
        <v>2.9840338649309714</v>
      </c>
      <c r="Q9" s="20">
        <f t="shared" si="2"/>
        <v>19.621201914754778</v>
      </c>
      <c r="R9" s="59">
        <f t="shared" si="0"/>
        <v>201.09145401101375</v>
      </c>
      <c r="S9" s="59">
        <f ca="1">AVERAGE(OFFSET($R$3,0,0,'Données projet'!$E$9+1,1))-AVERAGE(OFFSET($H$3,0,0,'Données projet'!$E$9+1,1))</f>
        <v>463.16285713357729</v>
      </c>
      <c r="T9" s="59">
        <f t="shared" si="34"/>
        <v>525.72239370489785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3.85</v>
      </c>
      <c r="AI9" s="13">
        <f>IF('Données projet'!$A$62&gt;35,AI8+AH9-AQ8,IF(A9&lt;'Données projet'!$A$62,$AF$205^A9,IF(A9='Données projet'!$A$62,'Données projet'!$B$62,AI8+AH9-AQ8)))</f>
        <v>6.7970581871865736</v>
      </c>
      <c r="AJ9" s="13">
        <f>AI9*VLOOKUP('Données projet'!$B$10,Paramètres!$A$1:$I$89,3,0)*VLOOKUP('Données projet'!$B$10,Paramètres!$A$1:$I$89,5,0)</f>
        <v>4.0646407959375717</v>
      </c>
      <c r="AK9" s="13">
        <f t="shared" si="35"/>
        <v>1.5910508350466677</v>
      </c>
      <c r="AL9" s="20">
        <f t="shared" si="4"/>
        <v>9.8503295906308832</v>
      </c>
      <c r="AM9" s="59">
        <f t="shared" si="5"/>
        <v>191.32058168688985</v>
      </c>
      <c r="AN9" s="59">
        <f ca="1">AVERAGE(OFFSET($AM$3,0,0,'Données projet'!$E$10+1,1))-AVERAGE(OFFSET($H$3,0,0,'Données projet'!$E$10+1,1))</f>
        <v>336.28176557459966</v>
      </c>
      <c r="AO9" s="59">
        <f t="shared" si="36"/>
        <v>357.30155664292317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8.8000000000000007</v>
      </c>
      <c r="N10" s="13">
        <f>IF('Données projet'!$A$36&gt;35,N9+M10-V9,IF(A10&lt;'Données projet'!$A$36,$K$205^A10,IF(A10='Données projet'!$A$36,'Données projet'!$B$36,N9+M10-V9)))</f>
        <v>24.6</v>
      </c>
      <c r="O10" s="13">
        <f>N10*VLOOKUP('Données projet'!$B$9,Paramètres!$A$1:$I$89,3,0)*VLOOKUP('Données projet'!$B$9,Paramètres!$A$1:$I$89,5,0)</f>
        <v>12.894336000000003</v>
      </c>
      <c r="P10" s="13">
        <f t="shared" si="33"/>
        <v>4.4126614246563589</v>
      </c>
      <c r="Q10" s="20">
        <f t="shared" si="2"/>
        <v>30.14302051460983</v>
      </c>
      <c r="R10" s="59">
        <f t="shared" si="0"/>
        <v>214.26720145034608</v>
      </c>
      <c r="S10" s="59">
        <f ca="1">AVERAGE(OFFSET($R$3,0,0,'Données projet'!$E$9+1,1))-AVERAGE(OFFSET($H$3,0,0,'Données projet'!$E$9+1,1))</f>
        <v>463.16285713357729</v>
      </c>
      <c r="T10" s="59">
        <f t="shared" si="34"/>
        <v>525.72239370489785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3.85</v>
      </c>
      <c r="AI10" s="13">
        <f>IF('Données projet'!$A$62&gt;35,AI9+AH10-AQ9,IF(A10&lt;'Données projet'!$A$62,$AF$205^A10,IF(A10='Données projet'!$A$62,'Données projet'!$B$62,AI9+AH10-AQ9)))</f>
        <v>9.3549431450832632</v>
      </c>
      <c r="AJ10" s="13">
        <f>AI10*VLOOKUP('Données projet'!$B$10,Paramètres!$A$1:$I$89,3,0)*VLOOKUP('Données projet'!$B$10,Paramètres!$A$1:$I$89,5,0)</f>
        <v>5.5942560007597919</v>
      </c>
      <c r="AK10" s="13">
        <f t="shared" si="35"/>
        <v>2.1098772693466379</v>
      </c>
      <c r="AL10" s="20">
        <f t="shared" si="4"/>
        <v>13.418032112102033</v>
      </c>
      <c r="AM10" s="59">
        <f t="shared" si="5"/>
        <v>197.54221304783826</v>
      </c>
      <c r="AN10" s="59">
        <f ca="1">AVERAGE(OFFSET($AM$3,0,0,'Données projet'!$E$10+1,1))-AVERAGE(OFFSET($H$3,0,0,'Données projet'!$E$10+1,1))</f>
        <v>336.28176557459966</v>
      </c>
      <c r="AO10" s="59">
        <f t="shared" si="36"/>
        <v>357.30155664292317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8.8000000000000007</v>
      </c>
      <c r="N11" s="13">
        <f>IF('Données projet'!$A$36&gt;35,N10+M11-V10,IF(A11&lt;'Données projet'!$A$36,$K$205^A11,IF(A11='Données projet'!$A$36,'Données projet'!$B$36,N10+M11-V10)))</f>
        <v>33.400000000000006</v>
      </c>
      <c r="O11" s="13">
        <f>N11*VLOOKUP('Données projet'!$B$9,Paramètres!$A$1:$I$89,3,0)*VLOOKUP('Données projet'!$B$9,Paramètres!$A$1:$I$89,5,0)</f>
        <v>17.506944000000004</v>
      </c>
      <c r="P11" s="13">
        <f t="shared" si="33"/>
        <v>5.7816623279469521</v>
      </c>
      <c r="Q11" s="20">
        <f t="shared" si="2"/>
        <v>40.560989354507619</v>
      </c>
      <c r="R11" s="59">
        <f t="shared" si="0"/>
        <v>227.31426222072818</v>
      </c>
      <c r="S11" s="59">
        <f ca="1">AVERAGE(OFFSET($R$3,0,0,'Données projet'!$E$9+1,1))-AVERAGE(OFFSET($H$3,0,0,'Données projet'!$E$9+1,1))</f>
        <v>463.16285713357729</v>
      </c>
      <c r="T11" s="59">
        <f t="shared" si="34"/>
        <v>525.72239370489785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3.85</v>
      </c>
      <c r="AI11" s="13">
        <f>IF('Données projet'!$A$62&gt;35,AI10+AH11-AQ10,IF(A11&lt;'Données projet'!$A$62,$AF$205^A11,IF(A11='Données projet'!$A$62,'Données projet'!$B$62,AI10+AH11-AQ10)))</f>
        <v>12.875417399356465</v>
      </c>
      <c r="AJ11" s="13">
        <f>AI11*VLOOKUP('Données projet'!$B$10,Paramètres!$A$1:$I$89,3,0)*VLOOKUP('Données projet'!$B$10,Paramètres!$A$1:$I$89,5,0)</f>
        <v>7.6994996048151672</v>
      </c>
      <c r="AK11" s="13">
        <f t="shared" si="35"/>
        <v>2.7978880332727099</v>
      </c>
      <c r="AL11" s="20">
        <f t="shared" si="4"/>
        <v>18.282950136336385</v>
      </c>
      <c r="AM11" s="59">
        <f t="shared" si="5"/>
        <v>205.03622300255694</v>
      </c>
      <c r="AN11" s="59">
        <f ca="1">AVERAGE(OFFSET($AM$3,0,0,'Données projet'!$E$10+1,1))-AVERAGE(OFFSET($H$3,0,0,'Données projet'!$E$10+1,1))</f>
        <v>336.28176557459966</v>
      </c>
      <c r="AO11" s="59">
        <f t="shared" si="36"/>
        <v>357.30155664292317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8.8000000000000007</v>
      </c>
      <c r="N12" s="13">
        <f>IF('Données projet'!$A$36&gt;35,N11+M12-V11,IF(A12&lt;'Données projet'!$A$36,$K$205^A12,IF(A12='Données projet'!$A$36,'Données projet'!$B$36,N11+M12-V11)))</f>
        <v>42.2</v>
      </c>
      <c r="O12" s="13">
        <f>N12*VLOOKUP('Données projet'!$B$9,Paramètres!$A$1:$I$89,3,0)*VLOOKUP('Données projet'!$B$9,Paramètres!$A$1:$I$89,5,0)</f>
        <v>22.119552000000002</v>
      </c>
      <c r="P12" s="13">
        <f t="shared" si="33"/>
        <v>7.1088021483838917</v>
      </c>
      <c r="Q12" s="20">
        <f t="shared" si="2"/>
        <v>50.906050141768617</v>
      </c>
      <c r="R12" s="59">
        <f t="shared" si="0"/>
        <v>240.26400889432469</v>
      </c>
      <c r="S12" s="59">
        <f ca="1">AVERAGE(OFFSET($R$3,0,0,'Données projet'!$E$9+1,1))-AVERAGE(OFFSET($H$3,0,0,'Données projet'!$E$9+1,1))</f>
        <v>463.16285713357729</v>
      </c>
      <c r="T12" s="59">
        <f t="shared" si="34"/>
        <v>525.72239370489785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3.85</v>
      </c>
      <c r="AI12" s="13">
        <f>IF('Données projet'!$A$62&gt;35,AI11+AH12-AQ11,IF(A12&lt;'Données projet'!$A$62,$AF$205^A12,IF(A12='Données projet'!$A$62,'Données projet'!$B$62,AI11+AH12-AQ11)))</f>
        <v>17.720724822873922</v>
      </c>
      <c r="AJ12" s="13">
        <f>AI12*VLOOKUP('Données projet'!$B$10,Paramètres!$A$1:$I$89,3,0)*VLOOKUP('Données projet'!$B$10,Paramètres!$A$1:$I$89,5,0)</f>
        <v>10.596993444078608</v>
      </c>
      <c r="AK12" s="13">
        <f t="shared" si="35"/>
        <v>3.7102525158512041</v>
      </c>
      <c r="AL12" s="20">
        <f t="shared" si="4"/>
        <v>24.918453380211091</v>
      </c>
      <c r="AM12" s="59">
        <f t="shared" si="5"/>
        <v>214.27641213276718</v>
      </c>
      <c r="AN12" s="59">
        <f ca="1">AVERAGE(OFFSET($AM$3,0,0,'Données projet'!$E$10+1,1))-AVERAGE(OFFSET($H$3,0,0,'Données projet'!$E$10+1,1))</f>
        <v>336.28176557459966</v>
      </c>
      <c r="AO12" s="59">
        <f t="shared" si="36"/>
        <v>357.30155664292317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</v>
      </c>
      <c r="L13" s="12">
        <f>VLOOKUP(A13,'Données projet'!$A$35:$I$55,9,0)</f>
        <v>8.8000000000000007</v>
      </c>
      <c r="M13" s="12">
        <f t="array" ref="M13">INDEX(L:L,MIN(IF(ISNUMBER(L13:L209),ROW(L13:L209),"")))</f>
        <v>8.8000000000000007</v>
      </c>
      <c r="N13" s="13">
        <f>IF('Données projet'!$A$36&gt;35,N12+M13-V12,IF(A13&lt;'Données projet'!$A$36,$K$205^A13,IF(A13='Données projet'!$A$36,'Données projet'!$B$36,N12+M13-V12)))</f>
        <v>51</v>
      </c>
      <c r="O13" s="13">
        <f>N13*VLOOKUP('Données projet'!$B$9,Paramètres!$A$1:$I$89,3,0)*VLOOKUP('Données projet'!$B$9,Paramètres!$A$1:$I$89,5,0)</f>
        <v>26.732160000000004</v>
      </c>
      <c r="P13" s="13">
        <f t="shared" si="33"/>
        <v>8.4038705306032053</v>
      </c>
      <c r="Q13" s="20">
        <f t="shared" si="2"/>
        <v>61.195253174133917</v>
      </c>
      <c r="R13" s="59">
        <f t="shared" si="0"/>
        <v>253.1339151591788</v>
      </c>
      <c r="S13" s="59">
        <f ca="1">AVERAGE(OFFSET($R$3,0,0,'Données projet'!$E$9+1,1))-AVERAGE(OFFSET($H$3,0,0,'Données projet'!$E$9+1,1))</f>
        <v>463.16285713357729</v>
      </c>
      <c r="T13" s="59">
        <f t="shared" si="34"/>
        <v>525.72239370489785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3.85</v>
      </c>
      <c r="AI13" s="13">
        <f>IF('Données projet'!$A$62&gt;35,AI12+AH13-AQ12,IF(A13&lt;'Données projet'!$A$62,$AF$205^A13,IF(A13='Données projet'!$A$62,'Données projet'!$B$62,AI12+AH13-AQ12)))</f>
        <v>24.389429756561942</v>
      </c>
      <c r="AJ13" s="13">
        <f>AI13*VLOOKUP('Données projet'!$B$10,Paramètres!$A$1:$I$89,3,0)*VLOOKUP('Données projet'!$B$10,Paramètres!$A$1:$I$89,5,0)</f>
        <v>14.584878994424042</v>
      </c>
      <c r="AK13" s="13">
        <f t="shared" si="35"/>
        <v>4.9201303153214564</v>
      </c>
      <c r="AL13" s="20">
        <f t="shared" si="4"/>
        <v>33.971224547806742</v>
      </c>
      <c r="AM13" s="59">
        <f t="shared" si="5"/>
        <v>225.90988653285163</v>
      </c>
      <c r="AN13" s="59">
        <f ca="1">AVERAGE(OFFSET($AM$3,0,0,'Données projet'!$E$10+1,1))-AVERAGE(OFFSET($H$3,0,0,'Données projet'!$E$10+1,1))</f>
        <v>336.28176557459966</v>
      </c>
      <c r="AO13" s="59">
        <f t="shared" si="36"/>
        <v>357.30155664292317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15.2</v>
      </c>
      <c r="N14" s="13">
        <f>IF('Données projet'!$A$36&gt;35,N13+M14-V13,IF(A14&lt;'Données projet'!$A$36,$K$205^A14,IF(A14='Données projet'!$A$36,'Données projet'!$B$36,N13+M14-V13)))</f>
        <v>66.2</v>
      </c>
      <c r="O14" s="13">
        <f>N14*VLOOKUP('Données projet'!$B$9,Paramètres!$A$1:$I$89,3,0)*VLOOKUP('Données projet'!$B$9,Paramètres!$A$1:$I$89,5,0)</f>
        <v>34.699392000000003</v>
      </c>
      <c r="P14" s="13">
        <f t="shared" si="33"/>
        <v>10.582309641002992</v>
      </c>
      <c r="Q14" s="20">
        <f t="shared" si="2"/>
        <v>78.865630358080224</v>
      </c>
      <c r="R14" s="59">
        <f t="shared" si="0"/>
        <v>273.36142896719434</v>
      </c>
      <c r="S14" s="59">
        <f ca="1">AVERAGE(OFFSET($R$3,0,0,'Données projet'!$E$9+1,1))-AVERAGE(OFFSET($H$3,0,0,'Données projet'!$E$9+1,1))</f>
        <v>463.16285713357729</v>
      </c>
      <c r="T14" s="59">
        <f t="shared" si="34"/>
        <v>525.72239370489785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3.85</v>
      </c>
      <c r="AI14" s="13">
        <f>IF('Données projet'!$A$62&gt;35,AI13+AH14-AQ13,IF(A14&lt;'Données projet'!$A$62,$AF$205^A14,IF(A14='Données projet'!$A$62,'Données projet'!$B$62,AI13+AH14-AQ13)))</f>
        <v>33.567717449257145</v>
      </c>
      <c r="AJ14" s="13">
        <f>AI14*VLOOKUP('Données projet'!$B$10,Paramètres!$A$1:$I$89,3,0)*VLOOKUP('Données projet'!$B$10,Paramètres!$A$1:$I$89,5,0)</f>
        <v>20.073495034655775</v>
      </c>
      <c r="AK14" s="13">
        <f t="shared" si="35"/>
        <v>6.5245376740055958</v>
      </c>
      <c r="AL14" s="20">
        <f t="shared" si="4"/>
        <v>46.324906967585214</v>
      </c>
      <c r="AM14" s="59">
        <f t="shared" si="5"/>
        <v>240.82070557669934</v>
      </c>
      <c r="AN14" s="59">
        <f ca="1">AVERAGE(OFFSET($AM$3,0,0,'Données projet'!$E$10+1,1))-AVERAGE(OFFSET($H$3,0,0,'Données projet'!$E$10+1,1))</f>
        <v>336.28176557459966</v>
      </c>
      <c r="AO14" s="59">
        <f t="shared" si="36"/>
        <v>357.30155664292317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15.2</v>
      </c>
      <c r="N15" s="13">
        <f>IF('Données projet'!$A$36&gt;35,N14+M15-V14,IF(A15&lt;'Données projet'!$A$36,$K$205^A15,IF(A15='Données projet'!$A$36,'Données projet'!$B$36,N14+M15-V14)))</f>
        <v>81.400000000000006</v>
      </c>
      <c r="O15" s="13">
        <f>N15*VLOOKUP('Données projet'!$B$9,Paramètres!$A$1:$I$89,3,0)*VLOOKUP('Données projet'!$B$9,Paramètres!$A$1:$I$89,5,0)</f>
        <v>42.666624000000006</v>
      </c>
      <c r="P15" s="13">
        <f t="shared" si="33"/>
        <v>12.702759322228829</v>
      </c>
      <c r="Q15" s="20">
        <f t="shared" si="2"/>
        <v>96.43500928621522</v>
      </c>
      <c r="R15" s="59">
        <f t="shared" si="0"/>
        <v>293.46478673894808</v>
      </c>
      <c r="S15" s="59">
        <f ca="1">AVERAGE(OFFSET($R$3,0,0,'Données projet'!$E$9+1,1))-AVERAGE(OFFSET($H$3,0,0,'Données projet'!$E$9+1,1))</f>
        <v>463.16285713357729</v>
      </c>
      <c r="T15" s="59">
        <f t="shared" si="34"/>
        <v>525.72239370489785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46.2</v>
      </c>
      <c r="AG15" s="12">
        <f>VLOOKUP(A15,'Données projet'!$A$61:$I$81,9,0)</f>
        <v>3.85</v>
      </c>
      <c r="AH15" s="12">
        <f t="array" ref="AH15">INDEX(AG:AG,MIN(IF(ISNUMBER(AG15:AG211),ROW(AG15:AG211),"")))</f>
        <v>3.85</v>
      </c>
      <c r="AI15" s="13">
        <f>IF('Données projet'!$A$62&gt;35,AI14+AH15-AQ14,IF(A15&lt;'Données projet'!$A$62,$AF$205^A15,IF(A15='Données projet'!$A$62,'Données projet'!$B$62,AI14+AH15-AQ14)))</f>
        <v>46.2</v>
      </c>
      <c r="AJ15" s="13">
        <f>AI15*VLOOKUP('Données projet'!$B$10,Paramètres!$A$1:$I$89,3,0)*VLOOKUP('Données projet'!$B$10,Paramètres!$A$1:$I$89,5,0)</f>
        <v>27.627600000000005</v>
      </c>
      <c r="AK15" s="13">
        <f t="shared" si="35"/>
        <v>8.6521269013861506</v>
      </c>
      <c r="AL15" s="20">
        <f t="shared" si="4"/>
        <v>63.187191019914216</v>
      </c>
      <c r="AM15" s="59">
        <f t="shared" si="5"/>
        <v>260.21696847264707</v>
      </c>
      <c r="AN15" s="59">
        <f ca="1">AVERAGE(OFFSET($AM$3,0,0,'Données projet'!$E$10+1,1))-AVERAGE(OFFSET($H$3,0,0,'Données projet'!$E$10+1,1))</f>
        <v>336.28176557459966</v>
      </c>
      <c r="AO15" s="59">
        <f t="shared" si="36"/>
        <v>357.30155664292317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15.2</v>
      </c>
      <c r="N16" s="13">
        <f>IF('Données projet'!$A$36&gt;35,N15+M16-V15,IF(A16&lt;'Données projet'!$A$36,$K$205^A16,IF(A16='Données projet'!$A$36,'Données projet'!$B$36,N15+M16-V15)))</f>
        <v>96.600000000000009</v>
      </c>
      <c r="O16" s="13">
        <f>N16*VLOOKUP('Données projet'!$B$9,Paramètres!$A$1:$I$89,3,0)*VLOOKUP('Données projet'!$B$9,Paramètres!$A$1:$I$89,5,0)</f>
        <v>50.633856000000009</v>
      </c>
      <c r="P16" s="13">
        <f t="shared" si="33"/>
        <v>14.777335529198382</v>
      </c>
      <c r="Q16" s="20">
        <f t="shared" si="2"/>
        <v>113.92449191335385</v>
      </c>
      <c r="R16" s="59">
        <f t="shared" si="0"/>
        <v>313.46549216497266</v>
      </c>
      <c r="S16" s="59">
        <f ca="1">AVERAGE(OFFSET($R$3,0,0,'Données projet'!$E$9+1,1))-AVERAGE(OFFSET($H$3,0,0,'Données projet'!$E$9+1,1))</f>
        <v>463.16285713357729</v>
      </c>
      <c r="T16" s="59">
        <f t="shared" si="34"/>
        <v>525.72239370489785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15.324999999999999</v>
      </c>
      <c r="AI16" s="13">
        <f>IF('Données projet'!$A$62&gt;35,AI15+AH16-AQ15,IF(A16&lt;'Données projet'!$A$62,$AF$205^A16,IF(A16='Données projet'!$A$62,'Données projet'!$B$62,AI15+AH16-AQ15)))</f>
        <v>61.525000000000006</v>
      </c>
      <c r="AJ16" s="13">
        <f>AI16*VLOOKUP('Données projet'!$B$10,Paramètres!$A$1:$I$89,3,0)*VLOOKUP('Données projet'!$B$10,Paramètres!$A$1:$I$89,5,0)</f>
        <v>36.791950000000007</v>
      </c>
      <c r="AK16" s="13">
        <f t="shared" si="35"/>
        <v>11.144260225190576</v>
      </c>
      <c r="AL16" s="20">
        <f t="shared" si="4"/>
        <v>83.488899475540265</v>
      </c>
      <c r="AM16" s="59">
        <f t="shared" si="5"/>
        <v>283.02989972715909</v>
      </c>
      <c r="AN16" s="59">
        <f ca="1">AVERAGE(OFFSET($AM$3,0,0,'Données projet'!$E$10+1,1))-AVERAGE(OFFSET($H$3,0,0,'Données projet'!$E$10+1,1))</f>
        <v>336.28176557459966</v>
      </c>
      <c r="AO16" s="59">
        <f t="shared" si="36"/>
        <v>357.30155664292317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15.2</v>
      </c>
      <c r="N17" s="13">
        <f>IF('Données projet'!$A$36&gt;35,N16+M17-V16,IF(A17&lt;'Données projet'!$A$36,$K$205^A17,IF(A17='Données projet'!$A$36,'Données projet'!$B$36,N16+M17-V16)))</f>
        <v>111.80000000000001</v>
      </c>
      <c r="O17" s="13">
        <f>N17*VLOOKUP('Données projet'!$B$9,Paramètres!$A$1:$I$89,3,0)*VLOOKUP('Données projet'!$B$9,Paramètres!$A$1:$I$89,5,0)</f>
        <v>58.601088000000011</v>
      </c>
      <c r="P17" s="13">
        <f t="shared" si="33"/>
        <v>16.81409601563676</v>
      </c>
      <c r="Q17" s="20">
        <f t="shared" si="2"/>
        <v>131.34811216056735</v>
      </c>
      <c r="R17" s="59">
        <f t="shared" si="0"/>
        <v>333.37797393284052</v>
      </c>
      <c r="S17" s="59">
        <f ca="1">AVERAGE(OFFSET($R$3,0,0,'Données projet'!$E$9+1,1))-AVERAGE(OFFSET($H$3,0,0,'Données projet'!$E$9+1,1))</f>
        <v>463.16285713357729</v>
      </c>
      <c r="T17" s="59">
        <f t="shared" si="34"/>
        <v>525.72239370489785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15.324999999999999</v>
      </c>
      <c r="AI17" s="13">
        <f>IF('Données projet'!$A$62&gt;35,AI16+AH17-AQ16,IF(A17&lt;'Données projet'!$A$62,$AF$205^A17,IF(A17='Données projet'!$A$62,'Données projet'!$B$62,AI16+AH17-AQ16)))</f>
        <v>76.850000000000009</v>
      </c>
      <c r="AJ17" s="13">
        <f>AI17*VLOOKUP('Données projet'!$B$10,Paramètres!$A$1:$I$89,3,0)*VLOOKUP('Données projet'!$B$10,Paramètres!$A$1:$I$89,5,0)</f>
        <v>45.956300000000013</v>
      </c>
      <c r="AK17" s="13">
        <f t="shared" si="35"/>
        <v>13.564386507579055</v>
      </c>
      <c r="AL17" s="20">
        <f t="shared" si="4"/>
        <v>103.66519566736689</v>
      </c>
      <c r="AM17" s="59">
        <f t="shared" si="5"/>
        <v>305.6950574396401</v>
      </c>
      <c r="AN17" s="59">
        <f ca="1">AVERAGE(OFFSET($AM$3,0,0,'Données projet'!$E$10+1,1))-AVERAGE(OFFSET($H$3,0,0,'Données projet'!$E$10+1,1))</f>
        <v>336.28176557459966</v>
      </c>
      <c r="AO17" s="59">
        <f t="shared" si="36"/>
        <v>357.30155664292317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127</v>
      </c>
      <c r="L18" s="12">
        <f>VLOOKUP(A18,'Données projet'!$A$35:$I$55,9,0)</f>
        <v>15.2</v>
      </c>
      <c r="M18" s="12">
        <f t="array" ref="M18">INDEX(L:L,MIN(IF(ISNUMBER(L18:L214),ROW(L18:L214),"")))</f>
        <v>15.2</v>
      </c>
      <c r="N18" s="13">
        <f>IF('Données projet'!$A$36&gt;35,N17+M18-V17,IF(A18&lt;'Données projet'!$A$36,$K$205^A18,IF(A18='Données projet'!$A$36,'Données projet'!$B$36,N17+M18-V17)))</f>
        <v>127.00000000000001</v>
      </c>
      <c r="O18" s="13">
        <f>N18*VLOOKUP('Données projet'!$B$9,Paramètres!$A$1:$I$89,3,0)*VLOOKUP('Données projet'!$B$9,Paramètres!$A$1:$I$89,5,0)</f>
        <v>66.568320000000014</v>
      </c>
      <c r="P18" s="13">
        <f t="shared" si="33"/>
        <v>18.818773418977695</v>
      </c>
      <c r="Q18" s="20">
        <f t="shared" si="2"/>
        <v>148.7158543713862</v>
      </c>
      <c r="R18" s="59">
        <f t="shared" si="0"/>
        <v>353.21260430426724</v>
      </c>
      <c r="S18" s="59">
        <f ca="1">AVERAGE(OFFSET($R$3,0,0,'Données projet'!$E$9+1,1))-AVERAGE(OFFSET($H$3,0,0,'Données projet'!$E$9+1,1))</f>
        <v>463.16285713357729</v>
      </c>
      <c r="T18" s="59">
        <f t="shared" si="34"/>
        <v>525.72239370489785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15.324999999999999</v>
      </c>
      <c r="AI18" s="13">
        <f>IF('Données projet'!$A$62&gt;35,AI17+AH18-AQ17,IF(A18&lt;'Données projet'!$A$62,$AF$205^A18,IF(A18='Données projet'!$A$62,'Données projet'!$B$62,AI17+AH18-AQ17)))</f>
        <v>92.175000000000011</v>
      </c>
      <c r="AJ18" s="13">
        <f>AI18*VLOOKUP('Données projet'!$B$10,Paramètres!$A$1:$I$89,3,0)*VLOOKUP('Données projet'!$B$10,Paramètres!$A$1:$I$89,5,0)</f>
        <v>55.120650000000012</v>
      </c>
      <c r="AK18" s="13">
        <f t="shared" si="35"/>
        <v>15.928592691029031</v>
      </c>
      <c r="AL18" s="20">
        <f t="shared" si="4"/>
        <v>123.74409768687555</v>
      </c>
      <c r="AM18" s="59">
        <f t="shared" si="5"/>
        <v>328.24084761975661</v>
      </c>
      <c r="AN18" s="59">
        <f ca="1">AVERAGE(OFFSET($AM$3,0,0,'Données projet'!$E$10+1,1))-AVERAGE(OFFSET($H$3,0,0,'Données projet'!$E$10+1,1))</f>
        <v>336.28176557459966</v>
      </c>
      <c r="AO18" s="59">
        <f t="shared" si="36"/>
        <v>357.30155664292317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19</v>
      </c>
      <c r="N19" s="13">
        <f>IF('Données projet'!$A$36&gt;35,N18+M19-V18,IF(A19&lt;'Données projet'!$A$36,$K$205^A19,IF(A19='Données projet'!$A$36,'Données projet'!$B$36,N18+M19-V18)))</f>
        <v>146</v>
      </c>
      <c r="O19" s="13">
        <f>N19*VLOOKUP('Données projet'!$B$9,Paramètres!$A$1:$I$89,3,0)*VLOOKUP('Données projet'!$B$9,Paramètres!$A$1:$I$89,5,0)</f>
        <v>76.527360000000016</v>
      </c>
      <c r="P19" s="13">
        <f t="shared" si="33"/>
        <v>21.285925061153698</v>
      </c>
      <c r="Q19" s="20">
        <f t="shared" si="2"/>
        <v>170.35813814817604</v>
      </c>
      <c r="R19" s="59">
        <f t="shared" si="0"/>
        <v>377.30018407029013</v>
      </c>
      <c r="S19" s="59">
        <f ca="1">AVERAGE(OFFSET($R$3,0,0,'Données projet'!$E$9+1,1))-AVERAGE(OFFSET($H$3,0,0,'Données projet'!$E$9+1,1))</f>
        <v>463.16285713357729</v>
      </c>
      <c r="T19" s="59">
        <f t="shared" si="34"/>
        <v>525.72239370489785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107.5</v>
      </c>
      <c r="AG19" s="12">
        <f>VLOOKUP(A19,'Données projet'!$A$61:$I$81,9,0)</f>
        <v>15.324999999999999</v>
      </c>
      <c r="AH19" s="12">
        <f t="array" ref="AH19">INDEX(AG:AG,MIN(IF(ISNUMBER(AG19:AG215),ROW(AG19:AG215),"")))</f>
        <v>15.324999999999999</v>
      </c>
      <c r="AI19" s="13">
        <f>IF('Données projet'!$A$62&gt;35,AI18+AH19-AQ18,IF(A19&lt;'Données projet'!$A$62,$AF$205^A19,IF(A19='Données projet'!$A$62,'Données projet'!$B$62,AI18+AH19-AQ18)))</f>
        <v>107.50000000000001</v>
      </c>
      <c r="AJ19" s="13">
        <f>AI19*VLOOKUP('Données projet'!$B$10,Paramètres!$A$1:$I$89,3,0)*VLOOKUP('Données projet'!$B$10,Paramètres!$A$1:$I$89,5,0)</f>
        <v>64.285000000000011</v>
      </c>
      <c r="AK19" s="13">
        <f t="shared" si="35"/>
        <v>18.247263773944024</v>
      </c>
      <c r="AL19" s="20">
        <f t="shared" si="4"/>
        <v>143.74369273961921</v>
      </c>
      <c r="AM19" s="59">
        <f t="shared" si="5"/>
        <v>350.68573866173324</v>
      </c>
      <c r="AN19" s="59">
        <f ca="1">AVERAGE(OFFSET($AM$3,0,0,'Données projet'!$E$10+1,1))-AVERAGE(OFFSET($H$3,0,0,'Données projet'!$E$10+1,1))</f>
        <v>336.28176557459966</v>
      </c>
      <c r="AO19" s="59">
        <f t="shared" si="36"/>
        <v>357.30155664292317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25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8.4634364240103324</v>
      </c>
      <c r="AX19" s="21">
        <f t="shared" si="6"/>
        <v>8.4634364240103324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19</v>
      </c>
      <c r="N20" s="13">
        <f>IF('Données projet'!$A$36&gt;35,N19+M20-V19,IF(A20&lt;'Données projet'!$A$36,$K$205^A20,IF(A20='Données projet'!$A$36,'Données projet'!$B$36,N19+M20-V19)))</f>
        <v>165</v>
      </c>
      <c r="O20" s="13">
        <f>N20*VLOOKUP('Données projet'!$B$9,Paramètres!$A$1:$I$89,3,0)*VLOOKUP('Données projet'!$B$9,Paramètres!$A$1:$I$89,5,0)</f>
        <v>86.486400000000017</v>
      </c>
      <c r="P20" s="13">
        <f t="shared" si="33"/>
        <v>23.715875325195146</v>
      </c>
      <c r="Q20" s="20">
        <f t="shared" si="2"/>
        <v>191.93562952471487</v>
      </c>
      <c r="R20" s="59">
        <f t="shared" si="0"/>
        <v>401.30175384058759</v>
      </c>
      <c r="S20" s="59">
        <f ca="1">AVERAGE(OFFSET($R$3,0,0,'Données projet'!$E$9+1,1))-AVERAGE(OFFSET($H$3,0,0,'Données projet'!$E$9+1,1))</f>
        <v>463.16285713357729</v>
      </c>
      <c r="T20" s="59">
        <f t="shared" si="34"/>
        <v>525.72239370489785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17.200000000000003</v>
      </c>
      <c r="AI20" s="13">
        <f>IF('Données projet'!$A$62&gt;35,AI19+AH20-AQ19,IF(A20&lt;'Données projet'!$A$62,$AF$205^A20,IF(A20='Données projet'!$A$62,'Données projet'!$B$62,AI19+AH20-AQ19)))</f>
        <v>99.700000000000017</v>
      </c>
      <c r="AJ20" s="13">
        <f>AI20*VLOOKUP('Données projet'!$B$10,Paramètres!$A$1:$I$89,3,0)*VLOOKUP('Données projet'!$B$10,Paramètres!$A$1:$I$89,5,0)</f>
        <v>59.62060000000001</v>
      </c>
      <c r="AK20" s="13">
        <f t="shared" si="35"/>
        <v>17.072309403636297</v>
      </c>
      <c r="AL20" s="20">
        <f t="shared" si="4"/>
        <v>133.57348387799991</v>
      </c>
      <c r="AM20" s="59">
        <f t="shared" si="5"/>
        <v>342.93960819387263</v>
      </c>
      <c r="AN20" s="59">
        <f ca="1">AVERAGE(OFFSET($AM$3,0,0,'Données projet'!$E$10+1,1))-AVERAGE(OFFSET($H$3,0,0,'Données projet'!$E$10+1,1))</f>
        <v>336.28176557459966</v>
      </c>
      <c r="AO20" s="59">
        <f t="shared" si="36"/>
        <v>357.30155664292317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5.9845532875589305</v>
      </c>
      <c r="AX20" s="21">
        <f t="shared" si="6"/>
        <v>5.9845532875589305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</v>
      </c>
      <c r="N21" s="13">
        <f>IF('Données projet'!$A$36&gt;35,N20+M21-V20,IF(A21&lt;'Données projet'!$A$36,$K$205^A21,IF(A21='Données projet'!$A$36,'Données projet'!$B$36,N20+M21-V20)))</f>
        <v>184</v>
      </c>
      <c r="O21" s="13">
        <f>N21*VLOOKUP('Données projet'!$B$9,Paramètres!$A$1:$I$89,3,0)*VLOOKUP('Données projet'!$B$9,Paramètres!$A$1:$I$89,5,0)</f>
        <v>96.445440000000005</v>
      </c>
      <c r="P21" s="13">
        <f t="shared" si="33"/>
        <v>26.113397153228323</v>
      </c>
      <c r="Q21" s="20">
        <f t="shared" si="2"/>
        <v>213.45664137520598</v>
      </c>
      <c r="R21" s="59">
        <f t="shared" si="0"/>
        <v>425.22599456720911</v>
      </c>
      <c r="S21" s="59">
        <f ca="1">AVERAGE(OFFSET($R$3,0,0,'Données projet'!$E$9+1,1))-AVERAGE(OFFSET($H$3,0,0,'Données projet'!$E$9+1,1))</f>
        <v>463.16285713357729</v>
      </c>
      <c r="T21" s="59">
        <f t="shared" si="34"/>
        <v>525.72239370489785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17.200000000000003</v>
      </c>
      <c r="AI21" s="13">
        <f>IF('Données projet'!$A$62&gt;35,AI20+AH21-AQ20,IF(A21&lt;'Données projet'!$A$62,$AF$205^A21,IF(A21='Données projet'!$A$62,'Données projet'!$B$62,AI20+AH21-AQ20)))</f>
        <v>116.90000000000002</v>
      </c>
      <c r="AJ21" s="13">
        <f>AI21*VLOOKUP('Données projet'!$B$10,Paramètres!$A$1:$I$89,3,0)*VLOOKUP('Données projet'!$B$10,Paramètres!$A$1:$I$89,5,0)</f>
        <v>69.906200000000013</v>
      </c>
      <c r="AK21" s="13">
        <f t="shared" si="35"/>
        <v>19.650161907904558</v>
      </c>
      <c r="AL21" s="20">
        <f t="shared" si="4"/>
        <v>155.9773303229338</v>
      </c>
      <c r="AM21" s="59">
        <f t="shared" si="5"/>
        <v>367.74668351493688</v>
      </c>
      <c r="AN21" s="59">
        <f ca="1">AVERAGE(OFFSET($AM$3,0,0,'Données projet'!$E$10+1,1))-AVERAGE(OFFSET($H$3,0,0,'Données projet'!$E$10+1,1))</f>
        <v>336.28176557459966</v>
      </c>
      <c r="AO21" s="59">
        <f t="shared" si="36"/>
        <v>357.30155664292317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4.2317182120051662</v>
      </c>
      <c r="AX21" s="21">
        <f t="shared" si="6"/>
        <v>4.2317182120051662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</v>
      </c>
      <c r="N22" s="13">
        <f>IF('Données projet'!$A$36&gt;35,N21+M22-V21,IF(A22&lt;'Données projet'!$A$36,$K$205^A22,IF(A22='Données projet'!$A$36,'Données projet'!$B$36,N21+M22-V21)))</f>
        <v>203</v>
      </c>
      <c r="O22" s="13">
        <f>N22*VLOOKUP('Données projet'!$B$9,Paramètres!$A$1:$I$89,3,0)*VLOOKUP('Données projet'!$B$9,Paramètres!$A$1:$I$89,5,0)</f>
        <v>106.40448000000001</v>
      </c>
      <c r="P22" s="13">
        <f t="shared" si="33"/>
        <v>28.482220519479547</v>
      </c>
      <c r="Q22" s="20">
        <f t="shared" si="2"/>
        <v>234.92767007142686</v>
      </c>
      <c r="R22" s="59">
        <f t="shared" si="0"/>
        <v>449.07976431445036</v>
      </c>
      <c r="S22" s="59">
        <f ca="1">AVERAGE(OFFSET($R$3,0,0,'Données projet'!$E$9+1,1))-AVERAGE(OFFSET($H$3,0,0,'Données projet'!$E$9+1,1))</f>
        <v>463.16285713357729</v>
      </c>
      <c r="T22" s="59">
        <f t="shared" si="34"/>
        <v>525.72239370489785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17.200000000000003</v>
      </c>
      <c r="AI22" s="13">
        <f>IF('Données projet'!$A$62&gt;35,AI21+AH22-AQ21,IF(A22&lt;'Données projet'!$A$62,$AF$205^A22,IF(A22='Données projet'!$A$62,'Données projet'!$B$62,AI21+AH22-AQ21)))</f>
        <v>134.10000000000002</v>
      </c>
      <c r="AJ22" s="13">
        <f>AI22*VLOOKUP('Données projet'!$B$10,Paramètres!$A$1:$I$89,3,0)*VLOOKUP('Données projet'!$B$10,Paramètres!$A$1:$I$89,5,0)</f>
        <v>80.191800000000015</v>
      </c>
      <c r="AK22" s="13">
        <f t="shared" si="35"/>
        <v>22.184073687979513</v>
      </c>
      <c r="AL22" s="20">
        <f t="shared" si="4"/>
        <v>178.30464667323099</v>
      </c>
      <c r="AM22" s="59">
        <f t="shared" si="5"/>
        <v>392.45674091625449</v>
      </c>
      <c r="AN22" s="59">
        <f ca="1">AVERAGE(OFFSET($AM$3,0,0,'Données projet'!$E$10+1,1))-AVERAGE(OFFSET($H$3,0,0,'Données projet'!$E$10+1,1))</f>
        <v>336.28176557459966</v>
      </c>
      <c r="AO22" s="59">
        <f t="shared" si="36"/>
        <v>357.30155664292317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2.9922766437794652</v>
      </c>
      <c r="AX22" s="21">
        <f t="shared" si="6"/>
        <v>2.9922766437794652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222</v>
      </c>
      <c r="L23" s="12">
        <f>VLOOKUP(A23,'Données projet'!$A$35:$I$55,9,0)</f>
        <v>19</v>
      </c>
      <c r="M23" s="12">
        <f t="array" ref="M23">INDEX(L:L,MIN(IF(ISNUMBER(L23:L219),ROW(L23:L219),"")))</f>
        <v>19</v>
      </c>
      <c r="N23" s="13">
        <f>IF('Données projet'!$A$36&gt;35,N22+M23-V22,IF(A23&lt;'Données projet'!$A$36,$K$205^A23,IF(A23='Données projet'!$A$36,'Données projet'!$B$36,N22+M23-V22)))</f>
        <v>222</v>
      </c>
      <c r="O23" s="13">
        <f>N23*VLOOKUP('Données projet'!$B$9,Paramètres!$A$1:$I$89,3,0)*VLOOKUP('Données projet'!$B$9,Paramètres!$A$1:$I$89,5,0)</f>
        <v>116.36352000000001</v>
      </c>
      <c r="P23" s="13">
        <f t="shared" si="33"/>
        <v>30.825337032325734</v>
      </c>
      <c r="Q23" s="20">
        <f t="shared" si="2"/>
        <v>256.35392599796734</v>
      </c>
      <c r="R23" s="59">
        <f t="shared" si="0"/>
        <v>472.86862888486303</v>
      </c>
      <c r="S23" s="59">
        <f ca="1">AVERAGE(OFFSET($R$3,0,0,'Données projet'!$E$9+1,1))-AVERAGE(OFFSET($H$3,0,0,'Données projet'!$E$9+1,1))</f>
        <v>463.16285713357729</v>
      </c>
      <c r="T23" s="59">
        <f t="shared" si="34"/>
        <v>525.72239370489785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151.30000000000001</v>
      </c>
      <c r="AG23" s="12">
        <f>VLOOKUP(A23,'Données projet'!$A$61:$I$81,9,0)</f>
        <v>17.200000000000003</v>
      </c>
      <c r="AH23" s="12">
        <f t="array" ref="AH23">INDEX(AG:AG,MIN(IF(ISNUMBER(AG23:AG219),ROW(AG23:AG219),"")))</f>
        <v>17.200000000000003</v>
      </c>
      <c r="AI23" s="13">
        <f>IF('Données projet'!$A$62&gt;35,AI22+AH23-AQ22,IF(A23&lt;'Données projet'!$A$62,$AF$205^A23,IF(A23='Données projet'!$A$62,'Données projet'!$B$62,AI22+AH23-AQ22)))</f>
        <v>151.30000000000001</v>
      </c>
      <c r="AJ23" s="13">
        <f>AI23*VLOOKUP('Données projet'!$B$10,Paramètres!$A$1:$I$89,3,0)*VLOOKUP('Données projet'!$B$10,Paramètres!$A$1:$I$89,5,0)</f>
        <v>90.477400000000017</v>
      </c>
      <c r="AK23" s="13">
        <f t="shared" si="35"/>
        <v>24.680326903050478</v>
      </c>
      <c r="AL23" s="20">
        <f t="shared" si="4"/>
        <v>200.5663743561463</v>
      </c>
      <c r="AM23" s="59">
        <f t="shared" si="5"/>
        <v>417.08107724304205</v>
      </c>
      <c r="AN23" s="59">
        <f ca="1">AVERAGE(OFFSET($AM$3,0,0,'Données projet'!$E$10+1,1))-AVERAGE(OFFSET($H$3,0,0,'Données projet'!$E$10+1,1))</f>
        <v>336.28176557459966</v>
      </c>
      <c r="AO23" s="59">
        <f t="shared" si="36"/>
        <v>357.30155664292317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33.700000000000003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2.4060350560221795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15.8063138654817</v>
      </c>
      <c r="AX23" s="21">
        <f t="shared" si="6"/>
        <v>18.212348921503878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</v>
      </c>
      <c r="N24" s="13">
        <f>IF('Données projet'!$A$36&gt;35,N23+M24-V23,IF(A24&lt;'Données projet'!$A$36,$K$205^A24,IF(A24='Données projet'!$A$36,'Données projet'!$B$36,N23+M24-V23)))</f>
        <v>241.8</v>
      </c>
      <c r="O24" s="13">
        <f>N24*VLOOKUP('Données projet'!$B$9,Paramètres!$A$1:$I$89,3,0)*VLOOKUP('Données projet'!$B$9,Paramètres!$A$1:$I$89,5,0)</f>
        <v>126.74188800000002</v>
      </c>
      <c r="P24" s="13">
        <f t="shared" si="33"/>
        <v>33.242396793141836</v>
      </c>
      <c r="Q24" s="20">
        <f t="shared" si="2"/>
        <v>278.63929601472205</v>
      </c>
      <c r="R24" s="59">
        <f t="shared" si="0"/>
        <v>497.49682439059643</v>
      </c>
      <c r="S24" s="59">
        <f ca="1">AVERAGE(OFFSET($R$3,0,0,'Données projet'!$E$9+1,1))-AVERAGE(OFFSET($H$3,0,0,'Données projet'!$E$9+1,1))</f>
        <v>463.16285713357729</v>
      </c>
      <c r="T24" s="59">
        <f t="shared" si="34"/>
        <v>525.72239370489785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19.899999999999995</v>
      </c>
      <c r="AI24" s="13">
        <f>IF('Données projet'!$A$62&gt;35,AI23+AH24-AQ23,IF(A24&lt;'Données projet'!$A$62,$AF$205^A24,IF(A24='Données projet'!$A$62,'Données projet'!$B$62,AI23+AH24-AQ23)))</f>
        <v>137.5</v>
      </c>
      <c r="AJ24" s="13">
        <f>AI24*VLOOKUP('Données projet'!$B$10,Paramètres!$A$1:$I$89,3,0)*VLOOKUP('Données projet'!$B$10,Paramètres!$A$1:$I$89,5,0)</f>
        <v>82.225000000000009</v>
      </c>
      <c r="AK24" s="13">
        <f t="shared" si="35"/>
        <v>22.680336573198979</v>
      </c>
      <c r="AL24" s="20">
        <f t="shared" si="4"/>
        <v>182.71012786498821</v>
      </c>
      <c r="AM24" s="59">
        <f t="shared" si="5"/>
        <v>401.56765624086256</v>
      </c>
      <c r="AN24" s="59">
        <f ca="1">AVERAGE(OFFSET($AM$3,0,0,'Données projet'!$E$10+1,1))-AVERAGE(OFFSET($H$3,0,0,'Données projet'!$E$10+1,1))</f>
        <v>336.28176557459966</v>
      </c>
      <c r="AO24" s="59">
        <f t="shared" si="36"/>
        <v>357.30155664292317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2.3588541761100617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11.176751719845061</v>
      </c>
      <c r="AX24" s="21">
        <f t="shared" si="6"/>
        <v>13.535605895955122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</v>
      </c>
      <c r="N25" s="13">
        <f>IF('Données projet'!$A$36&gt;35,N24+M25-V24,IF(A25&lt;'Données projet'!$A$36,$K$205^A25,IF(A25='Données projet'!$A$36,'Données projet'!$B$36,N24+M25-V24)))</f>
        <v>261.60000000000002</v>
      </c>
      <c r="O25" s="13">
        <f>N25*VLOOKUP('Données projet'!$B$9,Paramètres!$A$1:$I$89,3,0)*VLOOKUP('Données projet'!$B$9,Paramètres!$A$1:$I$89,5,0)</f>
        <v>137.12025600000001</v>
      </c>
      <c r="P25" s="13">
        <f t="shared" si="33"/>
        <v>35.636500700245783</v>
      </c>
      <c r="Q25" s="20">
        <f t="shared" si="2"/>
        <v>300.88468458626141</v>
      </c>
      <c r="R25" s="59">
        <f t="shared" si="0"/>
        <v>522.06559848972984</v>
      </c>
      <c r="S25" s="59">
        <f ca="1">AVERAGE(OFFSET($R$3,0,0,'Données projet'!$E$9+1,1))-AVERAGE(OFFSET($H$3,0,0,'Données projet'!$E$9+1,1))</f>
        <v>463.16285713357729</v>
      </c>
      <c r="T25" s="59">
        <f t="shared" si="34"/>
        <v>525.72239370489785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19.899999999999995</v>
      </c>
      <c r="AI25" s="13">
        <f>IF('Données projet'!$A$62&gt;35,AI24+AH25-AQ24,IF(A25&lt;'Données projet'!$A$62,$AF$205^A25,IF(A25='Données projet'!$A$62,'Données projet'!$B$62,AI24+AH25-AQ24)))</f>
        <v>157.4</v>
      </c>
      <c r="AJ25" s="13">
        <f>AI25*VLOOKUP('Données projet'!$B$10,Paramètres!$A$1:$I$89,3,0)*VLOOKUP('Données projet'!$B$10,Paramètres!$A$1:$I$89,5,0)</f>
        <v>94.125200000000021</v>
      </c>
      <c r="AK25" s="13">
        <f t="shared" si="35"/>
        <v>25.557514079834487</v>
      </c>
      <c r="AL25" s="20">
        <f t="shared" si="4"/>
        <v>208.44739368904513</v>
      </c>
      <c r="AM25" s="59">
        <f t="shared" si="5"/>
        <v>429.62830759251352</v>
      </c>
      <c r="AN25" s="59">
        <f ca="1">AVERAGE(OFFSET($AM$3,0,0,'Données projet'!$E$10+1,1))-AVERAGE(OFFSET($H$3,0,0,'Données projet'!$E$10+1,1))</f>
        <v>336.28176557459966</v>
      </c>
      <c r="AO25" s="59">
        <f t="shared" si="36"/>
        <v>357.30155664292317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2.312598484475525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7.9031569327408508</v>
      </c>
      <c r="AX25" s="21">
        <f t="shared" si="6"/>
        <v>10.215755417216375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</v>
      </c>
      <c r="N26" s="13">
        <f>IF('Données projet'!$A$36&gt;35,N25+M26-V25,IF(A26&lt;'Données projet'!$A$36,$K$205^A26,IF(A26='Données projet'!$A$36,'Données projet'!$B$36,N25+M26-V25)))</f>
        <v>281.40000000000003</v>
      </c>
      <c r="O26" s="13">
        <f>N26*VLOOKUP('Données projet'!$B$9,Paramètres!$A$1:$I$89,3,0)*VLOOKUP('Données projet'!$B$9,Paramètres!$A$1:$I$89,5,0)</f>
        <v>147.49862400000004</v>
      </c>
      <c r="P26" s="13">
        <f t="shared" si="33"/>
        <v>38.009583798093644</v>
      </c>
      <c r="Q26" s="20">
        <f t="shared" si="2"/>
        <v>323.09346191501317</v>
      </c>
      <c r="R26" s="59">
        <f t="shared" si="0"/>
        <v>546.57865862455969</v>
      </c>
      <c r="S26" s="59">
        <f ca="1">AVERAGE(OFFSET($R$3,0,0,'Données projet'!$E$9+1,1))-AVERAGE(OFFSET($H$3,0,0,'Données projet'!$E$9+1,1))</f>
        <v>463.16285713357729</v>
      </c>
      <c r="T26" s="59">
        <f t="shared" si="34"/>
        <v>525.72239370489785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19.899999999999995</v>
      </c>
      <c r="AI26" s="13">
        <f>IF('Données projet'!$A$62&gt;35,AI25+AH26-AQ25,IF(A26&lt;'Données projet'!$A$62,$AF$205^A26,IF(A26='Données projet'!$A$62,'Données projet'!$B$62,AI25+AH26-AQ25)))</f>
        <v>177.3</v>
      </c>
      <c r="AJ26" s="13">
        <f>AI26*VLOOKUP('Données projet'!$B$10,Paramètres!$A$1:$I$89,3,0)*VLOOKUP('Données projet'!$B$10,Paramètres!$A$1:$I$89,5,0)</f>
        <v>106.02540000000002</v>
      </c>
      <c r="AK26" s="13">
        <f t="shared" si="35"/>
        <v>28.392541537580129</v>
      </c>
      <c r="AL26" s="20">
        <f t="shared" si="4"/>
        <v>234.11124817795204</v>
      </c>
      <c r="AM26" s="59">
        <f t="shared" si="5"/>
        <v>457.59644488749854</v>
      </c>
      <c r="AN26" s="59">
        <f ca="1">AVERAGE(OFFSET($AM$3,0,0,'Données projet'!$E$10+1,1))-AVERAGE(OFFSET($H$3,0,0,'Données projet'!$E$10+1,1))</f>
        <v>336.28176557459966</v>
      </c>
      <c r="AO26" s="59">
        <f t="shared" si="36"/>
        <v>357.30155664292317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2.2672498387407556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5.5883758599225315</v>
      </c>
      <c r="AX26" s="21">
        <f t="shared" si="6"/>
        <v>7.8556256986632871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19.8</v>
      </c>
      <c r="N27" s="13">
        <f>IF('Données projet'!$A$36&gt;35,N26+M27-V26,IF(A27&lt;'Données projet'!$A$36,$K$205^A27,IF(A27='Données projet'!$A$36,'Données projet'!$B$36,N26+M27-V26)))</f>
        <v>301.20000000000005</v>
      </c>
      <c r="O27" s="13">
        <f>N27*VLOOKUP('Données projet'!$B$9,Paramètres!$A$1:$I$89,3,0)*VLOOKUP('Données projet'!$B$9,Paramètres!$A$1:$I$89,5,0)</f>
        <v>157.87699200000003</v>
      </c>
      <c r="P27" s="13">
        <f t="shared" si="33"/>
        <v>40.363293398004394</v>
      </c>
      <c r="Q27" s="20">
        <f t="shared" si="2"/>
        <v>345.26849706819104</v>
      </c>
      <c r="R27" s="59">
        <f t="shared" si="0"/>
        <v>571.03920525181081</v>
      </c>
      <c r="S27" s="59">
        <f ca="1">AVERAGE(OFFSET($R$3,0,0,'Données projet'!$E$9+1,1))-AVERAGE(OFFSET($H$3,0,0,'Données projet'!$E$9+1,1))</f>
        <v>463.16285713357729</v>
      </c>
      <c r="T27" s="59">
        <f t="shared" si="34"/>
        <v>525.72239370489785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197.2</v>
      </c>
      <c r="AG27" s="12">
        <f>VLOOKUP(A27,'Données projet'!$A$61:$I$81,9,0)</f>
        <v>19.899999999999995</v>
      </c>
      <c r="AH27" s="12">
        <f t="array" ref="AH27">INDEX(AG:AG,MIN(IF(ISNUMBER(AG27:AG223),ROW(AG27:AG223),"")))</f>
        <v>19.899999999999995</v>
      </c>
      <c r="AI27" s="13">
        <f>IF('Données projet'!$A$62&gt;35,AI26+AH27-AQ26,IF(A27&lt;'Données projet'!$A$62,$AF$205^A27,IF(A27='Données projet'!$A$62,'Données projet'!$B$62,AI26+AH27-AQ26)))</f>
        <v>197.20000000000002</v>
      </c>
      <c r="AJ27" s="13">
        <f>AI27*VLOOKUP('Données projet'!$B$10,Paramètres!$A$1:$I$89,3,0)*VLOOKUP('Données projet'!$B$10,Paramètres!$A$1:$I$89,5,0)</f>
        <v>117.92560000000003</v>
      </c>
      <c r="AK27" s="13">
        <f t="shared" si="35"/>
        <v>31.190689636070587</v>
      </c>
      <c r="AL27" s="20">
        <f t="shared" si="4"/>
        <v>259.71087111615634</v>
      </c>
      <c r="AM27" s="59">
        <f t="shared" si="5"/>
        <v>485.48157929977617</v>
      </c>
      <c r="AN27" s="59">
        <f ca="1">AVERAGE(OFFSET($AM$3,0,0,'Données projet'!$E$10+1,1))-AVERAGE(OFFSET($H$3,0,0,'Données projet'!$E$10+1,1))</f>
        <v>336.28176557459966</v>
      </c>
      <c r="AO27" s="59">
        <f t="shared" si="36"/>
        <v>357.30155664292317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42.9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0.5</v>
      </c>
      <c r="AU27" s="21">
        <f>EXP(-LN(2)/35)*AU26+(1-EXP(-LN(2)/35))/(LN(2)/35)*AQ27*AR27*VLOOKUP('Données projet'!$B$10,Paramètres!$A$1:$I$89,3,0)*0.475*44/12</f>
        <v>6.8171036824084048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18.474835369972155</v>
      </c>
      <c r="AX27" s="21">
        <f t="shared" si="6"/>
        <v>25.29193905238056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321</v>
      </c>
      <c r="L28" s="12">
        <f>VLOOKUP(A28,'Données projet'!$A$35:$I$55,9,0)</f>
        <v>19.8</v>
      </c>
      <c r="M28" s="12">
        <f t="array" ref="M28">INDEX(L:L,MIN(IF(ISNUMBER(L28:L224),ROW(L28:L224),"")))</f>
        <v>19.8</v>
      </c>
      <c r="N28" s="13">
        <f>IF('Données projet'!$A$36&gt;35,N27+M28-V27,IF(A28&lt;'Données projet'!$A$36,$K$205^A28,IF(A28='Données projet'!$A$36,'Données projet'!$B$36,N27+M28-V27)))</f>
        <v>321.00000000000006</v>
      </c>
      <c r="O28" s="13">
        <f>N28*VLOOKUP('Données projet'!$B$9,Paramètres!$A$1:$I$89,3,0)*VLOOKUP('Données projet'!$B$9,Paramètres!$A$1:$I$89,5,0)</f>
        <v>168.25536000000005</v>
      </c>
      <c r="P28" s="13">
        <f t="shared" si="33"/>
        <v>42.699047982710923</v>
      </c>
      <c r="Q28" s="20">
        <f t="shared" si="2"/>
        <v>367.41226056988825</v>
      </c>
      <c r="R28" s="59">
        <f t="shared" si="0"/>
        <v>595.4500345362203</v>
      </c>
      <c r="S28" s="59">
        <f ca="1">AVERAGE(OFFSET($R$3,0,0,'Données projet'!$E$9+1,1))-AVERAGE(OFFSET($H$3,0,0,'Données projet'!$E$9+1,1))</f>
        <v>463.16285713357729</v>
      </c>
      <c r="T28" s="59">
        <f t="shared" si="34"/>
        <v>525.72239370489785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19.875</v>
      </c>
      <c r="AI28" s="13">
        <f>IF('Données projet'!$A$62&gt;35,AI27+AH28-AQ27,IF(A28&lt;'Données projet'!$A$62,$AF$205^A28,IF(A28='Données projet'!$A$62,'Données projet'!$B$62,AI27+AH28-AQ27)))</f>
        <v>174.17500000000001</v>
      </c>
      <c r="AJ28" s="13">
        <f>AI28*VLOOKUP('Données projet'!$B$10,Paramètres!$A$1:$I$89,3,0)*VLOOKUP('Données projet'!$B$10,Paramètres!$A$1:$I$89,5,0)</f>
        <v>104.15665000000001</v>
      </c>
      <c r="AK28" s="13">
        <f t="shared" si="35"/>
        <v>27.949902735136092</v>
      </c>
      <c r="AL28" s="20">
        <f t="shared" si="4"/>
        <v>230.08557934702876</v>
      </c>
      <c r="AM28" s="59">
        <f t="shared" si="5"/>
        <v>458.12335331336089</v>
      </c>
      <c r="AN28" s="59">
        <f ca="1">AVERAGE(OFFSET($AM$3,0,0,'Données projet'!$E$10+1,1))-AVERAGE(OFFSET($H$3,0,0,'Données projet'!$E$10+1,1))</f>
        <v>336.28176557459966</v>
      </c>
      <c r="AO28" s="59">
        <f t="shared" si="36"/>
        <v>357.30155664292317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6.6834244372190517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13.06368137141239</v>
      </c>
      <c r="AX28" s="21">
        <f t="shared" si="6"/>
        <v>19.747105808631442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18.399999999999999</v>
      </c>
      <c r="N29" s="13">
        <f>IF('Données projet'!$A$36&gt;35,N28+M29-V28,IF(A29&lt;'Données projet'!$A$36,$K$205^A29,IF(A29='Données projet'!$A$36,'Données projet'!$B$36,N28+M29-V28)))</f>
        <v>339.40000000000003</v>
      </c>
      <c r="O29" s="13">
        <f>N29*VLOOKUP('Données projet'!$B$9,Paramètres!$A$1:$I$89,3,0)*VLOOKUP('Données projet'!$B$9,Paramètres!$A$1:$I$89,5,0)</f>
        <v>177.89990400000005</v>
      </c>
      <c r="P29" s="13">
        <f t="shared" si="33"/>
        <v>44.854634846998067</v>
      </c>
      <c r="Q29" s="20">
        <f t="shared" si="2"/>
        <v>387.96415515852169</v>
      </c>
      <c r="R29" s="59">
        <f t="shared" si="0"/>
        <v>618.25086920771184</v>
      </c>
      <c r="S29" s="59">
        <f ca="1">AVERAGE(OFFSET($R$3,0,0,'Données projet'!$E$9+1,1))-AVERAGE(OFFSET($H$3,0,0,'Données projet'!$E$9+1,1))</f>
        <v>463.16285713357729</v>
      </c>
      <c r="T29" s="59">
        <f t="shared" si="34"/>
        <v>525.72239370489785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19.875</v>
      </c>
      <c r="AI29" s="13">
        <f>IF('Données projet'!$A$62&gt;35,AI28+AH29-AQ28,IF(A29&lt;'Données projet'!$A$62,$AF$205^A29,IF(A29='Données projet'!$A$62,'Données projet'!$B$62,AI28+AH29-AQ28)))</f>
        <v>194.05</v>
      </c>
      <c r="AJ29" s="13">
        <f>AI29*VLOOKUP('Données projet'!$B$10,Paramètres!$A$1:$I$89,3,0)*VLOOKUP('Données projet'!$B$10,Paramètres!$A$1:$I$89,5,0)</f>
        <v>116.04190000000001</v>
      </c>
      <c r="AK29" s="13">
        <f t="shared" si="35"/>
        <v>30.750043154423295</v>
      </c>
      <c r="AL29" s="20">
        <f t="shared" si="4"/>
        <v>255.66263432728726</v>
      </c>
      <c r="AM29" s="59">
        <f t="shared" si="5"/>
        <v>485.94934837647747</v>
      </c>
      <c r="AN29" s="59">
        <f ca="1">AVERAGE(OFFSET($AM$3,0,0,'Données projet'!$E$10+1,1))-AVERAGE(OFFSET($H$3,0,0,'Données projet'!$E$10+1,1))</f>
        <v>336.28176557459966</v>
      </c>
      <c r="AO29" s="59">
        <f t="shared" si="36"/>
        <v>357.30155664292317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6.5523665604915733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9.2374176849860774</v>
      </c>
      <c r="AX29" s="21">
        <f t="shared" si="6"/>
        <v>15.789784245477652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18.399999999999999</v>
      </c>
      <c r="N30" s="13">
        <f>IF('Données projet'!$A$36&gt;35,N29+M30-V29,IF(A30&lt;'Données projet'!$A$36,$K$205^A30,IF(A30='Données projet'!$A$36,'Données projet'!$B$36,N29+M30-V29)))</f>
        <v>357.8</v>
      </c>
      <c r="O30" s="13">
        <f>N30*VLOOKUP('Données projet'!$B$9,Paramètres!$A$1:$I$89,3,0)*VLOOKUP('Données projet'!$B$9,Paramètres!$A$1:$I$89,5,0)</f>
        <v>187.54444800000002</v>
      </c>
      <c r="P30" s="13">
        <f t="shared" si="33"/>
        <v>46.996654844837934</v>
      </c>
      <c r="Q30" s="20">
        <f t="shared" si="2"/>
        <v>408.49242078809272</v>
      </c>
      <c r="R30" s="59">
        <f t="shared" si="0"/>
        <v>641.01026366065616</v>
      </c>
      <c r="S30" s="59">
        <f ca="1">AVERAGE(OFFSET($R$3,0,0,'Données projet'!$E$9+1,1))-AVERAGE(OFFSET($H$3,0,0,'Données projet'!$E$9+1,1))</f>
        <v>463.16285713357729</v>
      </c>
      <c r="T30" s="59">
        <f t="shared" si="34"/>
        <v>525.72239370489785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19.875</v>
      </c>
      <c r="AI30" s="13">
        <f>IF('Données projet'!$A$62&gt;35,AI29+AH30-AQ29,IF(A30&lt;'Données projet'!$A$62,$AF$205^A30,IF(A30='Données projet'!$A$62,'Données projet'!$B$62,AI29+AH30-AQ29)))</f>
        <v>213.92500000000001</v>
      </c>
      <c r="AJ30" s="13">
        <f>AI30*VLOOKUP('Données projet'!$B$10,Paramètres!$A$1:$I$89,3,0)*VLOOKUP('Données projet'!$B$10,Paramètres!$A$1:$I$89,5,0)</f>
        <v>127.92715000000001</v>
      </c>
      <c r="AK30" s="13">
        <f t="shared" si="35"/>
        <v>33.51693740969332</v>
      </c>
      <c r="AL30" s="20">
        <f t="shared" si="4"/>
        <v>281.18178557188253</v>
      </c>
      <c r="AM30" s="59">
        <f t="shared" si="5"/>
        <v>513.69962844444603</v>
      </c>
      <c r="AN30" s="59">
        <f ca="1">AVERAGE(OFFSET($AM$3,0,0,'Données projet'!$E$10+1,1))-AVERAGE(OFFSET($H$3,0,0,'Données projet'!$E$10+1,1))</f>
        <v>336.28176557459966</v>
      </c>
      <c r="AO30" s="59">
        <f t="shared" si="36"/>
        <v>357.30155664292317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6.4238786487893087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6.5318406857061948</v>
      </c>
      <c r="AX30" s="21">
        <f t="shared" si="6"/>
        <v>12.955719334495504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18.399999999999999</v>
      </c>
      <c r="N31" s="13">
        <f>IF('Données projet'!$A$36&gt;35,N30+M31-V30,IF(A31&lt;'Données projet'!$A$36,$K$205^A31,IF(A31='Données projet'!$A$36,'Données projet'!$B$36,N30+M31-V30)))</f>
        <v>376.2</v>
      </c>
      <c r="O31" s="13">
        <f>N31*VLOOKUP('Données projet'!$B$9,Paramètres!$A$1:$I$89,3,0)*VLOOKUP('Données projet'!$B$9,Paramètres!$A$1:$I$89,5,0)</f>
        <v>197.18899200000001</v>
      </c>
      <c r="P31" s="13">
        <f t="shared" si="33"/>
        <v>49.125885243211243</v>
      </c>
      <c r="Q31" s="20">
        <f t="shared" si="2"/>
        <v>428.99841119859292</v>
      </c>
      <c r="R31" s="59">
        <f t="shared" si="0"/>
        <v>663.72988062057698</v>
      </c>
      <c r="S31" s="59">
        <f ca="1">AVERAGE(OFFSET($R$3,0,0,'Données projet'!$E$9+1,1))-AVERAGE(OFFSET($H$3,0,0,'Données projet'!$E$9+1,1))</f>
        <v>463.16285713357729</v>
      </c>
      <c r="T31" s="59">
        <f t="shared" si="34"/>
        <v>525.72239370489785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>
        <f>VLOOKUP(A31,'Données projet'!$A$61:$I$81,2,0)</f>
        <v>233.79999999999998</v>
      </c>
      <c r="AG31" s="12">
        <f>VLOOKUP(A31,'Données projet'!$A$61:$I$81,9,0)</f>
        <v>19.875</v>
      </c>
      <c r="AH31" s="12">
        <f t="array" ref="AH31">INDEX(AG:AG,MIN(IF(ISNUMBER(AG31:AG227),ROW(AG31:AG227),"")))</f>
        <v>19.875</v>
      </c>
      <c r="AI31" s="13">
        <f>IF('Données projet'!$A$62&gt;35,AI30+AH31-AQ30,IF(A31&lt;'Données projet'!$A$62,$AF$205^A31,IF(A31='Données projet'!$A$62,'Données projet'!$B$62,AI30+AH31-AQ30)))</f>
        <v>233.8</v>
      </c>
      <c r="AJ31" s="13">
        <f>AI31*VLOOKUP('Données projet'!$B$10,Paramètres!$A$1:$I$89,3,0)*VLOOKUP('Données projet'!$B$10,Paramètres!$A$1:$I$89,5,0)</f>
        <v>139.81240000000003</v>
      </c>
      <c r="AK31" s="13">
        <f t="shared" si="35"/>
        <v>36.254025616047976</v>
      </c>
      <c r="AL31" s="20">
        <f t="shared" si="4"/>
        <v>306.64902461461696</v>
      </c>
      <c r="AM31" s="59">
        <f t="shared" si="5"/>
        <v>541.38049403660102</v>
      </c>
      <c r="AN31" s="59">
        <f ca="1">AVERAGE(OFFSET($AM$3,0,0,'Données projet'!$E$10+1,1))-AVERAGE(OFFSET($H$3,0,0,'Données projet'!$E$10+1,1))</f>
        <v>336.28176557459966</v>
      </c>
      <c r="AO31" s="59">
        <f t="shared" si="36"/>
        <v>357.30155664292317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41.4</v>
      </c>
      <c r="AR31" s="16">
        <f>IF(ISNA(VLOOKUP(A31,'Données projet'!$A$61:$I$81,5,0)),0%,VLOOKUP(A31,'Données projet'!$A$61:$I$81,5,0)*VLOOKUP('Données projet'!$B$10,Paramètres!$A$1:$I$89,7,0))</f>
        <v>0.22500000000000001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0.4</v>
      </c>
      <c r="AU31" s="21">
        <f>EXP(-LN(2)/35)*AU30+(1-EXP(-LN(2)/35))/(LN(2)/35)*AQ31*AR31*VLOOKUP('Données projet'!$B$10,Paramètres!$A$1:$I$89,3,0)*0.475*44/12</f>
        <v>13.68736515231239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15.831069417021927</v>
      </c>
      <c r="AX31" s="21">
        <f t="shared" si="6"/>
        <v>29.518434569334318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18.399999999999999</v>
      </c>
      <c r="N32" s="13">
        <f>IF('Données projet'!$A$36&gt;35,N31+M32-V31,IF(A32&lt;'Données projet'!$A$36,$K$205^A32,IF(A32='Données projet'!$A$36,'Données projet'!$B$36,N31+M32-V31)))</f>
        <v>394.59999999999997</v>
      </c>
      <c r="O32" s="13">
        <f>N32*VLOOKUP('Données projet'!$B$9,Paramètres!$A$1:$I$89,3,0)*VLOOKUP('Données projet'!$B$9,Paramètres!$A$1:$I$89,5,0)</f>
        <v>206.83353600000001</v>
      </c>
      <c r="P32" s="13">
        <f t="shared" si="33"/>
        <v>51.243022981069323</v>
      </c>
      <c r="Q32" s="20">
        <f t="shared" si="2"/>
        <v>449.48334022536238</v>
      </c>
      <c r="R32" s="59">
        <f t="shared" si="0"/>
        <v>686.41123754813816</v>
      </c>
      <c r="S32" s="59">
        <f ca="1">AVERAGE(OFFSET($R$3,0,0,'Données projet'!$E$9+1,1))-AVERAGE(OFFSET($H$3,0,0,'Données projet'!$E$9+1,1))</f>
        <v>463.16285713357729</v>
      </c>
      <c r="T32" s="59">
        <f t="shared" si="34"/>
        <v>525.72239370489785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18.700000000000006</v>
      </c>
      <c r="AI32" s="13">
        <f>IF('Données projet'!$A$62&gt;35,AI31+AH32-AQ31,IF(A32&lt;'Données projet'!$A$62,$AF$205^A32,IF(A32='Données projet'!$A$62,'Données projet'!$B$62,AI31+AH32-AQ31)))</f>
        <v>211.10000000000002</v>
      </c>
      <c r="AJ32" s="13">
        <f>AI32*VLOOKUP('Données projet'!$B$10,Paramètres!$A$1:$I$89,3,0)*VLOOKUP('Données projet'!$B$10,Paramètres!$A$1:$I$89,5,0)</f>
        <v>126.23780000000002</v>
      </c>
      <c r="AK32" s="13">
        <f t="shared" si="35"/>
        <v>33.12554513217659</v>
      </c>
      <c r="AL32" s="20">
        <f t="shared" si="4"/>
        <v>277.5578261052076</v>
      </c>
      <c r="AM32" s="59">
        <f t="shared" si="5"/>
        <v>514.48572342798343</v>
      </c>
      <c r="AN32" s="59">
        <f ca="1">AVERAGE(OFFSET($AM$3,0,0,'Données projet'!$E$10+1,1))-AVERAGE(OFFSET($H$3,0,0,'Données projet'!$E$10+1,1))</f>
        <v>336.28176557459966</v>
      </c>
      <c r="AO32" s="59">
        <f t="shared" si="36"/>
        <v>357.30155664292317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13.418964270143944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11.194256538211169</v>
      </c>
      <c r="AX32" s="21">
        <f t="shared" si="6"/>
        <v>24.613220808355113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413</v>
      </c>
      <c r="L33" s="12">
        <f>VLOOKUP(A33,'Données projet'!$A$35:$I$55,9,0)</f>
        <v>18.399999999999999</v>
      </c>
      <c r="M33" s="12">
        <f t="array" ref="M33">INDEX(L:L,MIN(IF(ISNUMBER(L33:L229),ROW(L33:L229),"")))</f>
        <v>18.399999999999999</v>
      </c>
      <c r="N33" s="13">
        <f>IF('Données projet'!$A$36&gt;35,N32+M33-V32,IF(A33&lt;'Données projet'!$A$36,$K$205^A33,IF(A33='Données projet'!$A$36,'Données projet'!$B$36,N32+M33-V32)))</f>
        <v>412.99999999999994</v>
      </c>
      <c r="O33" s="13">
        <f>N33*VLOOKUP('Données projet'!$B$9,Paramètres!$A$1:$I$89,3,0)*VLOOKUP('Données projet'!$B$9,Paramètres!$A$1:$I$89,5,0)</f>
        <v>216.47808000000001</v>
      </c>
      <c r="P33" s="13">
        <f t="shared" si="33"/>
        <v>53.348696328338377</v>
      </c>
      <c r="Q33" s="20">
        <f t="shared" si="2"/>
        <v>469.94830210518927</v>
      </c>
      <c r="R33" s="59">
        <f t="shared" si="0"/>
        <v>709.05572703823123</v>
      </c>
      <c r="S33" s="59">
        <f ca="1">AVERAGE(OFFSET($R$3,0,0,'Données projet'!$E$9+1,1))-AVERAGE(OFFSET($H$3,0,0,'Données projet'!$E$9+1,1))</f>
        <v>463.16285713357729</v>
      </c>
      <c r="T33" s="59">
        <f t="shared" si="34"/>
        <v>525.72239370489785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18.700000000000006</v>
      </c>
      <c r="AI33" s="13">
        <f>IF('Données projet'!$A$62&gt;35,AI32+AH33-AQ32,IF(A33&lt;'Données projet'!$A$62,$AF$205^A33,IF(A33='Données projet'!$A$62,'Données projet'!$B$62,AI32+AH33-AQ32)))</f>
        <v>229.80000000000004</v>
      </c>
      <c r="AJ33" s="13">
        <f>AI33*VLOOKUP('Données projet'!$B$10,Paramètres!$A$1:$I$89,3,0)*VLOOKUP('Données projet'!$B$10,Paramètres!$A$1:$I$89,5,0)</f>
        <v>137.42040000000003</v>
      </c>
      <c r="AK33" s="13">
        <f t="shared" si="35"/>
        <v>35.705417249692559</v>
      </c>
      <c r="AL33" s="20">
        <f t="shared" si="4"/>
        <v>301.52746504321459</v>
      </c>
      <c r="AM33" s="59">
        <f t="shared" si="5"/>
        <v>540.63488997625655</v>
      </c>
      <c r="AN33" s="59">
        <f ca="1">AVERAGE(OFFSET($AM$3,0,0,'Données projet'!$E$10+1,1))-AVERAGE(OFFSET($H$3,0,0,'Données projet'!$E$10+1,1))</f>
        <v>336.28176557459966</v>
      </c>
      <c r="AO33" s="59">
        <f t="shared" si="36"/>
        <v>357.30155664292317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13.155826565566448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7.9155347085109646</v>
      </c>
      <c r="AX33" s="21">
        <f t="shared" si="6"/>
        <v>21.071361274077411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</v>
      </c>
      <c r="N34" s="13">
        <f>IF('Données projet'!$A$36&gt;35,N33+M34-V33,IF(A34&lt;'Données projet'!$A$36,$K$205^A34,IF(A34='Données projet'!$A$36,'Données projet'!$B$36,N33+M34-V33)))</f>
        <v>428.39999999999992</v>
      </c>
      <c r="O34" s="13">
        <f>N34*VLOOKUP('Données projet'!$B$9,Paramètres!$A$1:$I$89,3,0)*VLOOKUP('Données projet'!$B$9,Paramètres!$A$1:$I$89,5,0)</f>
        <v>224.55014399999999</v>
      </c>
      <c r="P34" s="13">
        <f t="shared" si="33"/>
        <v>55.10265568047047</v>
      </c>
      <c r="Q34" s="20">
        <f t="shared" si="2"/>
        <v>487.0619594434861</v>
      </c>
      <c r="R34" s="59">
        <f t="shared" si="0"/>
        <v>727.11008265630369</v>
      </c>
      <c r="S34" s="59">
        <f ca="1">AVERAGE(OFFSET($R$3,0,0,'Données projet'!$E$9+1,1))-AVERAGE(OFFSET($H$3,0,0,'Données projet'!$E$9+1,1))</f>
        <v>463.16285713357729</v>
      </c>
      <c r="T34" s="59">
        <f t="shared" si="34"/>
        <v>525.72239370489785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18.700000000000006</v>
      </c>
      <c r="AI34" s="13">
        <f>IF('Données projet'!$A$62&gt;35,AI33+AH34-AQ33,IF(A34&lt;'Données projet'!$A$62,$AF$205^A34,IF(A34='Données projet'!$A$62,'Données projet'!$B$62,AI33+AH34-AQ33)))</f>
        <v>248.50000000000006</v>
      </c>
      <c r="AJ34" s="13">
        <f>AI34*VLOOKUP('Données projet'!$B$10,Paramètres!$A$1:$I$89,3,0)*VLOOKUP('Données projet'!$B$10,Paramètres!$A$1:$I$89,5,0)</f>
        <v>148.60300000000004</v>
      </c>
      <c r="AK34" s="13">
        <f t="shared" si="35"/>
        <v>38.260939676613795</v>
      </c>
      <c r="AL34" s="20">
        <f t="shared" si="4"/>
        <v>325.45469493676904</v>
      </c>
      <c r="AM34" s="59">
        <f t="shared" si="5"/>
        <v>565.50281814958657</v>
      </c>
      <c r="AN34" s="59">
        <f ca="1">AVERAGE(OFFSET($AM$3,0,0,'Données projet'!$E$10+1,1))-AVERAGE(OFFSET($H$3,0,0,'Données projet'!$E$10+1,1))</f>
        <v>336.28176557459966</v>
      </c>
      <c r="AO34" s="59">
        <f t="shared" si="36"/>
        <v>357.30155664292317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12.897848830877566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5.5971282691055855</v>
      </c>
      <c r="AX34" s="21">
        <f t="shared" si="6"/>
        <v>18.494977099983153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</v>
      </c>
      <c r="N35" s="13">
        <f>IF('Données projet'!$A$36&gt;35,N34+M35-V34,IF(A35&lt;'Données projet'!$A$36,$K$205^A35,IF(A35='Données projet'!$A$36,'Données projet'!$B$36,N34+M35-V34)))</f>
        <v>443.7999999999999</v>
      </c>
      <c r="O35" s="13">
        <f>N35*VLOOKUP('Données projet'!$B$9,Paramètres!$A$1:$I$89,3,0)*VLOOKUP('Données projet'!$B$9,Paramètres!$A$1:$I$89,5,0)</f>
        <v>232.62220799999997</v>
      </c>
      <c r="P35" s="13">
        <f t="shared" si="33"/>
        <v>56.849289583041866</v>
      </c>
      <c r="Q35" s="20">
        <f t="shared" ref="Q35:Q66" si="53">(O35+P35)*0.475*44/12</f>
        <v>504.16285829046438</v>
      </c>
      <c r="R35" s="59">
        <f t="shared" si="0"/>
        <v>745.13536077098968</v>
      </c>
      <c r="S35" s="59">
        <f ca="1">AVERAGE(OFFSET($R$3,0,0,'Données projet'!$E$9+1,1))-AVERAGE(OFFSET($H$3,0,0,'Données projet'!$E$9+1,1))</f>
        <v>463.16285713357729</v>
      </c>
      <c r="T35" s="59">
        <f t="shared" si="34"/>
        <v>525.72239370489785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18.700000000000006</v>
      </c>
      <c r="AI35" s="13">
        <f>IF('Données projet'!$A$62&gt;35,AI34+AH35-AQ34,IF(A35&lt;'Données projet'!$A$62,$AF$205^A35,IF(A35='Données projet'!$A$62,'Données projet'!$B$62,AI34+AH35-AQ34)))</f>
        <v>267.20000000000005</v>
      </c>
      <c r="AJ35" s="13">
        <f>AI35*VLOOKUP('Données projet'!$B$10,Paramètres!$A$1:$I$89,3,0)*VLOOKUP('Données projet'!$B$10,Paramètres!$A$1:$I$89,5,0)</f>
        <v>159.78560000000004</v>
      </c>
      <c r="AK35" s="13">
        <f t="shared" si="35"/>
        <v>40.794153114967841</v>
      </c>
      <c r="AL35" s="20">
        <f t="shared" si="4"/>
        <v>349.3430700085691</v>
      </c>
      <c r="AM35" s="59">
        <f t="shared" si="5"/>
        <v>590.31557248909439</v>
      </c>
      <c r="AN35" s="59">
        <f ca="1">AVERAGE(OFFSET($AM$3,0,0,'Données projet'!$E$10+1,1))-AVERAGE(OFFSET($H$3,0,0,'Données projet'!$E$10+1,1))</f>
        <v>336.28176557459966</v>
      </c>
      <c r="AO35" s="59">
        <f t="shared" si="36"/>
        <v>357.30155664292317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12.644929882215051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3.9577673542554832</v>
      </c>
      <c r="AX35" s="21">
        <f t="shared" si="6"/>
        <v>16.602697236470533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</v>
      </c>
      <c r="N36" s="13">
        <f>IF('Données projet'!$A$36&gt;35,N35+M36-V35,IF(A36&lt;'Données projet'!$A$36,$K$205^A36,IF(A36='Données projet'!$A$36,'Données projet'!$B$36,N35+M36-V35)))</f>
        <v>459.19999999999987</v>
      </c>
      <c r="O36" s="13">
        <f>N36*VLOOKUP('Données projet'!$B$9,Paramètres!$A$1:$I$89,3,0)*VLOOKUP('Données projet'!$B$9,Paramètres!$A$1:$I$89,5,0)</f>
        <v>240.69427199999996</v>
      </c>
      <c r="P36" s="13">
        <f t="shared" si="33"/>
        <v>58.58888136303019</v>
      </c>
      <c r="Q36" s="20">
        <f t="shared" si="53"/>
        <v>521.25149210727739</v>
      </c>
      <c r="R36" s="59">
        <f t="shared" si="0"/>
        <v>763.13233794181815</v>
      </c>
      <c r="S36" s="59">
        <f ca="1">AVERAGE(OFFSET($R$3,0,0,'Données projet'!$E$9+1,1))-AVERAGE(OFFSET($H$3,0,0,'Données projet'!$E$9+1,1))</f>
        <v>463.16285713357729</v>
      </c>
      <c r="T36" s="59">
        <f t="shared" si="34"/>
        <v>525.72239370489785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18.700000000000006</v>
      </c>
      <c r="AI36" s="13">
        <f>IF('Données projet'!$A$62&gt;35,AI35+AH36-AQ35,IF(A36&lt;'Données projet'!$A$62,$AF$205^A36,IF(A36='Données projet'!$A$62,'Données projet'!$B$62,AI35+AH36-AQ35)))</f>
        <v>285.90000000000003</v>
      </c>
      <c r="AJ36" s="13">
        <f>AI36*VLOOKUP('Données projet'!$B$10,Paramètres!$A$1:$I$89,3,0)*VLOOKUP('Données projet'!$B$10,Paramètres!$A$1:$I$89,5,0)</f>
        <v>170.96820000000002</v>
      </c>
      <c r="AK36" s="13">
        <f t="shared" si="35"/>
        <v>43.306796452756018</v>
      </c>
      <c r="AL36" s="20">
        <f t="shared" si="4"/>
        <v>373.19561882188344</v>
      </c>
      <c r="AM36" s="59">
        <f t="shared" si="5"/>
        <v>615.07646465642415</v>
      </c>
      <c r="AN36" s="59">
        <f ca="1">AVERAGE(OFFSET($AM$3,0,0,'Données projet'!$E$10+1,1))-AVERAGE(OFFSET($H$3,0,0,'Données projet'!$E$10+1,1))</f>
        <v>336.28176557459966</v>
      </c>
      <c r="AO36" s="59">
        <f t="shared" si="36"/>
        <v>357.30155664292317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12.39697051987048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2.7985641345527932</v>
      </c>
      <c r="AX36" s="21">
        <f t="shared" si="6"/>
        <v>15.195534654423273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</v>
      </c>
      <c r="N37" s="13">
        <f>IF('Données projet'!$A$36&gt;35,N36+M37-V36,IF(A37&lt;'Données projet'!$A$36,$K$205^A37,IF(A37='Données projet'!$A$36,'Données projet'!$B$36,N36+M37-V36)))</f>
        <v>474.59999999999985</v>
      </c>
      <c r="O37" s="13">
        <f>N37*VLOOKUP('Données projet'!$B$9,Paramètres!$A$1:$I$89,3,0)*VLOOKUP('Données projet'!$B$9,Paramètres!$A$1:$I$89,5,0)</f>
        <v>248.76633599999997</v>
      </c>
      <c r="P37" s="13">
        <f t="shared" si="33"/>
        <v>60.321694265512662</v>
      </c>
      <c r="Q37" s="20">
        <f t="shared" si="53"/>
        <v>538.32831937910123</v>
      </c>
      <c r="R37" s="59">
        <f t="shared" si="0"/>
        <v>781.10175084121681</v>
      </c>
      <c r="S37" s="59">
        <f ca="1">AVERAGE(OFFSET($R$3,0,0,'Données projet'!$E$9+1,1))-AVERAGE(OFFSET($H$3,0,0,'Données projet'!$E$9+1,1))</f>
        <v>463.16285713357729</v>
      </c>
      <c r="T37" s="59">
        <f t="shared" si="34"/>
        <v>525.72239370489785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304.60000000000002</v>
      </c>
      <c r="AG37" s="12">
        <f>VLOOKUP(A37,'Données projet'!$A$61:$I$81,9,0)</f>
        <v>18.700000000000006</v>
      </c>
      <c r="AH37" s="12">
        <f t="array" ref="AH37">INDEX(AG:AG,MIN(IF(ISNUMBER(AG37:AG233),ROW(AG37:AG233),"")))</f>
        <v>18.700000000000006</v>
      </c>
      <c r="AI37" s="13">
        <f>IF('Données projet'!$A$62&gt;35,AI36+AH37-AQ36,IF(A37&lt;'Données projet'!$A$62,$AF$205^A37,IF(A37='Données projet'!$A$62,'Données projet'!$B$62,AI36+AH37-AQ36)))</f>
        <v>304.60000000000002</v>
      </c>
      <c r="AJ37" s="13">
        <f>AI37*VLOOKUP('Données projet'!$B$10,Paramètres!$A$1:$I$89,3,0)*VLOOKUP('Données projet'!$B$10,Paramètres!$A$1:$I$89,5,0)</f>
        <v>182.15080000000003</v>
      </c>
      <c r="AK37" s="13">
        <f t="shared" si="35"/>
        <v>45.800368240506849</v>
      </c>
      <c r="AL37" s="20">
        <f t="shared" si="4"/>
        <v>397.0149513522162</v>
      </c>
      <c r="AM37" s="59">
        <f t="shared" si="5"/>
        <v>639.78838281433173</v>
      </c>
      <c r="AN37" s="59">
        <f ca="1">AVERAGE(OFFSET($AM$3,0,0,'Données projet'!$E$10+1,1))-AVERAGE(OFFSET($H$3,0,0,'Données projet'!$E$10+1,1))</f>
        <v>336.28176557459966</v>
      </c>
      <c r="AO37" s="59">
        <f t="shared" si="36"/>
        <v>357.30155664292317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59.9</v>
      </c>
      <c r="AR37" s="16">
        <f>IF(ISNA(VLOOKUP(A37,'Données projet'!$A$61:$I$81,5,0)),0%,VLOOKUP(A37,'Données projet'!$A$61:$I$81,5,0)*VLOOKUP('Données projet'!$B$10,Paramètres!$A$1:$I$89,7,0))</f>
        <v>0.315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0.2</v>
      </c>
      <c r="AU37" s="21">
        <f>EXP(-LN(2)/35)*AU36+(1-EXP(-LN(2)/35))/(LN(2)/35)*AQ37*AR37*VLOOKUP('Données projet'!$B$10,Paramètres!$A$1:$I$89,3,0)*0.475*44/12</f>
        <v>27.121981783002866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10.090241145899245</v>
      </c>
      <c r="AX37" s="21">
        <f t="shared" si="6"/>
        <v>37.212222928902108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490</v>
      </c>
      <c r="L38" s="12">
        <f>VLOOKUP(A38,'Données projet'!$A$35:$I$55,9,0)</f>
        <v>15.4</v>
      </c>
      <c r="M38" s="12">
        <f t="array" ref="M38">INDEX(L:L,MIN(IF(ISNUMBER(L38:L234),ROW(L38:L234),"")))</f>
        <v>15.4</v>
      </c>
      <c r="N38" s="13">
        <f>IF('Données projet'!$A$36&gt;35,N37+M38-V37,IF(A38&lt;'Données projet'!$A$36,$K$205^A38,IF(A38='Données projet'!$A$36,'Données projet'!$B$36,N37+M38-V37)))</f>
        <v>489.99999999999983</v>
      </c>
      <c r="O38" s="13">
        <f>N38*VLOOKUP('Données projet'!$B$9,Paramètres!$A$1:$I$89,3,0)*VLOOKUP('Données projet'!$B$9,Paramètres!$A$1:$I$89,5,0)</f>
        <v>256.83839999999992</v>
      </c>
      <c r="P38" s="13">
        <f t="shared" si="33"/>
        <v>62.047973482014044</v>
      </c>
      <c r="Q38" s="20">
        <f t="shared" si="53"/>
        <v>555.39376714784089</v>
      </c>
      <c r="R38" s="59">
        <f t="shared" si="0"/>
        <v>799.04429987241542</v>
      </c>
      <c r="S38" s="59">
        <f ca="1">AVERAGE(OFFSET($R$3,0,0,'Données projet'!$E$9+1,1))-AVERAGE(OFFSET($H$3,0,0,'Données projet'!$E$9+1,1))</f>
        <v>463.16285713357729</v>
      </c>
      <c r="T38" s="59">
        <f t="shared" si="34"/>
        <v>525.72239370489785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14.850000000000009</v>
      </c>
      <c r="AI38" s="13">
        <f>IF('Données projet'!$A$62&gt;35,AI37+AH38-AQ37,IF(A38&lt;'Données projet'!$A$62,$AF$205^A38,IF(A38='Données projet'!$A$62,'Données projet'!$B$62,AI37+AH38-AQ37)))</f>
        <v>259.55000000000007</v>
      </c>
      <c r="AJ38" s="13">
        <f>AI38*VLOOKUP('Données projet'!$B$10,Paramètres!$A$1:$I$89,3,0)*VLOOKUP('Données projet'!$B$10,Paramètres!$A$1:$I$89,5,0)</f>
        <v>155.21090000000007</v>
      </c>
      <c r="AK38" s="13">
        <f t="shared" si="35"/>
        <v>39.760417498033199</v>
      </c>
      <c r="AL38" s="20">
        <f t="shared" si="4"/>
        <v>339.57504464240793</v>
      </c>
      <c r="AM38" s="59">
        <f t="shared" si="5"/>
        <v>583.22557736698241</v>
      </c>
      <c r="AN38" s="59">
        <f ca="1">AVERAGE(OFFSET($AM$3,0,0,'Données projet'!$E$10+1,1))-AVERAGE(OFFSET($H$3,0,0,'Données projet'!$E$10+1,1))</f>
        <v>336.28176557459966</v>
      </c>
      <c r="AO38" s="59">
        <f t="shared" si="36"/>
        <v>357.30155664292317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26.590136263013605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7.1348779380728766</v>
      </c>
      <c r="AX38" s="21">
        <f t="shared" si="6"/>
        <v>33.725014201086481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12.6</v>
      </c>
      <c r="N39" s="13">
        <f>IF('Données projet'!$A$36&gt;35,N38+M39-V38,IF(A39&lt;'Données projet'!$A$36,$K$205^A39,IF(A39='Données projet'!$A$36,'Données projet'!$B$36,N38+M39-V38)))</f>
        <v>502.59999999999985</v>
      </c>
      <c r="O39" s="13">
        <f>N39*VLOOKUP('Données projet'!$B$9,Paramètres!$A$1:$I$89,3,0)*VLOOKUP('Données projet'!$B$9,Paramètres!$A$1:$I$89,5,0)</f>
        <v>263.44281599999994</v>
      </c>
      <c r="P39" s="13">
        <f t="shared" si="33"/>
        <v>63.455684403057042</v>
      </c>
      <c r="Q39" s="20">
        <f t="shared" si="53"/>
        <v>569.34822153532423</v>
      </c>
      <c r="R39" s="59">
        <f t="shared" si="0"/>
        <v>813.86063977635865</v>
      </c>
      <c r="S39" s="59">
        <f ca="1">AVERAGE(OFFSET($R$3,0,0,'Données projet'!$E$9+1,1))-AVERAGE(OFFSET($H$3,0,0,'Données projet'!$E$9+1,1))</f>
        <v>463.16285713357729</v>
      </c>
      <c r="T39" s="59">
        <f t="shared" si="34"/>
        <v>525.72239370489785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14.850000000000009</v>
      </c>
      <c r="AI39" s="13">
        <f>IF('Données projet'!$A$62&gt;35,AI38+AH39-AQ38,IF(A39&lt;'Données projet'!$A$62,$AF$205^A39,IF(A39='Données projet'!$A$62,'Données projet'!$B$62,AI38+AH39-AQ38)))</f>
        <v>274.40000000000009</v>
      </c>
      <c r="AJ39" s="13">
        <f>AI39*VLOOKUP('Données projet'!$B$10,Paramètres!$A$1:$I$89,3,0)*VLOOKUP('Données projet'!$B$10,Paramètres!$A$1:$I$89,5,0)</f>
        <v>164.09120000000007</v>
      </c>
      <c r="AK39" s="13">
        <f t="shared" si="35"/>
        <v>41.763936620208121</v>
      </c>
      <c r="AL39" s="20">
        <f t="shared" si="4"/>
        <v>358.5310296135292</v>
      </c>
      <c r="AM39" s="59">
        <f t="shared" si="5"/>
        <v>603.04344785456362</v>
      </c>
      <c r="AN39" s="59">
        <f ca="1">AVERAGE(OFFSET($AM$3,0,0,'Données projet'!$E$10+1,1))-AVERAGE(OFFSET($H$3,0,0,'Données projet'!$E$10+1,1))</f>
        <v>336.28176557459966</v>
      </c>
      <c r="AO39" s="59">
        <f t="shared" si="36"/>
        <v>357.30155664292317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26.068719909277597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5.0451205729496236</v>
      </c>
      <c r="AX39" s="21">
        <f t="shared" si="6"/>
        <v>31.113840482227221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12.6</v>
      </c>
      <c r="N40" s="13">
        <f>IF('Données projet'!$A$36&gt;35,N39+M40-V39,IF(A40&lt;'Données projet'!$A$36,$K$205^A40,IF(A40='Données projet'!$A$36,'Données projet'!$B$36,N39+M40-V39)))</f>
        <v>515.19999999999982</v>
      </c>
      <c r="O40" s="13">
        <f>N40*VLOOKUP('Données projet'!$B$9,Paramètres!$A$1:$I$89,3,0)*VLOOKUP('Données projet'!$B$9,Paramètres!$A$1:$I$89,5,0)</f>
        <v>270.04723199999995</v>
      </c>
      <c r="P40" s="13">
        <f t="shared" si="33"/>
        <v>64.859293008247306</v>
      </c>
      <c r="Q40" s="20">
        <f t="shared" si="53"/>
        <v>583.29553105603065</v>
      </c>
      <c r="R40" s="59">
        <f t="shared" si="0"/>
        <v>828.65488302670178</v>
      </c>
      <c r="S40" s="59">
        <f ca="1">AVERAGE(OFFSET($R$3,0,0,'Données projet'!$E$9+1,1))-AVERAGE(OFFSET($H$3,0,0,'Données projet'!$E$9+1,1))</f>
        <v>463.16285713357729</v>
      </c>
      <c r="T40" s="59">
        <f t="shared" si="34"/>
        <v>525.72239370489785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14.850000000000009</v>
      </c>
      <c r="AI40" s="13">
        <f>IF('Données projet'!$A$62&gt;35,AI39+AH40-AQ39,IF(A40&lt;'Données projet'!$A$62,$AF$205^A40,IF(A40='Données projet'!$A$62,'Données projet'!$B$62,AI39+AH40-AQ39)))</f>
        <v>289.25000000000011</v>
      </c>
      <c r="AJ40" s="13">
        <f>AI40*VLOOKUP('Données projet'!$B$10,Paramètres!$A$1:$I$89,3,0)*VLOOKUP('Données projet'!$B$10,Paramètres!$A$1:$I$89,5,0)</f>
        <v>172.97150000000008</v>
      </c>
      <c r="AK40" s="13">
        <f t="shared" si="35"/>
        <v>43.754868068248705</v>
      </c>
      <c r="AL40" s="20">
        <f t="shared" si="4"/>
        <v>377.46509105219997</v>
      </c>
      <c r="AM40" s="59">
        <f t="shared" si="5"/>
        <v>622.82444302287104</v>
      </c>
      <c r="AN40" s="59">
        <f ca="1">AVERAGE(OFFSET($AM$3,0,0,'Données projet'!$E$10+1,1))-AVERAGE(OFFSET($H$3,0,0,'Données projet'!$E$10+1,1))</f>
        <v>336.28176557459966</v>
      </c>
      <c r="AO40" s="59">
        <f t="shared" si="36"/>
        <v>357.30155664292317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25.557528212205778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3.5674389690364392</v>
      </c>
      <c r="AX40" s="21">
        <f t="shared" si="6"/>
        <v>29.124967181242216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12.6</v>
      </c>
      <c r="N41" s="13">
        <f>IF('Données projet'!$A$36&gt;35,N40+M41-V40,IF(A41&lt;'Données projet'!$A$36,$K$205^A41,IF(A41='Données projet'!$A$36,'Données projet'!$B$36,N40+M41-V40)))</f>
        <v>527.79999999999984</v>
      </c>
      <c r="O41" s="13">
        <f>N41*VLOOKUP('Données projet'!$B$9,Paramètres!$A$1:$I$89,3,0)*VLOOKUP('Données projet'!$B$9,Paramètres!$A$1:$I$89,5,0)</f>
        <v>276.65164799999991</v>
      </c>
      <c r="P41" s="13">
        <f t="shared" si="33"/>
        <v>66.258911167463879</v>
      </c>
      <c r="Q41" s="20">
        <f t="shared" si="53"/>
        <v>597.23589054999945</v>
      </c>
      <c r="R41" s="59">
        <f t="shared" si="0"/>
        <v>843.42748384355821</v>
      </c>
      <c r="S41" s="59">
        <f ca="1">AVERAGE(OFFSET($R$3,0,0,'Données projet'!$E$9+1,1))-AVERAGE(OFFSET($H$3,0,0,'Données projet'!$E$9+1,1))</f>
        <v>463.16285713357729</v>
      </c>
      <c r="T41" s="59">
        <f t="shared" si="34"/>
        <v>525.72239370489785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14.850000000000009</v>
      </c>
      <c r="AI41" s="13">
        <f>IF('Données projet'!$A$62&gt;35,AI40+AH41-AQ40,IF(A41&lt;'Données projet'!$A$62,$AF$205^A41,IF(A41='Données projet'!$A$62,'Données projet'!$B$62,AI40+AH41-AQ40)))</f>
        <v>304.10000000000014</v>
      </c>
      <c r="AJ41" s="13">
        <f>AI41*VLOOKUP('Données projet'!$B$10,Paramètres!$A$1:$I$89,3,0)*VLOOKUP('Données projet'!$B$10,Paramètres!$A$1:$I$89,5,0)</f>
        <v>181.85180000000011</v>
      </c>
      <c r="AK41" s="13">
        <f t="shared" si="35"/>
        <v>45.733931809167743</v>
      </c>
      <c r="AL41" s="20">
        <f t="shared" si="4"/>
        <v>396.3784829009673</v>
      </c>
      <c r="AM41" s="59">
        <f t="shared" si="5"/>
        <v>642.570076194526</v>
      </c>
      <c r="AN41" s="59">
        <f ca="1">AVERAGE(OFFSET($AM$3,0,0,'Données projet'!$E$10+1,1))-AVERAGE(OFFSET($H$3,0,0,'Données projet'!$E$10+1,1))</f>
        <v>336.28176557459966</v>
      </c>
      <c r="AO41" s="59">
        <f t="shared" si="36"/>
        <v>357.30155664292317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25.056360672517389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2.5225602864748122</v>
      </c>
      <c r="AX41" s="21">
        <f t="shared" si="6"/>
        <v>27.5789209589922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12.6</v>
      </c>
      <c r="N42" s="13">
        <f>IF('Données projet'!$A$36&gt;35,N41+M42-V41,IF(A42&lt;'Données projet'!$A$36,$K$205^A42,IF(A42='Données projet'!$A$36,'Données projet'!$B$36,N41+M42-V41)))</f>
        <v>540.39999999999986</v>
      </c>
      <c r="O42" s="13">
        <f>N42*VLOOKUP('Données projet'!$B$9,Paramètres!$A$1:$I$89,3,0)*VLOOKUP('Données projet'!$B$9,Paramètres!$A$1:$I$89,5,0)</f>
        <v>283.25606399999998</v>
      </c>
      <c r="P42" s="13">
        <f t="shared" si="33"/>
        <v>67.654645104687603</v>
      </c>
      <c r="Q42" s="20">
        <f t="shared" si="53"/>
        <v>611.16948502399748</v>
      </c>
      <c r="R42" s="59">
        <f t="shared" si="0"/>
        <v>858.17888211410457</v>
      </c>
      <c r="S42" s="59">
        <f ca="1">AVERAGE(OFFSET($R$3,0,0,'Données projet'!$E$9+1,1))-AVERAGE(OFFSET($H$3,0,0,'Données projet'!$E$9+1,1))</f>
        <v>463.16285713357729</v>
      </c>
      <c r="T42" s="59">
        <f t="shared" si="34"/>
        <v>525.72239370489785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14.850000000000009</v>
      </c>
      <c r="AI42" s="13">
        <f>IF('Données projet'!$A$62&gt;35,AI41+AH42-AQ41,IF(A42&lt;'Données projet'!$A$62,$AF$205^A42,IF(A42='Données projet'!$A$62,'Données projet'!$B$62,AI41+AH42-AQ41)))</f>
        <v>318.95000000000016</v>
      </c>
      <c r="AJ42" s="13">
        <f>AI42*VLOOKUP('Données projet'!$B$10,Paramètres!$A$1:$I$89,3,0)*VLOOKUP('Données projet'!$B$10,Paramètres!$A$1:$I$89,5,0)</f>
        <v>190.73210000000009</v>
      </c>
      <c r="AK42" s="13">
        <f t="shared" si="35"/>
        <v>47.701773521629008</v>
      </c>
      <c r="AL42" s="20">
        <f t="shared" si="4"/>
        <v>415.27232971683731</v>
      </c>
      <c r="AM42" s="59">
        <f t="shared" si="5"/>
        <v>662.28172680694445</v>
      </c>
      <c r="AN42" s="59">
        <f ca="1">AVERAGE(OFFSET($AM$3,0,0,'Données projet'!$E$10+1,1))-AVERAGE(OFFSET($H$3,0,0,'Données projet'!$E$10+1,1))</f>
        <v>336.28176557459966</v>
      </c>
      <c r="AO42" s="59">
        <f t="shared" si="36"/>
        <v>357.30155664292317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24.565020722600273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1.7837194845182198</v>
      </c>
      <c r="AX42" s="21">
        <f t="shared" si="6"/>
        <v>26.348740207118492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553</v>
      </c>
      <c r="L43" s="12">
        <f>VLOOKUP(A43,'Données projet'!$A$35:$I$55,9,0)</f>
        <v>12.6</v>
      </c>
      <c r="M43" s="12">
        <f t="array" ref="M43">INDEX(L:L,MIN(IF(ISNUMBER(L43:L239),ROW(L43:L239),"")))</f>
        <v>12.6</v>
      </c>
      <c r="N43" s="13">
        <f>IF('Données projet'!$A$36&gt;35,N42+M43-V42,IF(A43&lt;'Données projet'!$A$36,$K$205^A43,IF(A43='Données projet'!$A$36,'Données projet'!$B$36,N42+M43-V42)))</f>
        <v>552.99999999999989</v>
      </c>
      <c r="O43" s="13">
        <f>N43*VLOOKUP('Données projet'!$B$9,Paramètres!$A$1:$I$89,3,0)*VLOOKUP('Données projet'!$B$9,Paramètres!$A$1:$I$89,5,0)</f>
        <v>289.86047999999994</v>
      </c>
      <c r="P43" s="13">
        <f t="shared" si="33"/>
        <v>69.046595807837292</v>
      </c>
      <c r="Q43" s="20">
        <f t="shared" si="53"/>
        <v>625.09649036531653</v>
      </c>
      <c r="R43" s="59">
        <f t="shared" si="0"/>
        <v>872.90950418443731</v>
      </c>
      <c r="S43" s="59">
        <f ca="1">AVERAGE(OFFSET($R$3,0,0,'Données projet'!$E$9+1,1))-AVERAGE(OFFSET($H$3,0,0,'Données projet'!$E$9+1,1))</f>
        <v>463.16285713357729</v>
      </c>
      <c r="T43" s="59">
        <f t="shared" si="34"/>
        <v>525.72239370489785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333.80000000000007</v>
      </c>
      <c r="AG43" s="12">
        <f>VLOOKUP(A43,'Données projet'!$A$61:$I$81,9,0)</f>
        <v>14.850000000000009</v>
      </c>
      <c r="AH43" s="12">
        <f t="array" ref="AH43">INDEX(AG:AG,MIN(IF(ISNUMBER(AG43:AG239),ROW(AG43:AG239),"")))</f>
        <v>14.850000000000009</v>
      </c>
      <c r="AI43" s="13">
        <f>IF('Données projet'!$A$62&gt;35,AI42+AH43-AQ42,IF(A43&lt;'Données projet'!$A$62,$AF$205^A43,IF(A43='Données projet'!$A$62,'Données projet'!$B$62,AI42+AH43-AQ42)))</f>
        <v>333.80000000000018</v>
      </c>
      <c r="AJ43" s="13">
        <f>AI43*VLOOKUP('Données projet'!$B$10,Paramètres!$A$1:$I$89,3,0)*VLOOKUP('Données projet'!$B$10,Paramètres!$A$1:$I$89,5,0)</f>
        <v>199.61240000000012</v>
      </c>
      <c r="AK43" s="13">
        <f t="shared" si="35"/>
        <v>49.658975362033459</v>
      </c>
      <c r="AL43" s="20">
        <f t="shared" si="4"/>
        <v>434.14764542220854</v>
      </c>
      <c r="AM43" s="59">
        <f t="shared" si="5"/>
        <v>681.96065924132938</v>
      </c>
      <c r="AN43" s="59">
        <f ca="1">AVERAGE(OFFSET($AM$3,0,0,'Données projet'!$E$10+1,1))-AVERAGE(OFFSET($H$3,0,0,'Données projet'!$E$10+1,1))</f>
        <v>336.28176557459966</v>
      </c>
      <c r="AO43" s="59">
        <f t="shared" si="36"/>
        <v>357.30155664292317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34.1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24.083315649413258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1.2612801432374063</v>
      </c>
      <c r="AX43" s="21">
        <f t="shared" si="6"/>
        <v>25.344595792650665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9.8000000000000007</v>
      </c>
      <c r="N44" s="13">
        <f>IF('Données projet'!$A$36&gt;35,N43+M44-V43,IF(A44&lt;'Données projet'!$A$36,$K$205^A44,IF(A44='Données projet'!$A$36,'Données projet'!$B$36,N43+M44-V43)))</f>
        <v>562.79999999999984</v>
      </c>
      <c r="O44" s="13">
        <f>N44*VLOOKUP('Données projet'!$B$9,Paramètres!$A$1:$I$89,3,0)*VLOOKUP('Données projet'!$B$9,Paramètres!$A$1:$I$89,5,0)</f>
        <v>294.99724799999996</v>
      </c>
      <c r="P44" s="13">
        <f t="shared" si="33"/>
        <v>70.126670260008808</v>
      </c>
      <c r="Q44" s="20">
        <f t="shared" si="53"/>
        <v>635.9241576361818</v>
      </c>
      <c r="R44" s="59">
        <f t="shared" si="0"/>
        <v>884.5268472306858</v>
      </c>
      <c r="S44" s="59">
        <f ca="1">AVERAGE(OFFSET($R$3,0,0,'Données projet'!$E$9+1,1))-AVERAGE(OFFSET($H$3,0,0,'Données projet'!$E$9+1,1))</f>
        <v>463.16285713357729</v>
      </c>
      <c r="T44" s="59">
        <f t="shared" si="34"/>
        <v>525.72239370489785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11.049999999999992</v>
      </c>
      <c r="AI44" s="13">
        <f>IF('Données projet'!$A$62&gt;35,AI43+AH44-AQ43,IF(A44&lt;'Données projet'!$A$62,$AF$205^A44,IF(A44='Données projet'!$A$62,'Données projet'!$B$62,AI43+AH44-AQ43)))</f>
        <v>310.75000000000017</v>
      </c>
      <c r="AJ44" s="13">
        <f>AI44*VLOOKUP('Données projet'!$B$10,Paramètres!$A$1:$I$89,3,0)*VLOOKUP('Données projet'!$B$10,Paramètres!$A$1:$I$89,5,0)</f>
        <v>185.8285000000001</v>
      </c>
      <c r="AK44" s="13">
        <f t="shared" si="35"/>
        <v>46.616505227631968</v>
      </c>
      <c r="AL44" s="20">
        <f t="shared" si="4"/>
        <v>404.84171743812584</v>
      </c>
      <c r="AM44" s="59">
        <f t="shared" si="5"/>
        <v>653.44440703262978</v>
      </c>
      <c r="AN44" s="59">
        <f ca="1">AVERAGE(OFFSET($AM$3,0,0,'Données projet'!$E$10+1,1))-AVERAGE(OFFSET($H$3,0,0,'Données projet'!$E$10+1,1))</f>
        <v>336.28176557459966</v>
      </c>
      <c r="AO44" s="59">
        <f t="shared" si="36"/>
        <v>357.30155664292317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23.611056518900355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0.89185974225911002</v>
      </c>
      <c r="AX44" s="21">
        <f t="shared" si="6"/>
        <v>24.502916261159466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9.8000000000000007</v>
      </c>
      <c r="N45" s="13">
        <f>IF('Données projet'!$A$36&gt;35,N44+M45-V44,IF(A45&lt;'Données projet'!$A$36,$K$205^A45,IF(A45='Données projet'!$A$36,'Données projet'!$B$36,N44+M45-V44)))</f>
        <v>572.5999999999998</v>
      </c>
      <c r="O45" s="13">
        <f>N45*VLOOKUP('Données projet'!$B$9,Paramètres!$A$1:$I$89,3,0)*VLOOKUP('Données projet'!$B$9,Paramètres!$A$1:$I$89,5,0)</f>
        <v>300.13401599999992</v>
      </c>
      <c r="P45" s="13">
        <f t="shared" si="33"/>
        <v>71.204557646578721</v>
      </c>
      <c r="Q45" s="20">
        <f t="shared" si="53"/>
        <v>646.74801576779112</v>
      </c>
      <c r="R45" s="59">
        <f t="shared" si="0"/>
        <v>896.12668202842588</v>
      </c>
      <c r="S45" s="59">
        <f ca="1">AVERAGE(OFFSET($R$3,0,0,'Données projet'!$E$9+1,1))-AVERAGE(OFFSET($H$3,0,0,'Données projet'!$E$9+1,1))</f>
        <v>463.16285713357729</v>
      </c>
      <c r="T45" s="59">
        <f t="shared" si="34"/>
        <v>525.72239370489785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11.049999999999992</v>
      </c>
      <c r="AI45" s="13">
        <f>IF('Données projet'!$A$62&gt;35,AI44+AH45-AQ44,IF(A45&lt;'Données projet'!$A$62,$AF$205^A45,IF(A45='Données projet'!$A$62,'Données projet'!$B$62,AI44+AH45-AQ44)))</f>
        <v>321.80000000000018</v>
      </c>
      <c r="AJ45" s="13">
        <f>AI45*VLOOKUP('Données projet'!$B$10,Paramètres!$A$1:$I$89,3,0)*VLOOKUP('Données projet'!$B$10,Paramètres!$A$1:$I$89,5,0)</f>
        <v>192.43640000000011</v>
      </c>
      <c r="AK45" s="13">
        <f t="shared" si="35"/>
        <v>48.07820620284339</v>
      </c>
      <c r="AL45" s="20">
        <f t="shared" si="4"/>
        <v>418.89627246995241</v>
      </c>
      <c r="AM45" s="59">
        <f t="shared" si="5"/>
        <v>668.27493873058711</v>
      </c>
      <c r="AN45" s="59">
        <f ca="1">AVERAGE(OFFSET($AM$3,0,0,'Données projet'!$E$10+1,1))-AVERAGE(OFFSET($H$3,0,0,'Données projet'!$E$10+1,1))</f>
        <v>336.28176557459966</v>
      </c>
      <c r="AO45" s="59">
        <f t="shared" si="36"/>
        <v>357.30155664292317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23.148058101887184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0.63064007161870328</v>
      </c>
      <c r="AX45" s="21">
        <f t="shared" si="6"/>
        <v>23.778698173505887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9.8000000000000007</v>
      </c>
      <c r="N46" s="13">
        <f>IF('Données projet'!$A$36&gt;35,N45+M46-V45,IF(A46&lt;'Données projet'!$A$36,$K$205^A46,IF(A46='Données projet'!$A$36,'Données projet'!$B$36,N45+M46-V45)))</f>
        <v>582.39999999999975</v>
      </c>
      <c r="O46" s="13">
        <f>N46*VLOOKUP('Données projet'!$B$9,Paramètres!$A$1:$I$89,3,0)*VLOOKUP('Données projet'!$B$9,Paramètres!$A$1:$I$89,5,0)</f>
        <v>305.27078399999994</v>
      </c>
      <c r="P46" s="13">
        <f t="shared" si="33"/>
        <v>72.280299718518265</v>
      </c>
      <c r="Q46" s="20">
        <f t="shared" si="53"/>
        <v>657.56813747641911</v>
      </c>
      <c r="R46" s="59">
        <f t="shared" si="0"/>
        <v>907.70931894285116</v>
      </c>
      <c r="S46" s="59">
        <f ca="1">AVERAGE(OFFSET($R$3,0,0,'Données projet'!$E$9+1,1))-AVERAGE(OFFSET($H$3,0,0,'Données projet'!$E$9+1,1))</f>
        <v>463.16285713357729</v>
      </c>
      <c r="T46" s="59">
        <f t="shared" si="34"/>
        <v>525.72239370489785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11.049999999999992</v>
      </c>
      <c r="AI46" s="13">
        <f>IF('Données projet'!$A$62&gt;35,AI45+AH46-AQ45,IF(A46&lt;'Données projet'!$A$62,$AF$205^A46,IF(A46='Données projet'!$A$62,'Données projet'!$B$62,AI45+AH46-AQ45)))</f>
        <v>332.85000000000019</v>
      </c>
      <c r="AJ46" s="13">
        <f>AI46*VLOOKUP('Données projet'!$B$10,Paramètres!$A$1:$I$89,3,0)*VLOOKUP('Données projet'!$B$10,Paramètres!$A$1:$I$89,5,0)</f>
        <v>199.04430000000013</v>
      </c>
      <c r="AK46" s="13">
        <f t="shared" si="35"/>
        <v>49.534075275146158</v>
      </c>
      <c r="AL46" s="20">
        <f t="shared" si="4"/>
        <v>432.94067027087976</v>
      </c>
      <c r="AM46" s="59">
        <f t="shared" si="5"/>
        <v>683.08185173731181</v>
      </c>
      <c r="AN46" s="59">
        <f ca="1">AVERAGE(OFFSET($AM$3,0,0,'Données projet'!$E$10+1,1))-AVERAGE(OFFSET($H$3,0,0,'Données projet'!$E$10+1,1))</f>
        <v>336.28176557459966</v>
      </c>
      <c r="AO46" s="59">
        <f t="shared" si="36"/>
        <v>357.30155664292317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22.694138801430491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0.44592987112955512</v>
      </c>
      <c r="AX46" s="21">
        <f t="shared" si="6"/>
        <v>23.140068672560044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9.8000000000000007</v>
      </c>
      <c r="N47" s="13">
        <f>IF('Données projet'!$A$36&gt;35,N46+M47-V46,IF(A47&lt;'Données projet'!$A$36,$K$205^A47,IF(A47='Données projet'!$A$36,'Données projet'!$B$36,N46+M47-V46)))</f>
        <v>592.1999999999997</v>
      </c>
      <c r="O47" s="13">
        <f>N47*VLOOKUP('Données projet'!$B$9,Paramètres!$A$1:$I$89,3,0)*VLOOKUP('Données projet'!$B$9,Paramètres!$A$1:$I$89,5,0)</f>
        <v>310.40755199999984</v>
      </c>
      <c r="P47" s="13">
        <f t="shared" si="33"/>
        <v>73.353936741187667</v>
      </c>
      <c r="Q47" s="20">
        <f t="shared" si="53"/>
        <v>668.38459289090156</v>
      </c>
      <c r="R47" s="59">
        <f t="shared" si="0"/>
        <v>919.27506162903899</v>
      </c>
      <c r="S47" s="59">
        <f ca="1">AVERAGE(OFFSET($R$3,0,0,'Données projet'!$E$9+1,1))-AVERAGE(OFFSET($H$3,0,0,'Données projet'!$E$9+1,1))</f>
        <v>463.16285713357729</v>
      </c>
      <c r="T47" s="59">
        <f t="shared" si="34"/>
        <v>525.72239370489785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11.049999999999992</v>
      </c>
      <c r="AI47" s="13">
        <f>IF('Données projet'!$A$62&gt;35,AI46+AH47-AQ46,IF(A47&lt;'Données projet'!$A$62,$AF$205^A47,IF(A47='Données projet'!$A$62,'Données projet'!$B$62,AI46+AH47-AQ46)))</f>
        <v>343.9000000000002</v>
      </c>
      <c r="AJ47" s="13">
        <f>AI47*VLOOKUP('Données projet'!$B$10,Paramètres!$A$1:$I$89,3,0)*VLOOKUP('Données projet'!$B$10,Paramètres!$A$1:$I$89,5,0)</f>
        <v>205.65220000000014</v>
      </c>
      <c r="AK47" s="13">
        <f t="shared" si="35"/>
        <v>50.984328252291228</v>
      </c>
      <c r="AL47" s="20">
        <f t="shared" si="4"/>
        <v>446.97528670607409</v>
      </c>
      <c r="AM47" s="59">
        <f t="shared" si="5"/>
        <v>697.86575544421157</v>
      </c>
      <c r="AN47" s="59">
        <f ca="1">AVERAGE(OFFSET($AM$3,0,0,'Données projet'!$E$10+1,1))-AVERAGE(OFFSET($H$3,0,0,'Données projet'!$E$10+1,1))</f>
        <v>336.28176557459966</v>
      </c>
      <c r="AO47" s="59">
        <f t="shared" si="36"/>
        <v>357.30155664292317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22.249120581592319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0.3153200358093517</v>
      </c>
      <c r="AX47" s="21">
        <f t="shared" si="6"/>
        <v>22.564440617401669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602</v>
      </c>
      <c r="L48" s="12">
        <f>VLOOKUP(A48,'Données projet'!$A$35:$I$55,9,0)</f>
        <v>9.8000000000000007</v>
      </c>
      <c r="M48" s="12">
        <f t="array" ref="M48">INDEX(L:L,MIN(IF(ISNUMBER(L48:L244),ROW(L48:L244),"")))</f>
        <v>9.8000000000000007</v>
      </c>
      <c r="N48" s="13">
        <f>IF('Données projet'!$A$36&gt;35,N47+M48-V47,IF(A48&lt;'Données projet'!$A$36,$K$205^A48,IF(A48='Données projet'!$A$36,'Données projet'!$B$36,N47+M48-V47)))</f>
        <v>601.99999999999966</v>
      </c>
      <c r="O48" s="13">
        <f>N48*VLOOKUP('Données projet'!$B$9,Paramètres!$A$1:$I$89,3,0)*VLOOKUP('Données projet'!$B$9,Paramètres!$A$1:$I$89,5,0)</f>
        <v>315.54431999999986</v>
      </c>
      <c r="P48" s="13">
        <f t="shared" si="33"/>
        <v>74.425507570891781</v>
      </c>
      <c r="Q48" s="20">
        <f t="shared" si="53"/>
        <v>679.19744968596967</v>
      </c>
      <c r="R48" s="59">
        <f t="shared" si="0"/>
        <v>930.82420723680377</v>
      </c>
      <c r="S48" s="59">
        <f ca="1">AVERAGE(OFFSET($R$3,0,0,'Données projet'!$E$9+1,1))-AVERAGE(OFFSET($H$3,0,0,'Données projet'!$E$9+1,1))</f>
        <v>463.16285713357729</v>
      </c>
      <c r="T48" s="59">
        <f t="shared" si="34"/>
        <v>525.72239370489785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11.049999999999992</v>
      </c>
      <c r="AI48" s="13">
        <f>IF('Données projet'!$A$62&gt;35,AI47+AH48-AQ47,IF(A48&lt;'Données projet'!$A$62,$AF$205^A48,IF(A48='Données projet'!$A$62,'Données projet'!$B$62,AI47+AH48-AQ47)))</f>
        <v>354.95000000000022</v>
      </c>
      <c r="AJ48" s="13">
        <f>AI48*VLOOKUP('Données projet'!$B$10,Paramètres!$A$1:$I$89,3,0)*VLOOKUP('Données projet'!$B$10,Paramètres!$A$1:$I$89,5,0)</f>
        <v>212.26010000000014</v>
      </c>
      <c r="AK48" s="13">
        <f t="shared" si="35"/>
        <v>52.429166286213409</v>
      </c>
      <c r="AL48" s="20">
        <f t="shared" si="4"/>
        <v>461.00047211515522</v>
      </c>
      <c r="AM48" s="59">
        <f t="shared" si="5"/>
        <v>712.62722966598938</v>
      </c>
      <c r="AN48" s="59">
        <f ca="1">AVERAGE(OFFSET($AM$3,0,0,'Données projet'!$E$10+1,1))-AVERAGE(OFFSET($H$3,0,0,'Données projet'!$E$10+1,1))</f>
        <v>336.28176557459966</v>
      </c>
      <c r="AO48" s="59">
        <f t="shared" si="36"/>
        <v>357.30155664292317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21.81282889761086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0.22296493556477759</v>
      </c>
      <c r="AX48" s="21">
        <f t="shared" si="6"/>
        <v>22.035793833175639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7.8</v>
      </c>
      <c r="N49" s="13">
        <f>IF('Données projet'!$A$36&gt;35,N48+M49-V48,IF(A49&lt;'Données projet'!$A$36,$K$205^A49,IF(A49='Données projet'!$A$36,'Données projet'!$B$36,N48+M49-V48)))</f>
        <v>609.79999999999961</v>
      </c>
      <c r="O49" s="13">
        <f>N49*VLOOKUP('Données projet'!$B$9,Paramètres!$A$1:$I$89,3,0)*VLOOKUP('Données projet'!$B$9,Paramètres!$A$1:$I$89,5,0)</f>
        <v>319.63276799999983</v>
      </c>
      <c r="P49" s="13">
        <f t="shared" si="33"/>
        <v>75.276938797761005</v>
      </c>
      <c r="Q49" s="20">
        <f t="shared" si="53"/>
        <v>687.80107267276674</v>
      </c>
      <c r="R49" s="59">
        <f t="shared" si="0"/>
        <v>940.15134607149241</v>
      </c>
      <c r="S49" s="59">
        <f ca="1">AVERAGE(OFFSET($R$3,0,0,'Données projet'!$E$9+1,1))-AVERAGE(OFFSET($H$3,0,0,'Données projet'!$E$9+1,1))</f>
        <v>463.16285713357729</v>
      </c>
      <c r="T49" s="59">
        <f t="shared" si="34"/>
        <v>525.72239370489785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366</v>
      </c>
      <c r="AG49" s="12">
        <f>VLOOKUP(A49,'Données projet'!$A$61:$I$81,9,0)</f>
        <v>11.049999999999992</v>
      </c>
      <c r="AH49" s="12">
        <f t="array" ref="AH49">INDEX(AG:AG,MIN(IF(ISNUMBER(AG49:AG245),ROW(AG49:AG245),"")))</f>
        <v>11.049999999999992</v>
      </c>
      <c r="AI49" s="13">
        <f>IF('Données projet'!$A$62&gt;35,AI48+AH49-AQ48,IF(A49&lt;'Données projet'!$A$62,$AF$205^A49,IF(A49='Données projet'!$A$62,'Données projet'!$B$62,AI48+AH49-AQ48)))</f>
        <v>366.00000000000023</v>
      </c>
      <c r="AJ49" s="13">
        <f>AI49*VLOOKUP('Données projet'!$B$10,Paramètres!$A$1:$I$89,3,0)*VLOOKUP('Données projet'!$B$10,Paramètres!$A$1:$I$89,5,0)</f>
        <v>218.86800000000014</v>
      </c>
      <c r="AK49" s="13">
        <f t="shared" si="35"/>
        <v>53.868777293257544</v>
      </c>
      <c r="AL49" s="20">
        <f t="shared" si="4"/>
        <v>475.01655378575714</v>
      </c>
      <c r="AM49" s="59">
        <f t="shared" si="5"/>
        <v>727.36682718448276</v>
      </c>
      <c r="AN49" s="59">
        <f ca="1">AVERAGE(OFFSET($AM$3,0,0,'Données projet'!$E$10+1,1))-AVERAGE(OFFSET($H$3,0,0,'Données projet'!$E$10+1,1))</f>
        <v>336.28176557459966</v>
      </c>
      <c r="AO49" s="59">
        <f t="shared" si="36"/>
        <v>357.30155664292317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21.3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21.385092627440628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0.15766001790467588</v>
      </c>
      <c r="AX49" s="21">
        <f t="shared" si="6"/>
        <v>21.542752645345303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7.8</v>
      </c>
      <c r="N50" s="13">
        <f>IF('Données projet'!$A$36&gt;35,N49+M50-V49,IF(A50&lt;'Données projet'!$A$36,$K$205^A50,IF(A50='Données projet'!$A$36,'Données projet'!$B$36,N49+M50-V49)))</f>
        <v>617.59999999999957</v>
      </c>
      <c r="O50" s="13">
        <f>N50*VLOOKUP('Données projet'!$B$9,Paramètres!$A$1:$I$89,3,0)*VLOOKUP('Données projet'!$B$9,Paramètres!$A$1:$I$89,5,0)</f>
        <v>323.7212159999998</v>
      </c>
      <c r="P50" s="13">
        <f t="shared" si="33"/>
        <v>76.127103251059239</v>
      </c>
      <c r="Q50" s="20">
        <f t="shared" si="53"/>
        <v>696.40248936226101</v>
      </c>
      <c r="R50" s="59">
        <f t="shared" si="0"/>
        <v>949.4637272264564</v>
      </c>
      <c r="S50" s="59">
        <f ca="1">AVERAGE(OFFSET($R$3,0,0,'Données projet'!$E$9+1,1))-AVERAGE(OFFSET($H$3,0,0,'Données projet'!$E$9+1,1))</f>
        <v>463.16285713357729</v>
      </c>
      <c r="T50" s="59">
        <f t="shared" si="34"/>
        <v>525.72239370489785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7.2999999999999972</v>
      </c>
      <c r="AI50" s="13">
        <f>IF('Données projet'!$A$62&gt;35,AI49+AH50-AQ49,IF(A50&lt;'Données projet'!$A$62,$AF$205^A50,IF(A50='Données projet'!$A$62,'Données projet'!$B$62,AI49+AH50-AQ49)))</f>
        <v>352.00000000000023</v>
      </c>
      <c r="AJ50" s="13">
        <f>AI50*VLOOKUP('Données projet'!$B$10,Paramètres!$A$1:$I$89,3,0)*VLOOKUP('Données projet'!$B$10,Paramètres!$A$1:$I$89,5,0)</f>
        <v>210.49600000000015</v>
      </c>
      <c r="AK50" s="13">
        <f t="shared" si="35"/>
        <v>52.043959291168512</v>
      </c>
      <c r="AL50" s="20">
        <f t="shared" si="4"/>
        <v>457.25709576545205</v>
      </c>
      <c r="AM50" s="59">
        <f t="shared" si="5"/>
        <v>710.31833362964744</v>
      </c>
      <c r="AN50" s="59">
        <f ca="1">AVERAGE(OFFSET($AM$3,0,0,'Données projet'!$E$10+1,1))-AVERAGE(OFFSET($H$3,0,0,'Données projet'!$E$10+1,1))</f>
        <v>336.28176557459966</v>
      </c>
      <c r="AO50" s="59">
        <f t="shared" si="36"/>
        <v>357.30155664292317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20.96574400463507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0.11148246778238882</v>
      </c>
      <c r="AX50" s="21">
        <f t="shared" si="6"/>
        <v>21.077226472417458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7.8</v>
      </c>
      <c r="N51" s="13">
        <f>IF('Données projet'!$A$36&gt;35,N50+M51-V50,IF(A51&lt;'Données projet'!$A$36,$K$205^A51,IF(A51='Données projet'!$A$36,'Données projet'!$B$36,N50+M51-V50)))</f>
        <v>625.39999999999952</v>
      </c>
      <c r="O51" s="13">
        <f>N51*VLOOKUP('Données projet'!$B$9,Paramètres!$A$1:$I$89,3,0)*VLOOKUP('Données projet'!$B$9,Paramètres!$A$1:$I$89,5,0)</f>
        <v>327.80966399999977</v>
      </c>
      <c r="P51" s="13">
        <f t="shared" si="33"/>
        <v>76.97601877963406</v>
      </c>
      <c r="Q51" s="20">
        <f t="shared" si="53"/>
        <v>705.00173084119558</v>
      </c>
      <c r="R51" s="59">
        <f t="shared" si="0"/>
        <v>958.76159952686328</v>
      </c>
      <c r="S51" s="59">
        <f ca="1">AVERAGE(OFFSET($R$3,0,0,'Données projet'!$E$9+1,1))-AVERAGE(OFFSET($H$3,0,0,'Données projet'!$E$9+1,1))</f>
        <v>463.16285713357729</v>
      </c>
      <c r="T51" s="59">
        <f t="shared" si="34"/>
        <v>525.72239370489785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7.2999999999999972</v>
      </c>
      <c r="AI51" s="13">
        <f>IF('Données projet'!$A$62&gt;35,AI50+AH51-AQ50,IF(A51&lt;'Données projet'!$A$62,$AF$205^A51,IF(A51='Données projet'!$A$62,'Données projet'!$B$62,AI50+AH51-AQ50)))</f>
        <v>359.30000000000024</v>
      </c>
      <c r="AJ51" s="13">
        <f>AI51*VLOOKUP('Données projet'!$B$10,Paramètres!$A$1:$I$89,3,0)*VLOOKUP('Données projet'!$B$10,Paramètres!$A$1:$I$89,5,0)</f>
        <v>214.86140000000015</v>
      </c>
      <c r="AK51" s="13">
        <f t="shared" si="35"/>
        <v>52.996504799916742</v>
      </c>
      <c r="AL51" s="20">
        <f t="shared" si="4"/>
        <v>466.51918419318849</v>
      </c>
      <c r="AM51" s="59">
        <f t="shared" si="5"/>
        <v>720.27905287885619</v>
      </c>
      <c r="AN51" s="59">
        <f ca="1">AVERAGE(OFFSET($AM$3,0,0,'Données projet'!$E$10+1,1))-AVERAGE(OFFSET($H$3,0,0,'Données projet'!$E$10+1,1))</f>
        <v>336.28176557459966</v>
      </c>
      <c r="AO51" s="59">
        <f t="shared" si="36"/>
        <v>357.30155664292317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20.554618552545325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7.8830008952337952E-2</v>
      </c>
      <c r="AX51" s="21">
        <f t="shared" si="6"/>
        <v>20.633448561497662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7.8</v>
      </c>
      <c r="N52" s="13">
        <f>IF('Données projet'!$A$36&gt;35,N51+M52-V51,IF(A52&lt;'Données projet'!$A$36,$K$205^A52,IF(A52='Données projet'!$A$36,'Données projet'!$B$36,N51+M52-V51)))</f>
        <v>633.19999999999948</v>
      </c>
      <c r="O52" s="13">
        <f>N52*VLOOKUP('Données projet'!$B$9,Paramètres!$A$1:$I$89,3,0)*VLOOKUP('Données projet'!$B$9,Paramètres!$A$1:$I$89,5,0)</f>
        <v>331.89811199999974</v>
      </c>
      <c r="P52" s="13">
        <f t="shared" si="33"/>
        <v>77.823702761503924</v>
      </c>
      <c r="Q52" s="20">
        <f t="shared" si="53"/>
        <v>713.5988273762855</v>
      </c>
      <c r="R52" s="59">
        <f t="shared" si="0"/>
        <v>968.04520720057747</v>
      </c>
      <c r="S52" s="59">
        <f ca="1">AVERAGE(OFFSET($R$3,0,0,'Données projet'!$E$9+1,1))-AVERAGE(OFFSET($H$3,0,0,'Données projet'!$E$9+1,1))</f>
        <v>463.16285713357729</v>
      </c>
      <c r="T52" s="59">
        <f t="shared" si="34"/>
        <v>525.72239370489785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7.2999999999999972</v>
      </c>
      <c r="AI52" s="13">
        <f>IF('Données projet'!$A$62&gt;35,AI51+AH52-AQ51,IF(A52&lt;'Données projet'!$A$62,$AF$205^A52,IF(A52='Données projet'!$A$62,'Données projet'!$B$62,AI51+AH52-AQ51)))</f>
        <v>366.60000000000025</v>
      </c>
      <c r="AJ52" s="13">
        <f>AI52*VLOOKUP('Données projet'!$B$10,Paramètres!$A$1:$I$89,3,0)*VLOOKUP('Données projet'!$B$10,Paramètres!$A$1:$I$89,5,0)</f>
        <v>219.22680000000014</v>
      </c>
      <c r="AK52" s="13">
        <f t="shared" si="35"/>
        <v>53.946800101493466</v>
      </c>
      <c r="AL52" s="20">
        <f t="shared" si="4"/>
        <v>475.77735351010136</v>
      </c>
      <c r="AM52" s="59">
        <f t="shared" si="5"/>
        <v>730.22373333439327</v>
      </c>
      <c r="AN52" s="59">
        <f ca="1">AVERAGE(OFFSET($AM$3,0,0,'Données projet'!$E$10+1,1))-AVERAGE(OFFSET($H$3,0,0,'Données projet'!$E$10+1,1))</f>
        <v>336.28176557459966</v>
      </c>
      <c r="AO52" s="59">
        <f t="shared" si="36"/>
        <v>357.30155664292317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20.151555019809294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5.5741233891194418E-2</v>
      </c>
      <c r="AX52" s="21">
        <f t="shared" si="6"/>
        <v>20.207296253700488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641</v>
      </c>
      <c r="L53" s="12">
        <f>VLOOKUP(A53,'Données projet'!$A$35:$I$55,9,0)</f>
        <v>7.8</v>
      </c>
      <c r="M53" s="12">
        <f t="array" ref="M53">INDEX(L:L,MIN(IF(ISNUMBER(L53:L249),ROW(L53:L249),"")))</f>
        <v>7.8</v>
      </c>
      <c r="N53" s="13">
        <f>IF('Données projet'!$A$36&gt;35,N52+M53-V52,IF(A53&lt;'Données projet'!$A$36,$K$205^A53,IF(A53='Données projet'!$A$36,'Données projet'!$B$36,N52+M53-V52)))</f>
        <v>640.99999999999943</v>
      </c>
      <c r="O53" s="13">
        <f>N53*VLOOKUP('Données projet'!$B$9,Paramètres!$A$1:$I$89,3,0)*VLOOKUP('Données projet'!$B$9,Paramètres!$A$1:$I$89,5,0)</f>
        <v>335.98655999999977</v>
      </c>
      <c r="P53" s="13">
        <f t="shared" si="33"/>
        <v>78.670172121922349</v>
      </c>
      <c r="Q53" s="20">
        <f t="shared" si="53"/>
        <v>722.19380844568104</v>
      </c>
      <c r="R53" s="59">
        <f t="shared" si="0"/>
        <v>977.31478997515114</v>
      </c>
      <c r="S53" s="59">
        <f ca="1">AVERAGE(OFFSET($R$3,0,0,'Données projet'!$E$9+1,1))-AVERAGE(OFFSET($H$3,0,0,'Données projet'!$E$9+1,1))</f>
        <v>463.16285713357729</v>
      </c>
      <c r="T53" s="59">
        <f t="shared" si="34"/>
        <v>525.72239370489785</v>
      </c>
      <c r="U53" s="15">
        <f>IF(ISNA(VLOOKUP(A53,'Données projet'!$A$35:$I$55,3,0)),0,VLOOKUP(A53,'Données projet'!$A$35:$I$55,3,0))</f>
        <v>10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7.2999999999999972</v>
      </c>
      <c r="AI53" s="13">
        <f>IF('Données projet'!$A$62&gt;35,AI52+AH53-AQ52,IF(A53&lt;'Données projet'!$A$62,$AF$205^A53,IF(A53='Données projet'!$A$62,'Données projet'!$B$62,AI52+AH53-AQ52)))</f>
        <v>373.90000000000026</v>
      </c>
      <c r="AJ53" s="13">
        <f>AI53*VLOOKUP('Données projet'!$B$10,Paramètres!$A$1:$I$89,3,0)*VLOOKUP('Données projet'!$B$10,Paramètres!$A$1:$I$89,5,0)</f>
        <v>223.59220000000019</v>
      </c>
      <c r="AK53" s="13">
        <f t="shared" si="35"/>
        <v>54.894895167980749</v>
      </c>
      <c r="AL53" s="20">
        <f t="shared" si="4"/>
        <v>485.03169075090017</v>
      </c>
      <c r="AM53" s="59">
        <f t="shared" si="5"/>
        <v>740.15267228037033</v>
      </c>
      <c r="AN53" s="59">
        <f ca="1">AVERAGE(OFFSET($AM$3,0,0,'Données projet'!$E$10+1,1))-AVERAGE(OFFSET($H$3,0,0,'Données projet'!$E$10+1,1))</f>
        <v>336.28176557459966</v>
      </c>
      <c r="AO53" s="59">
        <f t="shared" si="36"/>
        <v>357.30155664292317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19.756395317105738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3.9415004476168983E-2</v>
      </c>
      <c r="AX53" s="21">
        <f t="shared" si="6"/>
        <v>19.795810321581907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</v>
      </c>
      <c r="N54" s="13">
        <f>IF('Données projet'!$A$36&gt;35,N53+M54-V53,IF(A54&lt;'Données projet'!$A$36,$K$205^A54,IF(A54='Données projet'!$A$36,'Données projet'!$B$36,N53+M54-V53)))</f>
        <v>646.79999999999939</v>
      </c>
      <c r="O54" s="13">
        <f>N54*VLOOKUP('Données projet'!$B$9,Paramètres!$A$1:$I$89,3,0)*VLOOKUP('Données projet'!$B$9,Paramètres!$A$1:$I$89,5,0)</f>
        <v>339.02668799999969</v>
      </c>
      <c r="P54" s="13">
        <f t="shared" si="33"/>
        <v>79.298820460843999</v>
      </c>
      <c r="Q54" s="20">
        <f t="shared" si="53"/>
        <v>728.58359390263615</v>
      </c>
      <c r="R54" s="59">
        <f t="shared" si="0"/>
        <v>984.36747430588298</v>
      </c>
      <c r="S54" s="59">
        <f ca="1">AVERAGE(OFFSET($R$3,0,0,'Données projet'!$E$9+1,1))-AVERAGE(OFFSET($H$3,0,0,'Données projet'!$E$9+1,1))</f>
        <v>463.16285713357729</v>
      </c>
      <c r="T54" s="59">
        <f t="shared" si="34"/>
        <v>525.72239370489785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7.2999999999999972</v>
      </c>
      <c r="AI54" s="13">
        <f>IF('Données projet'!$A$62&gt;35,AI53+AH54-AQ53,IF(A54&lt;'Données projet'!$A$62,$AF$205^A54,IF(A54='Données projet'!$A$62,'Données projet'!$B$62,AI53+AH54-AQ53)))</f>
        <v>381.20000000000027</v>
      </c>
      <c r="AJ54" s="13">
        <f>AI54*VLOOKUP('Données projet'!$B$10,Paramètres!$A$1:$I$89,3,0)*VLOOKUP('Données projet'!$B$10,Paramètres!$A$1:$I$89,5,0)</f>
        <v>227.95760000000018</v>
      </c>
      <c r="AK54" s="13">
        <f t="shared" si="35"/>
        <v>55.840837908542632</v>
      </c>
      <c r="AL54" s="20">
        <f t="shared" si="4"/>
        <v>494.28227935737868</v>
      </c>
      <c r="AM54" s="59">
        <f t="shared" si="5"/>
        <v>750.06615976062551</v>
      </c>
      <c r="AN54" s="59">
        <f ca="1">AVERAGE(OFFSET($AM$3,0,0,'Données projet'!$E$10+1,1))-AVERAGE(OFFSET($H$3,0,0,'Données projet'!$E$10+1,1))</f>
        <v>336.28176557459966</v>
      </c>
      <c r="AO54" s="59">
        <f t="shared" si="36"/>
        <v>357.30155664292317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19.368984455148578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2.7870616945597212E-2</v>
      </c>
      <c r="AX54" s="21">
        <f t="shared" si="6"/>
        <v>19.396855072094176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</v>
      </c>
      <c r="N55" s="13">
        <f>IF('Données projet'!$A$36&gt;35,N54+M55-V54,IF(A55&lt;'Données projet'!$A$36,$K$205^A55,IF(A55='Données projet'!$A$36,'Données projet'!$B$36,N54+M55-V54)))</f>
        <v>652.59999999999934</v>
      </c>
      <c r="O55" s="13">
        <f>N55*VLOOKUP('Données projet'!$B$9,Paramètres!$A$1:$I$89,3,0)*VLOOKUP('Données projet'!$B$9,Paramètres!$A$1:$I$89,5,0)</f>
        <v>342.06681599999968</v>
      </c>
      <c r="P55" s="13">
        <f t="shared" si="33"/>
        <v>79.92681295922992</v>
      </c>
      <c r="Q55" s="20">
        <f t="shared" si="53"/>
        <v>734.97223710399157</v>
      </c>
      <c r="R55" s="59">
        <f t="shared" si="0"/>
        <v>991.40751656757493</v>
      </c>
      <c r="S55" s="59">
        <f ca="1">AVERAGE(OFFSET($R$3,0,0,'Données projet'!$E$9+1,1))-AVERAGE(OFFSET($H$3,0,0,'Données projet'!$E$9+1,1))</f>
        <v>463.16285713357729</v>
      </c>
      <c r="T55" s="59">
        <f t="shared" si="34"/>
        <v>525.72239370489785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7.2999999999999972</v>
      </c>
      <c r="AI55" s="13">
        <f>IF('Données projet'!$A$62&gt;35,AI54+AH55-AQ54,IF(A55&lt;'Données projet'!$A$62,$AF$205^A55,IF(A55='Données projet'!$A$62,'Données projet'!$B$62,AI54+AH55-AQ54)))</f>
        <v>388.50000000000028</v>
      </c>
      <c r="AJ55" s="13">
        <f>AI55*VLOOKUP('Données projet'!$B$10,Paramètres!$A$1:$I$89,3,0)*VLOOKUP('Données projet'!$B$10,Paramètres!$A$1:$I$89,5,0)</f>
        <v>232.32300000000021</v>
      </c>
      <c r="AK55" s="13">
        <f t="shared" si="35"/>
        <v>56.784674292431681</v>
      </c>
      <c r="AL55" s="20">
        <f t="shared" si="4"/>
        <v>503.52919939265217</v>
      </c>
      <c r="AM55" s="59">
        <f t="shared" si="5"/>
        <v>759.96447885623547</v>
      </c>
      <c r="AN55" s="59">
        <f ca="1">AVERAGE(OFFSET($AM$3,0,0,'Données projet'!$E$10+1,1))-AVERAGE(OFFSET($H$3,0,0,'Données projet'!$E$10+1,1))</f>
        <v>336.28176557459966</v>
      </c>
      <c r="AO55" s="59">
        <f t="shared" si="36"/>
        <v>357.30155664292317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18.989170483897105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1.9707502238084491E-2</v>
      </c>
      <c r="AX55" s="21">
        <f t="shared" si="6"/>
        <v>19.00887798613519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</v>
      </c>
      <c r="N56" s="13">
        <f>IF('Données projet'!$A$36&gt;35,N55+M56-V55,IF(A56&lt;'Données projet'!$A$36,$K$205^A56,IF(A56='Données projet'!$A$36,'Données projet'!$B$36,N55+M56-V55)))</f>
        <v>658.3999999999993</v>
      </c>
      <c r="O56" s="13">
        <f>N56*VLOOKUP('Données projet'!$B$9,Paramètres!$A$1:$I$89,3,0)*VLOOKUP('Données projet'!$B$9,Paramètres!$A$1:$I$89,5,0)</f>
        <v>345.10694399999966</v>
      </c>
      <c r="P56" s="13">
        <f t="shared" si="33"/>
        <v>80.554156121159963</v>
      </c>
      <c r="Q56" s="20">
        <f t="shared" si="53"/>
        <v>741.35974937768617</v>
      </c>
      <c r="R56" s="59">
        <f t="shared" si="0"/>
        <v>998.43512758421934</v>
      </c>
      <c r="S56" s="59">
        <f ca="1">AVERAGE(OFFSET($R$3,0,0,'Données projet'!$E$9+1,1))-AVERAGE(OFFSET($H$3,0,0,'Données projet'!$E$9+1,1))</f>
        <v>463.16285713357729</v>
      </c>
      <c r="T56" s="59">
        <f t="shared" si="34"/>
        <v>525.72239370489785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7.2999999999999972</v>
      </c>
      <c r="AI56" s="13">
        <f>IF('Données projet'!$A$62&gt;35,AI55+AH56-AQ55,IF(A56&lt;'Données projet'!$A$62,$AF$205^A56,IF(A56='Données projet'!$A$62,'Données projet'!$B$62,AI55+AH56-AQ55)))</f>
        <v>395.8000000000003</v>
      </c>
      <c r="AJ56" s="13">
        <f>AI56*VLOOKUP('Données projet'!$B$10,Paramètres!$A$1:$I$89,3,0)*VLOOKUP('Données projet'!$B$10,Paramètres!$A$1:$I$89,5,0)</f>
        <v>236.6884000000002</v>
      </c>
      <c r="AK56" s="13">
        <f t="shared" si="35"/>
        <v>57.726448462488456</v>
      </c>
      <c r="AL56" s="20">
        <f t="shared" si="4"/>
        <v>512.77252773883436</v>
      </c>
      <c r="AM56" s="59">
        <f t="shared" si="5"/>
        <v>769.84790594536753</v>
      </c>
      <c r="AN56" s="59">
        <f ca="1">AVERAGE(OFFSET($AM$3,0,0,'Données projet'!$E$10+1,1))-AVERAGE(OFFSET($H$3,0,0,'Données projet'!$E$10+1,1))</f>
        <v>336.28176557459966</v>
      </c>
      <c r="AO56" s="59">
        <f t="shared" si="36"/>
        <v>357.30155664292317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18.616804432958226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1.3935308472798606E-2</v>
      </c>
      <c r="AX56" s="21">
        <f t="shared" si="6"/>
        <v>18.630739741431025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5.8</v>
      </c>
      <c r="N57" s="13">
        <f>IF('Données projet'!$A$36&gt;35,N56+M57-V56,IF(A57&lt;'Données projet'!$A$36,$K$205^A57,IF(A57='Données projet'!$A$36,'Données projet'!$B$36,N56+M57-V56)))</f>
        <v>664.19999999999925</v>
      </c>
      <c r="O57" s="13">
        <f>N57*VLOOKUP('Données projet'!$B$9,Paramètres!$A$1:$I$89,3,0)*VLOOKUP('Données projet'!$B$9,Paramètres!$A$1:$I$89,5,0)</f>
        <v>348.14707199999964</v>
      </c>
      <c r="P57" s="13">
        <f t="shared" si="33"/>
        <v>81.18085632951032</v>
      </c>
      <c r="Q57" s="20">
        <f t="shared" si="53"/>
        <v>747.74614184056315</v>
      </c>
      <c r="R57" s="59">
        <f t="shared" si="0"/>
        <v>1005.4505145079024</v>
      </c>
      <c r="S57" s="59">
        <f ca="1">AVERAGE(OFFSET($R$3,0,0,'Données projet'!$E$9+1,1))-AVERAGE(OFFSET($H$3,0,0,'Données projet'!$E$9+1,1))</f>
        <v>463.16285713357729</v>
      </c>
      <c r="T57" s="59">
        <f t="shared" si="34"/>
        <v>525.72239370489785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403.09999999999997</v>
      </c>
      <c r="AG57" s="12">
        <f>VLOOKUP(A57,'Données projet'!$A$61:$I$81,9,0)</f>
        <v>7.2999999999999972</v>
      </c>
      <c r="AH57" s="12">
        <f t="array" ref="AH57">INDEX(AG:AG,MIN(IF(ISNUMBER(AG57:AG253),ROW(AG57:AG253),"")))</f>
        <v>7.2999999999999972</v>
      </c>
      <c r="AI57" s="13">
        <f>IF('Données projet'!$A$62&gt;35,AI56+AH57-AQ56,IF(A57&lt;'Données projet'!$A$62,$AF$205^A57,IF(A57='Données projet'!$A$62,'Données projet'!$B$62,AI56+AH57-AQ56)))</f>
        <v>403.10000000000031</v>
      </c>
      <c r="AJ57" s="13">
        <f>AI57*VLOOKUP('Données projet'!$B$10,Paramètres!$A$1:$I$89,3,0)*VLOOKUP('Données projet'!$B$10,Paramètres!$A$1:$I$89,5,0)</f>
        <v>241.05380000000022</v>
      </c>
      <c r="AK57" s="13">
        <f t="shared" si="35"/>
        <v>58.666202840030898</v>
      </c>
      <c r="AL57" s="20">
        <f t="shared" si="4"/>
        <v>522.01233827972089</v>
      </c>
      <c r="AM57" s="59">
        <f t="shared" si="5"/>
        <v>779.71671094706016</v>
      </c>
      <c r="AN57" s="59">
        <f ca="1">AVERAGE(OFFSET($AM$3,0,0,'Données projet'!$E$10+1,1))-AVERAGE(OFFSET($H$3,0,0,'Données projet'!$E$10+1,1))</f>
        <v>336.28176557459966</v>
      </c>
      <c r="AO57" s="59">
        <f t="shared" si="36"/>
        <v>357.30155664292317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17.399999999999999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18.251740253157394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9.8537511190422457E-3</v>
      </c>
      <c r="AX57" s="21">
        <f t="shared" si="6"/>
        <v>18.261594004276436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670</v>
      </c>
      <c r="L58" s="12">
        <f>VLOOKUP(A58,'Données projet'!$A$35:$I$55,9,0)</f>
        <v>5.8</v>
      </c>
      <c r="M58" s="12">
        <f t="array" ref="M58">INDEX(L:L,MIN(IF(ISNUMBER(L58:L254),ROW(L58:L254),"")))</f>
        <v>5.8</v>
      </c>
      <c r="N58" s="13">
        <f>IF('Données projet'!$A$36&gt;35,N57+M58-V57,IF(A58&lt;'Données projet'!$A$36,$K$205^A58,IF(A58='Données projet'!$A$36,'Données projet'!$B$36,N57+M58-V57)))</f>
        <v>669.9999999999992</v>
      </c>
      <c r="O58" s="13">
        <f>N58*VLOOKUP('Données projet'!$B$9,Paramètres!$A$1:$I$89,3,0)*VLOOKUP('Données projet'!$B$9,Paramètres!$A$1:$I$89,5,0)</f>
        <v>351.18719999999962</v>
      </c>
      <c r="P58" s="13">
        <f t="shared" si="33"/>
        <v>81.80691984925032</v>
      </c>
      <c r="Q58" s="20">
        <f t="shared" si="53"/>
        <v>754.13142540411025</v>
      </c>
      <c r="R58" s="59">
        <f t="shared" si="0"/>
        <v>1012.4538808845816</v>
      </c>
      <c r="S58" s="59">
        <f ca="1">AVERAGE(OFFSET($R$3,0,0,'Données projet'!$E$9+1,1))-AVERAGE(OFFSET($H$3,0,0,'Données projet'!$E$9+1,1))</f>
        <v>463.16285713357729</v>
      </c>
      <c r="T58" s="59">
        <f t="shared" si="34"/>
        <v>525.72239370489785</v>
      </c>
      <c r="U58" s="15">
        <f>IF(ISNA(VLOOKUP(A58,'Données projet'!$A$35:$I$55,3,0)),0,VLOOKUP(A58,'Données projet'!$A$35:$I$55,3,0))</f>
        <v>11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3.0375000000000085</v>
      </c>
      <c r="AI58" s="13">
        <f>IF('Données projet'!$A$62&gt;35,AI57+AH58-AQ57,IF(A58&lt;'Données projet'!$A$62,$AF$205^A58,IF(A58='Données projet'!$A$62,'Données projet'!$B$62,AI57+AH58-AQ57)))</f>
        <v>388.73750000000035</v>
      </c>
      <c r="AJ58" s="13">
        <f>AI58*VLOOKUP('Données projet'!$B$10,Paramètres!$A$1:$I$89,3,0)*VLOOKUP('Données projet'!$B$10,Paramètres!$A$1:$I$89,5,0)</f>
        <v>232.46502500000025</v>
      </c>
      <c r="AK58" s="13">
        <f t="shared" si="35"/>
        <v>56.81534642612386</v>
      </c>
      <c r="AL58" s="20">
        <f t="shared" si="4"/>
        <v>503.82998023383288</v>
      </c>
      <c r="AM58" s="59">
        <f t="shared" si="5"/>
        <v>762.15243571430426</v>
      </c>
      <c r="AN58" s="59">
        <f ca="1">AVERAGE(OFFSET($AM$3,0,0,'Données projet'!$E$10+1,1))-AVERAGE(OFFSET($H$3,0,0,'Données projet'!$E$10+1,1))</f>
        <v>336.28176557459966</v>
      </c>
      <c r="AO58" s="59">
        <f t="shared" si="36"/>
        <v>357.30155664292317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17.893834759255292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6.9676542363993031E-3</v>
      </c>
      <c r="AX58" s="21">
        <f t="shared" si="6"/>
        <v>17.900802413491689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4.4000000000000004</v>
      </c>
      <c r="N59" s="13">
        <f>IF('Données projet'!$A$36&gt;35,N58+M59-V58,IF(A59&lt;'Données projet'!$A$36,$K$205^A59,IF(A59='Données projet'!$A$36,'Données projet'!$B$36,N58+M59-V58)))</f>
        <v>674.39999999999918</v>
      </c>
      <c r="O59" s="13">
        <f>N59*VLOOKUP('Données projet'!$B$9,Paramètres!$A$1:$I$89,3,0)*VLOOKUP('Données projet'!$B$9,Paramètres!$A$1:$I$89,5,0)</f>
        <v>353.49350399999963</v>
      </c>
      <c r="P59" s="13">
        <f t="shared" si="33"/>
        <v>82.281443653601542</v>
      </c>
      <c r="Q59" s="20">
        <f t="shared" si="53"/>
        <v>758.9747004966888</v>
      </c>
      <c r="R59" s="59">
        <f t="shared" si="0"/>
        <v>1017.9045164353106</v>
      </c>
      <c r="S59" s="59">
        <f ca="1">AVERAGE(OFFSET($R$3,0,0,'Données projet'!$E$9+1,1))-AVERAGE(OFFSET($H$3,0,0,'Données projet'!$E$9+1,1))</f>
        <v>463.16285713357729</v>
      </c>
      <c r="T59" s="59">
        <f t="shared" si="34"/>
        <v>525.72239370489785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3.0375000000000085</v>
      </c>
      <c r="AI59" s="13">
        <f>IF('Données projet'!$A$62&gt;35,AI58+AH59-AQ58,IF(A59&lt;'Données projet'!$A$62,$AF$205^A59,IF(A59='Données projet'!$A$62,'Données projet'!$B$62,AI58+AH59-AQ58)))</f>
        <v>391.77500000000038</v>
      </c>
      <c r="AJ59" s="13">
        <f>AI59*VLOOKUP('Données projet'!$B$10,Paramètres!$A$1:$I$89,3,0)*VLOOKUP('Données projet'!$B$10,Paramètres!$A$1:$I$89,5,0)</f>
        <v>234.28145000000023</v>
      </c>
      <c r="AK59" s="13">
        <f t="shared" si="35"/>
        <v>57.207435050889636</v>
      </c>
      <c r="AL59" s="20">
        <f t="shared" si="4"/>
        <v>507.67647479696649</v>
      </c>
      <c r="AM59" s="59">
        <f t="shared" si="5"/>
        <v>766.60629073558823</v>
      </c>
      <c r="AN59" s="59">
        <f ca="1">AVERAGE(OFFSET($AM$3,0,0,'Données projet'!$E$10+1,1))-AVERAGE(OFFSET($H$3,0,0,'Données projet'!$E$10+1,1))</f>
        <v>336.28176557459966</v>
      </c>
      <c r="AO59" s="59">
        <f t="shared" si="36"/>
        <v>357.30155664292317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17.542947573787814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4.9268755595211228E-3</v>
      </c>
      <c r="AX59" s="21">
        <f t="shared" si="6"/>
        <v>17.547874449347336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4.4000000000000004</v>
      </c>
      <c r="N60" s="13">
        <f>IF('Données projet'!$A$36&gt;35,N59+M60-V59,IF(A60&lt;'Données projet'!$A$36,$K$205^A60,IF(A60='Données projet'!$A$36,'Données projet'!$B$36,N59+M60-V59)))</f>
        <v>678.79999999999916</v>
      </c>
      <c r="O60" s="13">
        <f>N60*VLOOKUP('Données projet'!$B$9,Paramètres!$A$1:$I$89,3,0)*VLOOKUP('Données projet'!$B$9,Paramètres!$A$1:$I$89,5,0)</f>
        <v>355.79980799999959</v>
      </c>
      <c r="P60" s="13">
        <f t="shared" si="33"/>
        <v>82.755607224152129</v>
      </c>
      <c r="Q60" s="20">
        <f t="shared" si="53"/>
        <v>763.81734818206417</v>
      </c>
      <c r="R60" s="59">
        <f t="shared" si="0"/>
        <v>1023.3439882327418</v>
      </c>
      <c r="S60" s="59">
        <f ca="1">AVERAGE(OFFSET($R$3,0,0,'Données projet'!$E$9+1,1))-AVERAGE(OFFSET($H$3,0,0,'Données projet'!$E$9+1,1))</f>
        <v>463.16285713357729</v>
      </c>
      <c r="T60" s="59">
        <f t="shared" si="34"/>
        <v>525.72239370489785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3.0375000000000085</v>
      </c>
      <c r="AI60" s="13">
        <f>IF('Données projet'!$A$62&gt;35,AI59+AH60-AQ59,IF(A60&lt;'Données projet'!$A$62,$AF$205^A60,IF(A60='Données projet'!$A$62,'Données projet'!$B$62,AI59+AH60-AQ59)))</f>
        <v>394.8125000000004</v>
      </c>
      <c r="AJ60" s="13">
        <f>AI60*VLOOKUP('Données projet'!$B$10,Paramètres!$A$1:$I$89,3,0)*VLOOKUP('Données projet'!$B$10,Paramètres!$A$1:$I$89,5,0)</f>
        <v>236.09787500000024</v>
      </c>
      <c r="AK60" s="13">
        <f t="shared" si="35"/>
        <v>57.599169983491038</v>
      </c>
      <c r="AL60" s="20">
        <f t="shared" si="4"/>
        <v>511.52235334624737</v>
      </c>
      <c r="AM60" s="59">
        <f t="shared" si="5"/>
        <v>771.04899339692508</v>
      </c>
      <c r="AN60" s="59">
        <f ca="1">AVERAGE(OFFSET($AM$3,0,0,'Données projet'!$E$10+1,1))-AVERAGE(OFFSET($H$3,0,0,'Données projet'!$E$10+1,1))</f>
        <v>336.28176557459966</v>
      </c>
      <c r="AO60" s="59">
        <f t="shared" si="36"/>
        <v>357.30155664292317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17.198941072007305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3.4838271181996516E-3</v>
      </c>
      <c r="AX60" s="21">
        <f t="shared" si="6"/>
        <v>17.202424899125504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4.4000000000000004</v>
      </c>
      <c r="N61" s="13">
        <f>IF('Données projet'!$A$36&gt;35,N60+M61-V60,IF(A61&lt;'Données projet'!$A$36,$K$205^A61,IF(A61='Données projet'!$A$36,'Données projet'!$B$36,N60+M61-V60)))</f>
        <v>683.19999999999914</v>
      </c>
      <c r="O61" s="13">
        <f>N61*VLOOKUP('Données projet'!$B$9,Paramètres!$A$1:$I$89,3,0)*VLOOKUP('Données projet'!$B$9,Paramètres!$A$1:$I$89,5,0)</f>
        <v>358.1061119999996</v>
      </c>
      <c r="P61" s="13">
        <f t="shared" si="33"/>
        <v>83.229413166800072</v>
      </c>
      <c r="Q61" s="20">
        <f t="shared" si="53"/>
        <v>768.65937299884274</v>
      </c>
      <c r="R61" s="59">
        <f t="shared" si="0"/>
        <v>1028.7724835975312</v>
      </c>
      <c r="S61" s="59">
        <f ca="1">AVERAGE(OFFSET($R$3,0,0,'Données projet'!$E$9+1,1))-AVERAGE(OFFSET($H$3,0,0,'Données projet'!$E$9+1,1))</f>
        <v>463.16285713357729</v>
      </c>
      <c r="T61" s="59">
        <f t="shared" si="34"/>
        <v>525.72239370489785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3.0375000000000085</v>
      </c>
      <c r="AI61" s="13">
        <f>IF('Données projet'!$A$62&gt;35,AI60+AH61-AQ60,IF(A61&lt;'Données projet'!$A$62,$AF$205^A61,IF(A61='Données projet'!$A$62,'Données projet'!$B$62,AI60+AH61-AQ60)))</f>
        <v>397.85000000000042</v>
      </c>
      <c r="AJ61" s="13">
        <f>AI61*VLOOKUP('Données projet'!$B$10,Paramètres!$A$1:$I$89,3,0)*VLOOKUP('Données projet'!$B$10,Paramètres!$A$1:$I$89,5,0)</f>
        <v>237.91430000000025</v>
      </c>
      <c r="AK61" s="13">
        <f t="shared" si="35"/>
        <v>57.990554260508603</v>
      </c>
      <c r="AL61" s="20">
        <f t="shared" si="4"/>
        <v>515.3676211703862</v>
      </c>
      <c r="AM61" s="59">
        <f t="shared" si="5"/>
        <v>775.48073176907462</v>
      </c>
      <c r="AN61" s="59">
        <f ca="1">AVERAGE(OFFSET($AM$3,0,0,'Données projet'!$E$10+1,1))-AVERAGE(OFFSET($H$3,0,0,'Données projet'!$E$10+1,1))</f>
        <v>336.28176557459966</v>
      </c>
      <c r="AO61" s="59">
        <f t="shared" si="36"/>
        <v>357.30155664292317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16.861680327903464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2.4634377797605614E-3</v>
      </c>
      <c r="AX61" s="21">
        <f t="shared" si="6"/>
        <v>16.864143765683224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4.4000000000000004</v>
      </c>
      <c r="N62" s="13">
        <f>IF('Données projet'!$A$36&gt;35,N61+M62-V61,IF(A62&lt;'Données projet'!$A$36,$K$205^A62,IF(A62='Données projet'!$A$36,'Données projet'!$B$36,N61+M62-V61)))</f>
        <v>687.59999999999911</v>
      </c>
      <c r="O62" s="13">
        <f>N62*VLOOKUP('Données projet'!$B$9,Paramètres!$A$1:$I$89,3,0)*VLOOKUP('Données projet'!$B$9,Paramètres!$A$1:$I$89,5,0)</f>
        <v>360.41241599999955</v>
      </c>
      <c r="P62" s="13">
        <f t="shared" si="33"/>
        <v>83.702864051936757</v>
      </c>
      <c r="Q62" s="20">
        <f t="shared" si="53"/>
        <v>773.50077942378914</v>
      </c>
      <c r="R62" s="59">
        <f t="shared" si="0"/>
        <v>1034.190186617632</v>
      </c>
      <c r="S62" s="59">
        <f ca="1">AVERAGE(OFFSET($R$3,0,0,'Données projet'!$E$9+1,1))-AVERAGE(OFFSET($H$3,0,0,'Données projet'!$E$9+1,1))</f>
        <v>463.16285713357729</v>
      </c>
      <c r="T62" s="59">
        <f t="shared" si="34"/>
        <v>525.72239370489785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3.0375000000000085</v>
      </c>
      <c r="AI62" s="13">
        <f>IF('Données projet'!$A$62&gt;35,AI61+AH62-AQ61,IF(A62&lt;'Données projet'!$A$62,$AF$205^A62,IF(A62='Données projet'!$A$62,'Données projet'!$B$62,AI61+AH62-AQ61)))</f>
        <v>400.88750000000044</v>
      </c>
      <c r="AJ62" s="13">
        <f>AI62*VLOOKUP('Données projet'!$B$10,Paramètres!$A$1:$I$89,3,0)*VLOOKUP('Données projet'!$B$10,Paramètres!$A$1:$I$89,5,0)</f>
        <v>239.73072500000029</v>
      </c>
      <c r="AK62" s="13">
        <f t="shared" si="35"/>
        <v>58.381590869477499</v>
      </c>
      <c r="AL62" s="20">
        <f t="shared" si="4"/>
        <v>519.2122834726739</v>
      </c>
      <c r="AM62" s="59">
        <f t="shared" si="5"/>
        <v>779.90169066651674</v>
      </c>
      <c r="AN62" s="59">
        <f ca="1">AVERAGE(OFFSET($AM$3,0,0,'Données projet'!$E$10+1,1))-AVERAGE(OFFSET($H$3,0,0,'Données projet'!$E$10+1,1))</f>
        <v>336.28176557459966</v>
      </c>
      <c r="AO62" s="59">
        <f t="shared" si="36"/>
        <v>357.30155664292317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16.531033061282756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1.7419135590998258E-3</v>
      </c>
      <c r="AX62" s="21">
        <f t="shared" si="6"/>
        <v>16.532774974841857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692</v>
      </c>
      <c r="L63" s="12">
        <f>VLOOKUP(A63,'Données projet'!$A$35:$I$55,9,0)</f>
        <v>4.4000000000000004</v>
      </c>
      <c r="M63" s="12">
        <f t="array" ref="M63">INDEX(L:L,MIN(IF(ISNUMBER(L63:L259),ROW(L63:L259),"")))</f>
        <v>4.4000000000000004</v>
      </c>
      <c r="N63" s="13">
        <f>IF('Données projet'!$A$36&gt;35,N62+M63-V62,IF(A63&lt;'Données projet'!$A$36,$K$205^A63,IF(A63='Données projet'!$A$36,'Données projet'!$B$36,N62+M63-V62)))</f>
        <v>691.99999999999909</v>
      </c>
      <c r="O63" s="13">
        <f>N63*VLOOKUP('Données projet'!$B$9,Paramètres!$A$1:$I$89,3,0)*VLOOKUP('Données projet'!$B$9,Paramètres!$A$1:$I$89,5,0)</f>
        <v>362.71871999999956</v>
      </c>
      <c r="P63" s="13">
        <f t="shared" si="33"/>
        <v>84.175962415155411</v>
      </c>
      <c r="Q63" s="20">
        <f t="shared" si="53"/>
        <v>778.34157187306153</v>
      </c>
      <c r="R63" s="59">
        <f t="shared" si="0"/>
        <v>1039.597278204539</v>
      </c>
      <c r="S63" s="59">
        <f ca="1">AVERAGE(OFFSET($R$3,0,0,'Données projet'!$E$9+1,1))-AVERAGE(OFFSET($H$3,0,0,'Données projet'!$E$9+1,1))</f>
        <v>463.16285713357729</v>
      </c>
      <c r="T63" s="59">
        <f t="shared" si="34"/>
        <v>525.72239370489785</v>
      </c>
      <c r="U63" s="15">
        <f>IF(ISNA(VLOOKUP(A63,'Données projet'!$A$35:$I$55,3,0)),0,VLOOKUP(A63,'Données projet'!$A$35:$I$55,3,0))</f>
        <v>12</v>
      </c>
      <c r="V63" s="15">
        <f>IF(ISNA(VLOOKUP(A63,'Données projet'!$A$35:$I$55,4,0)),0,VLOOKUP(A63,'Données projet'!$A$35:$I$55,4,0))</f>
        <v>692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3.0375000000000085</v>
      </c>
      <c r="AI63" s="13">
        <f>IF('Données projet'!$A$62&gt;35,AI62+AH63-AQ62,IF(A63&lt;'Données projet'!$A$62,$AF$205^A63,IF(A63='Données projet'!$A$62,'Données projet'!$B$62,AI62+AH63-AQ62)))</f>
        <v>403.92500000000047</v>
      </c>
      <c r="AJ63" s="13">
        <f>AI63*VLOOKUP('Données projet'!$B$10,Paramètres!$A$1:$I$89,3,0)*VLOOKUP('Données projet'!$B$10,Paramètres!$A$1:$I$89,5,0)</f>
        <v>241.5471500000003</v>
      </c>
      <c r="AK63" s="13">
        <f t="shared" si="35"/>
        <v>58.772282750044901</v>
      </c>
      <c r="AL63" s="20">
        <f t="shared" si="4"/>
        <v>523.05634537299545</v>
      </c>
      <c r="AM63" s="59">
        <f t="shared" si="5"/>
        <v>784.31205170447288</v>
      </c>
      <c r="AN63" s="59">
        <f ca="1">AVERAGE(OFFSET($AM$3,0,0,'Données projet'!$E$10+1,1))-AVERAGE(OFFSET($H$3,0,0,'Données projet'!$E$10+1,1))</f>
        <v>336.28176557459966</v>
      </c>
      <c r="AO63" s="59">
        <f t="shared" si="36"/>
        <v>357.30155664292317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16.20686958588556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1.2317188898802807E-3</v>
      </c>
      <c r="AX63" s="21">
        <f t="shared" si="6"/>
        <v>16.20810130477544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-9.0949470177292824E-13</v>
      </c>
      <c r="O64" s="13">
        <f>N64*VLOOKUP('Données projet'!$B$9,Paramètres!$A$1:$I$89,3,0)*VLOOKUP('Données projet'!$B$9,Paramètres!$A$1:$I$89,5,0)</f>
        <v>-4.7672074288129813E-13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463.16285713357729</v>
      </c>
      <c r="T64" s="59">
        <f t="shared" si="34"/>
        <v>525.72239370489785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3.0375000000000085</v>
      </c>
      <c r="AI64" s="13">
        <f>IF('Données projet'!$A$62&gt;35,AI63+AH64-AQ63,IF(A64&lt;'Données projet'!$A$62,$AF$205^A64,IF(A64='Données projet'!$A$62,'Données projet'!$B$62,AI63+AH64-AQ63)))</f>
        <v>406.96250000000049</v>
      </c>
      <c r="AJ64" s="13">
        <f>AI64*VLOOKUP('Données projet'!$B$10,Paramètres!$A$1:$I$89,3,0)*VLOOKUP('Données projet'!$B$10,Paramètres!$A$1:$I$89,5,0)</f>
        <v>243.36357500000031</v>
      </c>
      <c r="AK64" s="13">
        <f t="shared" si="35"/>
        <v>59.162632795092129</v>
      </c>
      <c r="AL64" s="20">
        <f t="shared" si="4"/>
        <v>526.89981190978597</v>
      </c>
      <c r="AM64" s="59">
        <f t="shared" si="5"/>
        <v>788.71199335491531</v>
      </c>
      <c r="AN64" s="59">
        <f ca="1">AVERAGE(OFFSET($AM$3,0,0,'Données projet'!$E$10+1,1))-AVERAGE(OFFSET($H$3,0,0,'Données projet'!$E$10+1,1))</f>
        <v>336.28176557459966</v>
      </c>
      <c r="AO64" s="59">
        <f t="shared" si="36"/>
        <v>357.30155664292317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15.889062758520707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8.7095677954991289E-4</v>
      </c>
      <c r="AX64" s="21">
        <f t="shared" si="6"/>
        <v>15.889933715300257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-9.0949470177292824E-13</v>
      </c>
      <c r="O65" s="13">
        <f>N65*VLOOKUP('Données projet'!$B$9,Paramètres!$A$1:$I$89,3,0)*VLOOKUP('Données projet'!$B$9,Paramètres!$A$1:$I$89,5,0)</f>
        <v>-4.7672074288129813E-13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463.16285713357729</v>
      </c>
      <c r="T65" s="59">
        <f t="shared" si="34"/>
        <v>525.72239370489785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410.00000000000006</v>
      </c>
      <c r="AG65" s="12">
        <f>VLOOKUP(A65,'Données projet'!$A$61:$I$81,9,0)</f>
        <v>3.0375000000000085</v>
      </c>
      <c r="AH65" s="12">
        <f t="array" ref="AH65">INDEX(AG:AG,MIN(IF(ISNUMBER(AG65:AG261),ROW(AG65:AG261),"")))</f>
        <v>3.0375000000000085</v>
      </c>
      <c r="AI65" s="13">
        <f>IF('Données projet'!$A$62&gt;35,AI64+AH65-AQ64,IF(A65&lt;'Données projet'!$A$62,$AF$205^A65,IF(A65='Données projet'!$A$62,'Données projet'!$B$62,AI64+AH65-AQ64)))</f>
        <v>410.00000000000051</v>
      </c>
      <c r="AJ65" s="13">
        <f>AI65*VLOOKUP('Données projet'!$B$10,Paramètres!$A$1:$I$89,3,0)*VLOOKUP('Données projet'!$B$10,Paramètres!$A$1:$I$89,5,0)</f>
        <v>245.18000000000032</v>
      </c>
      <c r="AK65" s="13">
        <f t="shared" si="35"/>
        <v>59.552643851821543</v>
      </c>
      <c r="AL65" s="20">
        <f t="shared" si="4"/>
        <v>530.74268804192309</v>
      </c>
      <c r="AM65" s="59">
        <f t="shared" si="5"/>
        <v>793.10169100157441</v>
      </c>
      <c r="AN65" s="59">
        <f ca="1">AVERAGE(OFFSET($AM$3,0,0,'Données projet'!$E$10+1,1))-AVERAGE(OFFSET($H$3,0,0,'Données projet'!$E$10+1,1))</f>
        <v>336.28176557459966</v>
      </c>
      <c r="AO65" s="59">
        <f t="shared" si="36"/>
        <v>357.30155664292317</v>
      </c>
      <c r="AP65" s="15">
        <f>IF(ISNA(VLOOKUP(A65,'Données projet'!$A$61:$I$81,3,0)),0,VLOOKUP(A65,'Données projet'!$A$61:$I$81,3,0))</f>
        <v>10</v>
      </c>
      <c r="AQ65" s="15">
        <f>IF(ISNA(VLOOKUP(A65,'Données projet'!$A$61:$I$81,4,0)),0,VLOOKUP(A65,'Données projet'!$A$61:$I$81,4,0))</f>
        <v>410.00000000000006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15.577487929197455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6.1585944494014036E-4</v>
      </c>
      <c r="AX65" s="21">
        <f t="shared" si="6"/>
        <v>15.578103788642395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-9.0949470177292824E-13</v>
      </c>
      <c r="O66" s="13">
        <f>N66*VLOOKUP('Données projet'!$B$9,Paramètres!$A$1:$I$89,3,0)*VLOOKUP('Données projet'!$B$9,Paramètres!$A$1:$I$89,5,0)</f>
        <v>-4.7672074288129813E-13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463.16285713357729</v>
      </c>
      <c r="T66" s="59">
        <f t="shared" si="34"/>
        <v>525.72239370489785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4.5474735088646412E-13</v>
      </c>
      <c r="AJ66" s="13">
        <f>AI66*VLOOKUP('Données projet'!$B$10,Paramètres!$A$1:$I$89,3,0)*VLOOKUP('Données projet'!$B$10,Paramètres!$A$1:$I$89,5,0)</f>
        <v>2.7193891583010558E-13</v>
      </c>
      <c r="AK66" s="13">
        <f t="shared" si="35"/>
        <v>3.6362267729089988E-12</v>
      </c>
      <c r="AL66" s="20">
        <f t="shared" si="4"/>
        <v>6.8067219078872727E-12</v>
      </c>
      <c r="AM66" s="59">
        <f t="shared" si="5"/>
        <v>262.89633834341294</v>
      </c>
      <c r="AN66" s="59">
        <f ca="1">AVERAGE(OFFSET($AM$3,0,0,'Données projet'!$E$10+1,1))-AVERAGE(OFFSET($H$3,0,0,'Données projet'!$E$10+1,1))</f>
        <v>336.28176557459966</v>
      </c>
      <c r="AO66" s="59">
        <f t="shared" si="36"/>
        <v>357.30155664292317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15.27202289223535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4.3547838977495644E-4</v>
      </c>
      <c r="AX66" s="21">
        <f t="shared" si="6"/>
        <v>15.272458370625126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-9.0949470177292824E-13</v>
      </c>
      <c r="O67" s="13">
        <f>N67*VLOOKUP('Données projet'!$B$9,Paramètres!$A$1:$I$89,3,0)*VLOOKUP('Données projet'!$B$9,Paramètres!$A$1:$I$89,5,0)</f>
        <v>-4.7672074288129813E-13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463.16285713357729</v>
      </c>
      <c r="T67" s="59">
        <f t="shared" si="34"/>
        <v>525.72239370489785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4.5474735088646412E-13</v>
      </c>
      <c r="AJ67" s="13">
        <f>AI67*VLOOKUP('Données projet'!$B$10,Paramètres!$A$1:$I$89,3,0)*VLOOKUP('Données projet'!$B$10,Paramètres!$A$1:$I$89,5,0)</f>
        <v>2.7193891583010558E-13</v>
      </c>
      <c r="AK67" s="13">
        <f t="shared" si="35"/>
        <v>3.6362267729089988E-12</v>
      </c>
      <c r="AL67" s="20">
        <f t="shared" si="4"/>
        <v>6.8067219078872727E-12</v>
      </c>
      <c r="AM67" s="59">
        <f t="shared" si="5"/>
        <v>263.42435215956158</v>
      </c>
      <c r="AN67" s="59">
        <f ca="1">AVERAGE(OFFSET($AM$3,0,0,'Données projet'!$E$10+1,1))-AVERAGE(OFFSET($H$3,0,0,'Données projet'!$E$10+1,1))</f>
        <v>336.28176557459966</v>
      </c>
      <c r="AO67" s="59">
        <f t="shared" si="36"/>
        <v>357.30155664292317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14.972547838332797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3.0792972247007018E-4</v>
      </c>
      <c r="AX67" s="21">
        <f t="shared" si="6"/>
        <v>14.972855768055268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-9.0949470177292824E-13</v>
      </c>
      <c r="O68" s="13">
        <f>N68*VLOOKUP('Données projet'!$B$9,Paramètres!$A$1:$I$89,3,0)*VLOOKUP('Données projet'!$B$9,Paramètres!$A$1:$I$89,5,0)</f>
        <v>-4.7672074288129813E-13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463.16285713357729</v>
      </c>
      <c r="T68" s="59">
        <f t="shared" si="34"/>
        <v>525.72239370489785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4.5474735088646412E-13</v>
      </c>
      <c r="AJ68" s="13">
        <f>AI68*VLOOKUP('Données projet'!$B$10,Paramètres!$A$1:$I$89,3,0)*VLOOKUP('Données projet'!$B$10,Paramètres!$A$1:$I$89,5,0)</f>
        <v>2.7193891583010558E-13</v>
      </c>
      <c r="AK68" s="13">
        <f t="shared" si="35"/>
        <v>3.6362267729089988E-12</v>
      </c>
      <c r="AL68" s="20">
        <f t="shared" ref="AL68:AL131" si="58">(AJ68+AK68)*0.475*44/12</f>
        <v>6.8067219078872727E-12</v>
      </c>
      <c r="AM68" s="59">
        <f t="shared" ref="AM68:AM131" si="59">AL68+(AD68+AE68)*44/12</f>
        <v>263.94320611646202</v>
      </c>
      <c r="AN68" s="59">
        <f ca="1">AVERAGE(OFFSET($AM$3,0,0,'Données projet'!$E$10+1,1))-AVERAGE(OFFSET($H$3,0,0,'Données projet'!$E$10+1,1))</f>
        <v>336.28176557459966</v>
      </c>
      <c r="AO68" s="59">
        <f t="shared" si="36"/>
        <v>357.30155664292317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14.678945307575528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2.1773919488747822E-4</v>
      </c>
      <c r="AX68" s="21">
        <f t="shared" ref="AX68:AX131" si="60">SUM(AU68:AW68)</f>
        <v>14.679163046770416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-9.0949470177292824E-13</v>
      </c>
      <c r="O69" s="13">
        <f>N69*VLOOKUP('Données projet'!$B$9,Paramètres!$A$1:$I$89,3,0)*VLOOKUP('Données projet'!$B$9,Paramètres!$A$1:$I$89,5,0)</f>
        <v>-4.7672074288129813E-13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463.16285713357729</v>
      </c>
      <c r="T69" s="59">
        <f t="shared" ref="T69:T132" si="88">$T$3</f>
        <v>525.72239370489785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4.5474735088646412E-13</v>
      </c>
      <c r="AJ69" s="13">
        <f>AI69*VLOOKUP('Données projet'!$B$10,Paramètres!$A$1:$I$89,3,0)*VLOOKUP('Données projet'!$B$10,Paramètres!$A$1:$I$89,5,0)</f>
        <v>2.7193891583010558E-13</v>
      </c>
      <c r="AK69" s="13">
        <f t="shared" ref="AK69:AK132" si="89">EXP(-1.0587+0.8836*LN(AJ69)+0.284)</f>
        <v>3.6362267729089988E-12</v>
      </c>
      <c r="AL69" s="20">
        <f t="shared" si="58"/>
        <v>6.8067219078872727E-12</v>
      </c>
      <c r="AM69" s="59">
        <f t="shared" si="59"/>
        <v>264.4530591171939</v>
      </c>
      <c r="AN69" s="59">
        <f ca="1">AVERAGE(OFFSET($AM$3,0,0,'Données projet'!$E$10+1,1))-AVERAGE(OFFSET($H$3,0,0,'Données projet'!$E$10+1,1))</f>
        <v>336.28176557459966</v>
      </c>
      <c r="AO69" s="59">
        <f t="shared" ref="AO69:AO132" si="90">$AO$3</f>
        <v>357.30155664292317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14.391100143366547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1.5396486123503509E-4</v>
      </c>
      <c r="AX69" s="21">
        <f t="shared" si="60"/>
        <v>14.391254108227782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-9.0949470177292824E-13</v>
      </c>
      <c r="O70" s="13">
        <f>N70*VLOOKUP('Données projet'!$B$9,Paramètres!$A$1:$I$89,3,0)*VLOOKUP('Données projet'!$B$9,Paramètres!$A$1:$I$89,5,0)</f>
        <v>-4.7672074288129813E-13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463.16285713357729</v>
      </c>
      <c r="T70" s="59">
        <f t="shared" si="88"/>
        <v>525.72239370489785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4.5474735088646412E-13</v>
      </c>
      <c r="AJ70" s="13">
        <f>AI70*VLOOKUP('Données projet'!$B$10,Paramètres!$A$1:$I$89,3,0)*VLOOKUP('Données projet'!$B$10,Paramètres!$A$1:$I$89,5,0)</f>
        <v>2.7193891583010558E-13</v>
      </c>
      <c r="AK70" s="13">
        <f t="shared" si="89"/>
        <v>3.6362267729089988E-12</v>
      </c>
      <c r="AL70" s="20">
        <f t="shared" si="58"/>
        <v>6.8067219078872727E-12</v>
      </c>
      <c r="AM70" s="59">
        <f t="shared" si="59"/>
        <v>264.95406730822373</v>
      </c>
      <c r="AN70" s="59">
        <f ca="1">AVERAGE(OFFSET($AM$3,0,0,'Données projet'!$E$10+1,1))-AVERAGE(OFFSET($H$3,0,0,'Données projet'!$E$10+1,1))</f>
        <v>336.28176557459966</v>
      </c>
      <c r="AO70" s="59">
        <f t="shared" si="90"/>
        <v>357.30155664292317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14.108899447259491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1.0886959744373911E-4</v>
      </c>
      <c r="AX70" s="21">
        <f t="shared" si="60"/>
        <v>14.109008316856935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-9.0949470177292824E-13</v>
      </c>
      <c r="O71" s="13">
        <f>N71*VLOOKUP('Données projet'!$B$9,Paramètres!$A$1:$I$89,3,0)*VLOOKUP('Données projet'!$B$9,Paramètres!$A$1:$I$89,5,0)</f>
        <v>-4.7672074288129813E-13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463.16285713357729</v>
      </c>
      <c r="T71" s="59">
        <f t="shared" si="88"/>
        <v>525.72239370489785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4.5474735088646412E-13</v>
      </c>
      <c r="AJ71" s="13">
        <f>AI71*VLOOKUP('Données projet'!$B$10,Paramètres!$A$1:$I$89,3,0)*VLOOKUP('Données projet'!$B$10,Paramètres!$A$1:$I$89,5,0)</f>
        <v>2.7193891583010558E-13</v>
      </c>
      <c r="AK71" s="13">
        <f t="shared" si="89"/>
        <v>3.6362267729089988E-12</v>
      </c>
      <c r="AL71" s="20">
        <f t="shared" si="58"/>
        <v>6.8067219078872727E-12</v>
      </c>
      <c r="AM71" s="59">
        <f t="shared" si="59"/>
        <v>265.44638412722566</v>
      </c>
      <c r="AN71" s="59">
        <f ca="1">AVERAGE(OFFSET($AM$3,0,0,'Données projet'!$E$10+1,1))-AVERAGE(OFFSET($H$3,0,0,'Données projet'!$E$10+1,1))</f>
        <v>336.28176557459966</v>
      </c>
      <c r="AO71" s="59">
        <f t="shared" si="90"/>
        <v>357.30155664292317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13.832232534677665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7.6982430617517544E-5</v>
      </c>
      <c r="AX71" s="21">
        <f t="shared" si="60"/>
        <v>13.832309517108282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-9.0949470177292824E-13</v>
      </c>
      <c r="O72" s="13">
        <f>N72*VLOOKUP('Données projet'!$B$9,Paramètres!$A$1:$I$89,3,0)*VLOOKUP('Données projet'!$B$9,Paramètres!$A$1:$I$89,5,0)</f>
        <v>-4.7672074288129813E-13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463.16285713357729</v>
      </c>
      <c r="T72" s="59">
        <f t="shared" si="88"/>
        <v>525.72239370489785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4.5474735088646412E-13</v>
      </c>
      <c r="AJ72" s="13">
        <f>AI72*VLOOKUP('Données projet'!$B$10,Paramètres!$A$1:$I$89,3,0)*VLOOKUP('Données projet'!$B$10,Paramètres!$A$1:$I$89,5,0)</f>
        <v>2.7193891583010558E-13</v>
      </c>
      <c r="AK72" s="13">
        <f t="shared" si="89"/>
        <v>3.6362267729089988E-12</v>
      </c>
      <c r="AL72" s="20">
        <f t="shared" si="58"/>
        <v>6.8067219078872727E-12</v>
      </c>
      <c r="AM72" s="59">
        <f t="shared" si="59"/>
        <v>265.93016035007338</v>
      </c>
      <c r="AN72" s="59">
        <f ca="1">AVERAGE(OFFSET($AM$3,0,0,'Données projet'!$E$10+1,1))-AVERAGE(OFFSET($H$3,0,0,'Données projet'!$E$10+1,1))</f>
        <v>336.28176557459966</v>
      </c>
      <c r="AO72" s="59">
        <f t="shared" si="90"/>
        <v>357.30155664292317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13.560990891501415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5.4434798721869556E-5</v>
      </c>
      <c r="AX72" s="21">
        <f t="shared" si="60"/>
        <v>13.561045326300137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-9.0949470177292824E-13</v>
      </c>
      <c r="O73" s="13">
        <f>N73*VLOOKUP('Données projet'!$B$9,Paramètres!$A$1:$I$89,3,0)*VLOOKUP('Données projet'!$B$9,Paramètres!$A$1:$I$89,5,0)</f>
        <v>-4.7672074288129813E-13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463.16285713357729</v>
      </c>
      <c r="T73" s="59">
        <f t="shared" si="88"/>
        <v>525.72239370489785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4.5474735088646412E-13</v>
      </c>
      <c r="AJ73" s="13">
        <f>AI73*VLOOKUP('Données projet'!$B$10,Paramètres!$A$1:$I$89,3,0)*VLOOKUP('Données projet'!$B$10,Paramètres!$A$1:$I$89,5,0)</f>
        <v>2.7193891583010558E-13</v>
      </c>
      <c r="AK73" s="13">
        <f t="shared" si="89"/>
        <v>3.6362267729089988E-12</v>
      </c>
      <c r="AL73" s="20">
        <f t="shared" si="58"/>
        <v>6.8067219078872727E-12</v>
      </c>
      <c r="AM73" s="59">
        <f t="shared" si="59"/>
        <v>266.40554413701631</v>
      </c>
      <c r="AN73" s="59">
        <f ca="1">AVERAGE(OFFSET($AM$3,0,0,'Données projet'!$E$10+1,1))-AVERAGE(OFFSET($H$3,0,0,'Données projet'!$E$10+1,1))</f>
        <v>336.28176557459966</v>
      </c>
      <c r="AO73" s="59">
        <f t="shared" si="90"/>
        <v>357.30155664292317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13.295068131506785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3.8491215308758772E-5</v>
      </c>
      <c r="AX73" s="21">
        <f t="shared" si="60"/>
        <v>13.295106622722093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-9.0949470177292824E-13</v>
      </c>
      <c r="O74" s="13">
        <f>N74*VLOOKUP('Données projet'!$B$9,Paramètres!$A$1:$I$89,3,0)*VLOOKUP('Données projet'!$B$9,Paramètres!$A$1:$I$89,5,0)</f>
        <v>-4.7672074288129813E-13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463.16285713357729</v>
      </c>
      <c r="T74" s="59">
        <f t="shared" si="88"/>
        <v>525.72239370489785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4.5474735088646412E-13</v>
      </c>
      <c r="AJ74" s="13">
        <f>AI74*VLOOKUP('Données projet'!$B$10,Paramètres!$A$1:$I$89,3,0)*VLOOKUP('Données projet'!$B$10,Paramètres!$A$1:$I$89,5,0)</f>
        <v>2.7193891583010558E-13</v>
      </c>
      <c r="AK74" s="13">
        <f t="shared" si="89"/>
        <v>3.6362267729089988E-12</v>
      </c>
      <c r="AL74" s="20">
        <f t="shared" si="58"/>
        <v>6.8067219078872727E-12</v>
      </c>
      <c r="AM74" s="59">
        <f t="shared" si="59"/>
        <v>266.87268107805477</v>
      </c>
      <c r="AN74" s="59">
        <f ca="1">AVERAGE(OFFSET($AM$3,0,0,'Données projet'!$E$10+1,1))-AVERAGE(OFFSET($H$3,0,0,'Données projet'!$E$10+1,1))</f>
        <v>336.28176557459966</v>
      </c>
      <c r="AO74" s="59">
        <f t="shared" si="90"/>
        <v>357.30155664292317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13.034359954638781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2.7217399360934778E-5</v>
      </c>
      <c r="AX74" s="21">
        <f t="shared" si="60"/>
        <v>13.034387172038141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-9.0949470177292824E-13</v>
      </c>
      <c r="O75" s="13">
        <f>N75*VLOOKUP('Données projet'!$B$9,Paramètres!$A$1:$I$89,3,0)*VLOOKUP('Données projet'!$B$9,Paramètres!$A$1:$I$89,5,0)</f>
        <v>-4.7672074288129813E-13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463.16285713357729</v>
      </c>
      <c r="T75" s="59">
        <f t="shared" si="88"/>
        <v>525.72239370489785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4.5474735088646412E-13</v>
      </c>
      <c r="AJ75" s="13">
        <f>AI75*VLOOKUP('Données projet'!$B$10,Paramètres!$A$1:$I$89,3,0)*VLOOKUP('Données projet'!$B$10,Paramètres!$A$1:$I$89,5,0)</f>
        <v>2.7193891583010558E-13</v>
      </c>
      <c r="AK75" s="13">
        <f t="shared" si="89"/>
        <v>3.6362267729089988E-12</v>
      </c>
      <c r="AL75" s="20">
        <f t="shared" si="58"/>
        <v>6.8067219078872727E-12</v>
      </c>
      <c r="AM75" s="59">
        <f t="shared" si="59"/>
        <v>267.33171423752793</v>
      </c>
      <c r="AN75" s="59">
        <f ca="1">AVERAGE(OFFSET($AM$3,0,0,'Données projet'!$E$10+1,1))-AVERAGE(OFFSET($H$3,0,0,'Données projet'!$E$10+1,1))</f>
        <v>336.28176557459966</v>
      </c>
      <c r="AO75" s="59">
        <f t="shared" si="90"/>
        <v>357.30155664292317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12.778764106102871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1.9245607654379386E-5</v>
      </c>
      <c r="AX75" s="21">
        <f t="shared" si="60"/>
        <v>12.778783351710526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-9.0949470177292824E-13</v>
      </c>
      <c r="O76" s="13">
        <f>N76*VLOOKUP('Données projet'!$B$9,Paramètres!$A$1:$I$89,3,0)*VLOOKUP('Données projet'!$B$9,Paramètres!$A$1:$I$89,5,0)</f>
        <v>-4.7672074288129813E-13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463.16285713357729</v>
      </c>
      <c r="T76" s="59">
        <f t="shared" si="88"/>
        <v>525.72239370489785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4.5474735088646412E-13</v>
      </c>
      <c r="AJ76" s="13">
        <f>AI76*VLOOKUP('Données projet'!$B$10,Paramètres!$A$1:$I$89,3,0)*VLOOKUP('Données projet'!$B$10,Paramètres!$A$1:$I$89,5,0)</f>
        <v>2.7193891583010558E-13</v>
      </c>
      <c r="AK76" s="13">
        <f t="shared" si="89"/>
        <v>3.6362267729089988E-12</v>
      </c>
      <c r="AL76" s="20">
        <f t="shared" si="58"/>
        <v>6.8067219078872727E-12</v>
      </c>
      <c r="AM76" s="59">
        <f t="shared" si="59"/>
        <v>267.78278419792861</v>
      </c>
      <c r="AN76" s="59">
        <f ca="1">AVERAGE(OFFSET($AM$3,0,0,'Données projet'!$E$10+1,1))-AVERAGE(OFFSET($H$3,0,0,'Données projet'!$E$10+1,1))</f>
        <v>336.28176557459966</v>
      </c>
      <c r="AO76" s="59">
        <f t="shared" si="90"/>
        <v>357.30155664292317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12.528180336258679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1.3608699680467389E-5</v>
      </c>
      <c r="AX76" s="21">
        <f t="shared" si="60"/>
        <v>12.528193944958359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-9.0949470177292824E-13</v>
      </c>
      <c r="O77" s="13">
        <f>N77*VLOOKUP('Données projet'!$B$9,Paramètres!$A$1:$I$89,3,0)*VLOOKUP('Données projet'!$B$9,Paramètres!$A$1:$I$89,5,0)</f>
        <v>-4.7672074288129813E-13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463.16285713357729</v>
      </c>
      <c r="T77" s="59">
        <f t="shared" si="88"/>
        <v>525.72239370489785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4.5474735088646412E-13</v>
      </c>
      <c r="AJ77" s="13">
        <f>AI77*VLOOKUP('Données projet'!$B$10,Paramètres!$A$1:$I$89,3,0)*VLOOKUP('Données projet'!$B$10,Paramètres!$A$1:$I$89,5,0)</f>
        <v>2.7193891583010558E-13</v>
      </c>
      <c r="AK77" s="13">
        <f t="shared" si="89"/>
        <v>3.6362267729089988E-12</v>
      </c>
      <c r="AL77" s="20">
        <f t="shared" si="58"/>
        <v>6.8067219078872727E-12</v>
      </c>
      <c r="AM77" s="59">
        <f t="shared" si="59"/>
        <v>268.22602910295768</v>
      </c>
      <c r="AN77" s="59">
        <f ca="1">AVERAGE(OFFSET($AM$3,0,0,'Données projet'!$E$10+1,1))-AVERAGE(OFFSET($H$3,0,0,'Données projet'!$E$10+1,1))</f>
        <v>336.28176557459966</v>
      </c>
      <c r="AO77" s="59">
        <f t="shared" si="90"/>
        <v>357.30155664292317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12.282510361300123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9.622803827189693E-6</v>
      </c>
      <c r="AX77" s="21">
        <f t="shared" si="60"/>
        <v>12.282519984103949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-9.0949470177292824E-13</v>
      </c>
      <c r="O78" s="13">
        <f>N78*VLOOKUP('Données projet'!$B$9,Paramètres!$A$1:$I$89,3,0)*VLOOKUP('Données projet'!$B$9,Paramètres!$A$1:$I$89,5,0)</f>
        <v>-4.7672074288129813E-13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463.16285713357729</v>
      </c>
      <c r="T78" s="59">
        <f t="shared" si="88"/>
        <v>525.72239370489785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4.5474735088646412E-13</v>
      </c>
      <c r="AJ78" s="13">
        <f>AI78*VLOOKUP('Données projet'!$B$10,Paramètres!$A$1:$I$89,3,0)*VLOOKUP('Données projet'!$B$10,Paramètres!$A$1:$I$89,5,0)</f>
        <v>2.7193891583010558E-13</v>
      </c>
      <c r="AK78" s="13">
        <f t="shared" si="89"/>
        <v>3.6362267729089988E-12</v>
      </c>
      <c r="AL78" s="20">
        <f t="shared" si="58"/>
        <v>6.8067219078872727E-12</v>
      </c>
      <c r="AM78" s="59">
        <f t="shared" si="59"/>
        <v>268.66158469983162</v>
      </c>
      <c r="AN78" s="59">
        <f ca="1">AVERAGE(OFFSET($AM$3,0,0,'Données projet'!$E$10+1,1))-AVERAGE(OFFSET($H$3,0,0,'Données projet'!$E$10+1,1))</f>
        <v>336.28176557459966</v>
      </c>
      <c r="AO78" s="59">
        <f t="shared" si="90"/>
        <v>357.30155664292317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12.041657824706615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6.8043498402336945E-6</v>
      </c>
      <c r="AX78" s="21">
        <f t="shared" si="60"/>
        <v>12.041664629056456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-9.0949470177292824E-13</v>
      </c>
      <c r="O79" s="13">
        <f>N79*VLOOKUP('Données projet'!$B$9,Paramètres!$A$1:$I$89,3,0)*VLOOKUP('Données projet'!$B$9,Paramètres!$A$1:$I$89,5,0)</f>
        <v>-4.7672074288129813E-13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463.16285713357729</v>
      </c>
      <c r="T79" s="59">
        <f t="shared" si="88"/>
        <v>525.72239370489785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4.5474735088646412E-13</v>
      </c>
      <c r="AJ79" s="13">
        <f>AI79*VLOOKUP('Données projet'!$B$10,Paramètres!$A$1:$I$89,3,0)*VLOOKUP('Données projet'!$B$10,Paramètres!$A$1:$I$89,5,0)</f>
        <v>2.7193891583010558E-13</v>
      </c>
      <c r="AK79" s="13">
        <f t="shared" si="89"/>
        <v>3.6362267729089988E-12</v>
      </c>
      <c r="AL79" s="20">
        <f t="shared" si="58"/>
        <v>6.8067219078872727E-12</v>
      </c>
      <c r="AM79" s="59">
        <f t="shared" si="59"/>
        <v>269.08958438085625</v>
      </c>
      <c r="AN79" s="59">
        <f ca="1">AVERAGE(OFFSET($AM$3,0,0,'Données projet'!$E$10+1,1))-AVERAGE(OFFSET($H$3,0,0,'Données projet'!$E$10+1,1))</f>
        <v>336.28176557459966</v>
      </c>
      <c r="AO79" s="59">
        <f t="shared" si="90"/>
        <v>357.30155664292317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11.805528259450163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4.8114019135948465E-6</v>
      </c>
      <c r="AX79" s="21">
        <f t="shared" si="60"/>
        <v>11.805533070852077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-9.0949470177292824E-13</v>
      </c>
      <c r="O80" s="13">
        <f>N80*VLOOKUP('Données projet'!$B$9,Paramètres!$A$1:$I$89,3,0)*VLOOKUP('Données projet'!$B$9,Paramètres!$A$1:$I$89,5,0)</f>
        <v>-4.7672074288129813E-13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463.16285713357729</v>
      </c>
      <c r="T80" s="59">
        <f t="shared" si="88"/>
        <v>525.72239370489785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4.5474735088646412E-13</v>
      </c>
      <c r="AJ80" s="13">
        <f>AI80*VLOOKUP('Données projet'!$B$10,Paramètres!$A$1:$I$89,3,0)*VLOOKUP('Données projet'!$B$10,Paramètres!$A$1:$I$89,5,0)</f>
        <v>2.7193891583010558E-13</v>
      </c>
      <c r="AK80" s="13">
        <f t="shared" si="89"/>
        <v>3.6362267729089988E-12</v>
      </c>
      <c r="AL80" s="20">
        <f t="shared" si="58"/>
        <v>6.8067219078872727E-12</v>
      </c>
      <c r="AM80" s="59">
        <f t="shared" si="59"/>
        <v>269.51015922427911</v>
      </c>
      <c r="AN80" s="59">
        <f ca="1">AVERAGE(OFFSET($AM$3,0,0,'Données projet'!$E$10+1,1))-AVERAGE(OFFSET($H$3,0,0,'Données projet'!$E$10+1,1))</f>
        <v>336.28176557459966</v>
      </c>
      <c r="AO80" s="59">
        <f t="shared" si="90"/>
        <v>357.30155664292317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11.574029050943578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3.4021749201168472E-6</v>
      </c>
      <c r="AX80" s="21">
        <f t="shared" si="60"/>
        <v>11.574032453118498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-9.0949470177292824E-13</v>
      </c>
      <c r="O81" s="13">
        <f>N81*VLOOKUP('Données projet'!$B$9,Paramètres!$A$1:$I$89,3,0)*VLOOKUP('Données projet'!$B$9,Paramètres!$A$1:$I$89,5,0)</f>
        <v>-4.7672074288129813E-13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463.16285713357729</v>
      </c>
      <c r="T81" s="59">
        <f t="shared" si="88"/>
        <v>525.72239370489785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2.7193891583010558E-13</v>
      </c>
      <c r="AK81" s="13">
        <f t="shared" si="89"/>
        <v>3.6362267729089988E-12</v>
      </c>
      <c r="AL81" s="20">
        <f t="shared" si="58"/>
        <v>6.8067219078872727E-12</v>
      </c>
      <c r="AM81" s="59">
        <f t="shared" si="59"/>
        <v>269.92343803443305</v>
      </c>
      <c r="AN81" s="59">
        <f ca="1">AVERAGE(OFFSET($AM$3,0,0,'Données projet'!$E$10+1,1))-AVERAGE(OFFSET($H$3,0,0,'Données projet'!$E$10+1,1))</f>
        <v>336.28176557459966</v>
      </c>
      <c r="AO81" s="59">
        <f t="shared" si="90"/>
        <v>357.30155664292317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11.347069400715231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2.4057009567974233E-6</v>
      </c>
      <c r="AX81" s="21">
        <f t="shared" si="60"/>
        <v>11.347071806416189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-9.0949470177292824E-13</v>
      </c>
      <c r="O82" s="13">
        <f>N82*VLOOKUP('Données projet'!$B$9,Paramètres!$A$1:$I$89,3,0)*VLOOKUP('Données projet'!$B$9,Paramètres!$A$1:$I$89,5,0)</f>
        <v>-4.7672074288129813E-13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463.16285713357729</v>
      </c>
      <c r="T82" s="59">
        <f t="shared" si="88"/>
        <v>525.72239370489785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2.7193891583010558E-13</v>
      </c>
      <c r="AK82" s="13">
        <f t="shared" si="89"/>
        <v>3.6362267729089988E-12</v>
      </c>
      <c r="AL82" s="20">
        <f t="shared" si="58"/>
        <v>6.8067219078872727E-12</v>
      </c>
      <c r="AM82" s="59">
        <f t="shared" si="59"/>
        <v>270.32954738118377</v>
      </c>
      <c r="AN82" s="59">
        <f ca="1">AVERAGE(OFFSET($AM$3,0,0,'Données projet'!$E$10+1,1))-AVERAGE(OFFSET($H$3,0,0,'Données projet'!$E$10+1,1))</f>
        <v>336.28176557459966</v>
      </c>
      <c r="AO82" s="59">
        <f t="shared" si="90"/>
        <v>357.30155664292317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11.124560290796145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1.7010874600584236E-6</v>
      </c>
      <c r="AX82" s="21">
        <f t="shared" si="60"/>
        <v>11.124561991883605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-9.0949470177292824E-13</v>
      </c>
      <c r="O83" s="13">
        <f>N83*VLOOKUP('Données projet'!$B$9,Paramètres!$A$1:$I$89,3,0)*VLOOKUP('Données projet'!$B$9,Paramètres!$A$1:$I$89,5,0)</f>
        <v>-4.7672074288129813E-13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463.16285713357729</v>
      </c>
      <c r="T83" s="59">
        <f t="shared" si="88"/>
        <v>525.72239370489785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2.7193891583010558E-13</v>
      </c>
      <c r="AK83" s="13">
        <f t="shared" si="89"/>
        <v>3.6362267729089988E-12</v>
      </c>
      <c r="AL83" s="20">
        <f t="shared" si="58"/>
        <v>6.8067219078872727E-12</v>
      </c>
      <c r="AM83" s="59">
        <f t="shared" si="59"/>
        <v>270.72861163869294</v>
      </c>
      <c r="AN83" s="59">
        <f ca="1">AVERAGE(OFFSET($AM$3,0,0,'Données projet'!$E$10+1,1))-AVERAGE(OFFSET($H$3,0,0,'Données projet'!$E$10+1,1))</f>
        <v>336.28176557459966</v>
      </c>
      <c r="AO83" s="59">
        <f t="shared" si="90"/>
        <v>357.30155664292317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10.906414448805416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1.2028504783987116E-6</v>
      </c>
      <c r="AX83" s="21">
        <f t="shared" si="60"/>
        <v>10.906415651655895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-9.0949470177292824E-13</v>
      </c>
      <c r="O84" s="13">
        <f>N84*VLOOKUP('Données projet'!$B$9,Paramètres!$A$1:$I$89,3,0)*VLOOKUP('Données projet'!$B$9,Paramètres!$A$1:$I$89,5,0)</f>
        <v>-4.7672074288129813E-13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463.16285713357729</v>
      </c>
      <c r="T84" s="59">
        <f t="shared" si="88"/>
        <v>525.72239370489785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2.7193891583010558E-13</v>
      </c>
      <c r="AK84" s="13">
        <f t="shared" si="89"/>
        <v>3.6362267729089988E-12</v>
      </c>
      <c r="AL84" s="20">
        <f t="shared" si="58"/>
        <v>6.8067219078872727E-12</v>
      </c>
      <c r="AM84" s="59">
        <f t="shared" si="59"/>
        <v>271.12075302350826</v>
      </c>
      <c r="AN84" s="59">
        <f ca="1">AVERAGE(OFFSET($AM$3,0,0,'Données projet'!$E$10+1,1))-AVERAGE(OFFSET($H$3,0,0,'Données projet'!$E$10+1,1))</f>
        <v>336.28176557459966</v>
      </c>
      <c r="AO84" s="59">
        <f t="shared" si="90"/>
        <v>357.30155664292317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10.6925463137203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8.5054373002921181E-7</v>
      </c>
      <c r="AX84" s="21">
        <f t="shared" si="60"/>
        <v>10.692547164264029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-9.0949470177292824E-13</v>
      </c>
      <c r="O85" s="13">
        <f>N85*VLOOKUP('Données projet'!$B$9,Paramètres!$A$1:$I$89,3,0)*VLOOKUP('Données projet'!$B$9,Paramètres!$A$1:$I$89,5,0)</f>
        <v>-4.7672074288129813E-13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463.16285713357729</v>
      </c>
      <c r="T85" s="59">
        <f t="shared" si="88"/>
        <v>525.72239370489785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2.7193891583010558E-13</v>
      </c>
      <c r="AK85" s="13">
        <f t="shared" si="89"/>
        <v>3.6362267729089988E-12</v>
      </c>
      <c r="AL85" s="20">
        <f t="shared" si="58"/>
        <v>6.8067219078872727E-12</v>
      </c>
      <c r="AM85" s="59">
        <f t="shared" si="59"/>
        <v>271.50609163199385</v>
      </c>
      <c r="AN85" s="59">
        <f ca="1">AVERAGE(OFFSET($AM$3,0,0,'Données projet'!$E$10+1,1))-AVERAGE(OFFSET($H$3,0,0,'Données projet'!$E$10+1,1))</f>
        <v>336.28176557459966</v>
      </c>
      <c r="AO85" s="59">
        <f t="shared" si="90"/>
        <v>357.30155664292317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10.482872002317521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6.0142523919935582E-7</v>
      </c>
      <c r="AX85" s="21">
        <f t="shared" si="60"/>
        <v>10.482872603742759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-9.0949470177292824E-13</v>
      </c>
      <c r="O86" s="13">
        <f>N86*VLOOKUP('Données projet'!$B$9,Paramètres!$A$1:$I$89,3,0)*VLOOKUP('Données projet'!$B$9,Paramètres!$A$1:$I$89,5,0)</f>
        <v>-4.7672074288129813E-13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463.16285713357729</v>
      </c>
      <c r="T86" s="59">
        <f t="shared" si="88"/>
        <v>525.72239370489785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2.7193891583010558E-13</v>
      </c>
      <c r="AK86" s="13">
        <f t="shared" si="89"/>
        <v>3.6362267729089988E-12</v>
      </c>
      <c r="AL86" s="20">
        <f t="shared" si="58"/>
        <v>6.8067219078872727E-12</v>
      </c>
      <c r="AM86" s="59">
        <f t="shared" si="59"/>
        <v>271.8847454771103</v>
      </c>
      <c r="AN86" s="59">
        <f ca="1">AVERAGE(OFFSET($AM$3,0,0,'Données projet'!$E$10+1,1))-AVERAGE(OFFSET($H$3,0,0,'Données projet'!$E$10+1,1))</f>
        <v>336.28176557459966</v>
      </c>
      <c r="AO86" s="59">
        <f t="shared" si="90"/>
        <v>357.30155664292317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10.277309276272648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4.252718650146059E-7</v>
      </c>
      <c r="AX86" s="21">
        <f t="shared" si="60"/>
        <v>10.277309701544514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-9.0949470177292824E-13</v>
      </c>
      <c r="O87" s="13">
        <f>N87*VLOOKUP('Données projet'!$B$9,Paramètres!$A$1:$I$89,3,0)*VLOOKUP('Données projet'!$B$9,Paramètres!$A$1:$I$89,5,0)</f>
        <v>-4.7672074288129813E-13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463.16285713357729</v>
      </c>
      <c r="T87" s="59">
        <f t="shared" si="88"/>
        <v>525.72239370489785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2.7193891583010558E-13</v>
      </c>
      <c r="AK87" s="13">
        <f t="shared" si="89"/>
        <v>3.6362267729089988E-12</v>
      </c>
      <c r="AL87" s="20">
        <f t="shared" si="58"/>
        <v>6.8067219078872727E-12</v>
      </c>
      <c r="AM87" s="59">
        <f t="shared" si="59"/>
        <v>272.25683052455713</v>
      </c>
      <c r="AN87" s="59">
        <f ca="1">AVERAGE(OFFSET($AM$3,0,0,'Données projet'!$E$10+1,1))-AVERAGE(OFFSET($H$3,0,0,'Données projet'!$E$10+1,1))</f>
        <v>336.28176557459966</v>
      </c>
      <c r="AO87" s="59">
        <f t="shared" si="90"/>
        <v>357.30155664292317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10.075777509904633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3.0071261959967791E-7</v>
      </c>
      <c r="AX87" s="21">
        <f t="shared" si="60"/>
        <v>10.075777810617252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-9.0949470177292824E-13</v>
      </c>
      <c r="O88" s="13">
        <f>N88*VLOOKUP('Données projet'!$B$9,Paramètres!$A$1:$I$89,3,0)*VLOOKUP('Données projet'!$B$9,Paramètres!$A$1:$I$89,5,0)</f>
        <v>-4.7672074288129813E-13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463.16285713357729</v>
      </c>
      <c r="T88" s="59">
        <f t="shared" si="88"/>
        <v>525.72239370489785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2.7193891583010558E-13</v>
      </c>
      <c r="AK88" s="13">
        <f t="shared" si="89"/>
        <v>3.6362267729089988E-12</v>
      </c>
      <c r="AL88" s="20">
        <f t="shared" si="58"/>
        <v>6.8067219078872727E-12</v>
      </c>
      <c r="AM88" s="59">
        <f t="shared" si="59"/>
        <v>272.62246072828833</v>
      </c>
      <c r="AN88" s="59">
        <f ca="1">AVERAGE(OFFSET($AM$3,0,0,'Données projet'!$E$10+1,1))-AVERAGE(OFFSET($H$3,0,0,'Données projet'!$E$10+1,1))</f>
        <v>336.28176557459966</v>
      </c>
      <c r="AO88" s="59">
        <f t="shared" si="90"/>
        <v>357.30155664292317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9.878197658552855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2.1263593250730295E-7</v>
      </c>
      <c r="AX88" s="21">
        <f t="shared" si="60"/>
        <v>9.878197871188787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-9.0949470177292824E-13</v>
      </c>
      <c r="O89" s="13">
        <f>N89*VLOOKUP('Données projet'!$B$9,Paramètres!$A$1:$I$89,3,0)*VLOOKUP('Données projet'!$B$9,Paramètres!$A$1:$I$89,5,0)</f>
        <v>-4.7672074288129813E-13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463.16285713357729</v>
      </c>
      <c r="T89" s="59">
        <f t="shared" si="88"/>
        <v>525.72239370489785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2.7193891583010558E-13</v>
      </c>
      <c r="AK89" s="13">
        <f t="shared" si="89"/>
        <v>3.6362267729089988E-12</v>
      </c>
      <c r="AL89" s="20">
        <f t="shared" si="58"/>
        <v>6.8067219078872727E-12</v>
      </c>
      <c r="AM89" s="59">
        <f t="shared" si="59"/>
        <v>272.98174806541152</v>
      </c>
      <c r="AN89" s="59">
        <f ca="1">AVERAGE(OFFSET($AM$3,0,0,'Données projet'!$E$10+1,1))-AVERAGE(OFFSET($H$3,0,0,'Données projet'!$E$10+1,1))</f>
        <v>336.28176557459966</v>
      </c>
      <c r="AO89" s="59">
        <f t="shared" si="90"/>
        <v>357.30155664292317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9.6844922275742746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1.5035630979983895E-7</v>
      </c>
      <c r="AX89" s="21">
        <f t="shared" si="60"/>
        <v>9.6844923779305851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-9.0949470177292824E-13</v>
      </c>
      <c r="O90" s="13">
        <f>N90*VLOOKUP('Données projet'!$B$9,Paramètres!$A$1:$I$89,3,0)*VLOOKUP('Données projet'!$B$9,Paramètres!$A$1:$I$89,5,0)</f>
        <v>-4.7672074288129813E-13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463.16285713357729</v>
      </c>
      <c r="T90" s="59">
        <f t="shared" si="88"/>
        <v>525.72239370489785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2.7193891583010558E-13</v>
      </c>
      <c r="AK90" s="13">
        <f t="shared" si="89"/>
        <v>3.6362267729089988E-12</v>
      </c>
      <c r="AL90" s="20">
        <f t="shared" si="58"/>
        <v>6.8067219078872727E-12</v>
      </c>
      <c r="AM90" s="59">
        <f t="shared" si="59"/>
        <v>273.33480257048166</v>
      </c>
      <c r="AN90" s="59">
        <f ca="1">AVERAGE(OFFSET($AM$3,0,0,'Données projet'!$E$10+1,1))-AVERAGE(OFFSET($H$3,0,0,'Données projet'!$E$10+1,1))</f>
        <v>336.28176557459966</v>
      </c>
      <c r="AO90" s="59">
        <f t="shared" si="90"/>
        <v>357.30155664292317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9.4945852419485384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1.0631796625365148E-7</v>
      </c>
      <c r="AX90" s="21">
        <f t="shared" si="60"/>
        <v>9.4945853482665044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-9.0949470177292824E-13</v>
      </c>
      <c r="O91" s="13">
        <f>N91*VLOOKUP('Données projet'!$B$9,Paramètres!$A$1:$I$89,3,0)*VLOOKUP('Données projet'!$B$9,Paramètres!$A$1:$I$89,5,0)</f>
        <v>-4.7672074288129813E-13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463.16285713357729</v>
      </c>
      <c r="T91" s="59">
        <f t="shared" si="88"/>
        <v>525.72239370489785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2.7193891583010558E-13</v>
      </c>
      <c r="AK91" s="13">
        <f t="shared" si="89"/>
        <v>3.6362267729089988E-12</v>
      </c>
      <c r="AL91" s="20">
        <f t="shared" si="58"/>
        <v>6.8067219078872727E-12</v>
      </c>
      <c r="AM91" s="59">
        <f t="shared" si="59"/>
        <v>273.68173236920052</v>
      </c>
      <c r="AN91" s="59">
        <f ca="1">AVERAGE(OFFSET($AM$3,0,0,'Données projet'!$E$10+1,1))-AVERAGE(OFFSET($H$3,0,0,'Données projet'!$E$10+1,1))</f>
        <v>336.28176557459966</v>
      </c>
      <c r="AO91" s="59">
        <f t="shared" si="90"/>
        <v>357.30155664292317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9.3084022164790987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7.5178154899919477E-8</v>
      </c>
      <c r="AX91" s="21">
        <f t="shared" si="60"/>
        <v>9.308402291657254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-9.0949470177292824E-13</v>
      </c>
      <c r="O92" s="13">
        <f>N92*VLOOKUP('Données projet'!$B$9,Paramètres!$A$1:$I$89,3,0)*VLOOKUP('Données projet'!$B$9,Paramètres!$A$1:$I$89,5,0)</f>
        <v>-4.7672074288129813E-13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463.16285713357729</v>
      </c>
      <c r="T92" s="59">
        <f t="shared" si="88"/>
        <v>525.72239370489785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2.7193891583010558E-13</v>
      </c>
      <c r="AK92" s="13">
        <f t="shared" si="89"/>
        <v>3.6362267729089988E-12</v>
      </c>
      <c r="AL92" s="20">
        <f t="shared" si="58"/>
        <v>6.8067219078872727E-12</v>
      </c>
      <c r="AM92" s="59">
        <f t="shared" si="59"/>
        <v>274.02264371153041</v>
      </c>
      <c r="AN92" s="59">
        <f ca="1">AVERAGE(OFFSET($AM$3,0,0,'Données projet'!$E$10+1,1))-AVERAGE(OFFSET($H$3,0,0,'Données projet'!$E$10+1,1))</f>
        <v>336.28176557459966</v>
      </c>
      <c r="AO92" s="59">
        <f t="shared" si="90"/>
        <v>357.30155664292317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9.1258701265786826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5.3158983126825738E-8</v>
      </c>
      <c r="AX92" s="21">
        <f t="shared" si="60"/>
        <v>9.1258701797376656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-9.0949470177292824E-13</v>
      </c>
      <c r="O93" s="13">
        <f>N93*VLOOKUP('Données projet'!$B$9,Paramètres!$A$1:$I$89,3,0)*VLOOKUP('Données projet'!$B$9,Paramètres!$A$1:$I$89,5,0)</f>
        <v>-4.7672074288129813E-13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463.16285713357729</v>
      </c>
      <c r="T93" s="59">
        <f t="shared" si="88"/>
        <v>525.72239370489785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2.7193891583010558E-13</v>
      </c>
      <c r="AK93" s="13">
        <f t="shared" si="89"/>
        <v>3.6362267729089988E-12</v>
      </c>
      <c r="AL93" s="20">
        <f t="shared" si="58"/>
        <v>6.8067219078872727E-12</v>
      </c>
      <c r="AM93" s="59">
        <f t="shared" si="59"/>
        <v>274.35764100423449</v>
      </c>
      <c r="AN93" s="59">
        <f ca="1">AVERAGE(OFFSET($AM$3,0,0,'Données projet'!$E$10+1,1))-AVERAGE(OFFSET($H$3,0,0,'Données projet'!$E$10+1,1))</f>
        <v>336.28176557459966</v>
      </c>
      <c r="AO93" s="59">
        <f t="shared" si="90"/>
        <v>357.30155664292317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8.9469173796276316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3.7589077449959738E-8</v>
      </c>
      <c r="AX93" s="21">
        <f t="shared" si="60"/>
        <v>8.9469174172167083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-9.0949470177292824E-13</v>
      </c>
      <c r="O94" s="13">
        <f>N94*VLOOKUP('Données projet'!$B$9,Paramètres!$A$1:$I$89,3,0)*VLOOKUP('Données projet'!$B$9,Paramètres!$A$1:$I$89,5,0)</f>
        <v>-4.7672074288129813E-13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463.16285713357729</v>
      </c>
      <c r="T94" s="59">
        <f t="shared" si="88"/>
        <v>525.72239370489785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2.7193891583010558E-13</v>
      </c>
      <c r="AK94" s="13">
        <f t="shared" si="89"/>
        <v>3.6362267729089988E-12</v>
      </c>
      <c r="AL94" s="20">
        <f t="shared" si="58"/>
        <v>6.8067219078872727E-12</v>
      </c>
      <c r="AM94" s="59">
        <f t="shared" si="59"/>
        <v>274.68682684285187</v>
      </c>
      <c r="AN94" s="59">
        <f ca="1">AVERAGE(OFFSET($AM$3,0,0,'Données projet'!$E$10+1,1))-AVERAGE(OFFSET($H$3,0,0,'Données projet'!$E$10+1,1))</f>
        <v>336.28176557459966</v>
      </c>
      <c r="AO94" s="59">
        <f t="shared" si="90"/>
        <v>357.30155664292317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8.7714737868938926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2.6579491563412869E-8</v>
      </c>
      <c r="AX94" s="21">
        <f t="shared" si="60"/>
        <v>8.771473813473385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-9.0949470177292824E-13</v>
      </c>
      <c r="O95" s="13">
        <f>N95*VLOOKUP('Données projet'!$B$9,Paramètres!$A$1:$I$89,3,0)*VLOOKUP('Données projet'!$B$9,Paramètres!$A$1:$I$89,5,0)</f>
        <v>-4.7672074288129813E-13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463.16285713357729</v>
      </c>
      <c r="T95" s="59">
        <f t="shared" si="88"/>
        <v>525.72239370489785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2.7193891583010558E-13</v>
      </c>
      <c r="AK95" s="13">
        <f t="shared" si="89"/>
        <v>3.6362267729089988E-12</v>
      </c>
      <c r="AL95" s="20">
        <f t="shared" si="58"/>
        <v>6.8067219078872727E-12</v>
      </c>
      <c r="AM95" s="59">
        <f t="shared" si="59"/>
        <v>275.01030204311854</v>
      </c>
      <c r="AN95" s="59">
        <f ca="1">AVERAGE(OFFSET($AM$3,0,0,'Données projet'!$E$10+1,1))-AVERAGE(OFFSET($H$3,0,0,'Données projet'!$E$10+1,1))</f>
        <v>336.28176557459966</v>
      </c>
      <c r="AO95" s="59">
        <f t="shared" si="90"/>
        <v>357.30155664292317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8.5994705360036381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1.8794538724979869E-8</v>
      </c>
      <c r="AX95" s="21">
        <f t="shared" si="60"/>
        <v>8.5994705547981773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-9.0949470177292824E-13</v>
      </c>
      <c r="O96" s="13">
        <f>N96*VLOOKUP('Données projet'!$B$9,Paramètres!$A$1:$I$89,3,0)*VLOOKUP('Données projet'!$B$9,Paramètres!$A$1:$I$89,5,0)</f>
        <v>-4.7672074288129813E-13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463.16285713357729</v>
      </c>
      <c r="T96" s="59">
        <f t="shared" si="88"/>
        <v>525.72239370489785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2.7193891583010558E-13</v>
      </c>
      <c r="AK96" s="13">
        <f t="shared" si="89"/>
        <v>3.6362267729089988E-12</v>
      </c>
      <c r="AL96" s="20">
        <f t="shared" si="58"/>
        <v>6.8067219078872727E-12</v>
      </c>
      <c r="AM96" s="59">
        <f t="shared" si="59"/>
        <v>275.32816567184278</v>
      </c>
      <c r="AN96" s="59">
        <f ca="1">AVERAGE(OFFSET($AM$3,0,0,'Données projet'!$E$10+1,1))-AVERAGE(OFFSET($H$3,0,0,'Données projet'!$E$10+1,1))</f>
        <v>336.28176557459966</v>
      </c>
      <c r="AO96" s="59">
        <f t="shared" si="90"/>
        <v>357.30155664292317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8.4308401639517179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1.3289745781706434E-8</v>
      </c>
      <c r="AX96" s="21">
        <f t="shared" si="60"/>
        <v>8.4308401772414641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-9.0949470177292824E-13</v>
      </c>
      <c r="O97" s="13">
        <f>N97*VLOOKUP('Données projet'!$B$9,Paramètres!$A$1:$I$89,3,0)*VLOOKUP('Données projet'!$B$9,Paramètres!$A$1:$I$89,5,0)</f>
        <v>-4.7672074288129813E-13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463.16285713357729</v>
      </c>
      <c r="T97" s="59">
        <f t="shared" si="88"/>
        <v>525.72239370489785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2.7193891583010558E-13</v>
      </c>
      <c r="AK97" s="13">
        <f t="shared" si="89"/>
        <v>3.6362267729089988E-12</v>
      </c>
      <c r="AL97" s="20">
        <f t="shared" si="58"/>
        <v>6.8067219078872727E-12</v>
      </c>
      <c r="AM97" s="59">
        <f t="shared" si="59"/>
        <v>275.64051507724531</v>
      </c>
      <c r="AN97" s="59">
        <f ca="1">AVERAGE(OFFSET($AM$3,0,0,'Données projet'!$E$10+1,1))-AVERAGE(OFFSET($H$3,0,0,'Données projet'!$E$10+1,1))</f>
        <v>336.28176557459966</v>
      </c>
      <c r="AO97" s="59">
        <f t="shared" si="90"/>
        <v>357.30155664292317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8.2655165306413636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9.3972693624899346E-9</v>
      </c>
      <c r="AX97" s="21">
        <f t="shared" si="60"/>
        <v>8.2655165400386323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-9.0949470177292824E-13</v>
      </c>
      <c r="O98" s="13">
        <f>N98*VLOOKUP('Données projet'!$B$9,Paramètres!$A$1:$I$89,3,0)*VLOOKUP('Données projet'!$B$9,Paramètres!$A$1:$I$89,5,0)</f>
        <v>-4.7672074288129813E-13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463.16285713357729</v>
      </c>
      <c r="T98" s="59">
        <f t="shared" si="88"/>
        <v>525.72239370489785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2.7193891583010558E-13</v>
      </c>
      <c r="AK98" s="13">
        <f t="shared" si="89"/>
        <v>3.6362267729089988E-12</v>
      </c>
      <c r="AL98" s="20">
        <f t="shared" si="58"/>
        <v>6.8067219078872727E-12</v>
      </c>
      <c r="AM98" s="59">
        <f t="shared" si="59"/>
        <v>275.94744591877276</v>
      </c>
      <c r="AN98" s="59">
        <f ca="1">AVERAGE(OFFSET($AM$3,0,0,'Données projet'!$E$10+1,1))-AVERAGE(OFFSET($H$3,0,0,'Données projet'!$E$10+1,1))</f>
        <v>336.28176557459966</v>
      </c>
      <c r="AO98" s="59">
        <f t="shared" si="90"/>
        <v>357.30155664292317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8.1034347929427675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6.6448728908532172E-9</v>
      </c>
      <c r="AX98" s="21">
        <f t="shared" si="60"/>
        <v>8.1034347995876406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-9.0949470177292824E-13</v>
      </c>
      <c r="O99" s="13">
        <f>N99*VLOOKUP('Données projet'!$B$9,Paramètres!$A$1:$I$89,3,0)*VLOOKUP('Données projet'!$B$9,Paramètres!$A$1:$I$89,5,0)</f>
        <v>-4.7672074288129813E-13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463.16285713357729</v>
      </c>
      <c r="T99" s="59">
        <f t="shared" si="88"/>
        <v>525.72239370489785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2.7193891583010558E-13</v>
      </c>
      <c r="AK99" s="13">
        <f t="shared" si="89"/>
        <v>3.6362267729089988E-12</v>
      </c>
      <c r="AL99" s="20">
        <f t="shared" si="58"/>
        <v>6.8067219078872727E-12</v>
      </c>
      <c r="AM99" s="59">
        <f t="shared" si="59"/>
        <v>276.24905219639425</v>
      </c>
      <c r="AN99" s="59">
        <f ca="1">AVERAGE(OFFSET($AM$3,0,0,'Données projet'!$E$10+1,1))-AVERAGE(OFFSET($H$3,0,0,'Données projet'!$E$10+1,1))</f>
        <v>336.28176557459966</v>
      </c>
      <c r="AO99" s="59">
        <f t="shared" si="90"/>
        <v>357.30155664292317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7.9445313792603418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4.6986346812449673E-9</v>
      </c>
      <c r="AX99" s="21">
        <f t="shared" si="60"/>
        <v>7.9445313839589762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-9.0949470177292824E-13</v>
      </c>
      <c r="O100" s="13">
        <f>N100*VLOOKUP('Données projet'!$B$9,Paramètres!$A$1:$I$89,3,0)*VLOOKUP('Données projet'!$B$9,Paramètres!$A$1:$I$89,5,0)</f>
        <v>-4.7672074288129813E-13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463.16285713357729</v>
      </c>
      <c r="T100" s="59">
        <f t="shared" si="88"/>
        <v>525.72239370489785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2.7193891583010558E-13</v>
      </c>
      <c r="AK100" s="13">
        <f t="shared" si="89"/>
        <v>3.6362267729089988E-12</v>
      </c>
      <c r="AL100" s="20">
        <f t="shared" si="58"/>
        <v>6.8067219078872727E-12</v>
      </c>
      <c r="AM100" s="59">
        <f t="shared" si="59"/>
        <v>276.54542627938963</v>
      </c>
      <c r="AN100" s="59">
        <f ca="1">AVERAGE(OFFSET($AM$3,0,0,'Données projet'!$E$10+1,1))-AVERAGE(OFFSET($H$3,0,0,'Données projet'!$E$10+1,1))</f>
        <v>336.28176557459966</v>
      </c>
      <c r="AO100" s="59">
        <f t="shared" si="90"/>
        <v>357.30155664292317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7.7887439645987158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3.3224364454266086E-9</v>
      </c>
      <c r="AX100" s="21">
        <f t="shared" si="60"/>
        <v>7.7887439679211523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-9.0949470177292824E-13</v>
      </c>
      <c r="O101" s="13">
        <f>N101*VLOOKUP('Données projet'!$B$9,Paramètres!$A$1:$I$89,3,0)*VLOOKUP('Données projet'!$B$9,Paramètres!$A$1:$I$89,5,0)</f>
        <v>-4.7672074288129813E-13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463.16285713357729</v>
      </c>
      <c r="T101" s="59">
        <f t="shared" si="88"/>
        <v>525.72239370489785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2.7193891583010558E-13</v>
      </c>
      <c r="AK101" s="13">
        <f t="shared" si="89"/>
        <v>3.6362267729089988E-12</v>
      </c>
      <c r="AL101" s="20">
        <f t="shared" si="58"/>
        <v>6.8067219078872727E-12</v>
      </c>
      <c r="AM101" s="59">
        <f t="shared" si="59"/>
        <v>276.83665893463819</v>
      </c>
      <c r="AN101" s="59">
        <f ca="1">AVERAGE(OFFSET($AM$3,0,0,'Données projet'!$E$10+1,1))-AVERAGE(OFFSET($H$3,0,0,'Données projet'!$E$10+1,1))</f>
        <v>336.28176557459966</v>
      </c>
      <c r="AO101" s="59">
        <f t="shared" si="90"/>
        <v>357.30155664292317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7.6360114461176645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2.3493173406224837E-9</v>
      </c>
      <c r="AX101" s="21">
        <f t="shared" si="60"/>
        <v>7.6360114484669817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-9.0949470177292824E-13</v>
      </c>
      <c r="O102" s="13">
        <f>N102*VLOOKUP('Données projet'!$B$9,Paramètres!$A$1:$I$89,3,0)*VLOOKUP('Données projet'!$B$9,Paramètres!$A$1:$I$89,5,0)</f>
        <v>-4.7672074288129813E-13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463.16285713357729</v>
      </c>
      <c r="T102" s="59">
        <f t="shared" si="88"/>
        <v>525.72239370489785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2.7193891583010558E-13</v>
      </c>
      <c r="AK102" s="13">
        <f t="shared" si="89"/>
        <v>3.6362267729089988E-12</v>
      </c>
      <c r="AL102" s="20">
        <f t="shared" si="58"/>
        <v>6.8067219078872727E-12</v>
      </c>
      <c r="AM102" s="59">
        <f t="shared" si="59"/>
        <v>277.12283935441695</v>
      </c>
      <c r="AN102" s="59">
        <f ca="1">AVERAGE(OFFSET($AM$3,0,0,'Données projet'!$E$10+1,1))-AVERAGE(OFFSET($H$3,0,0,'Données projet'!$E$10+1,1))</f>
        <v>336.28176557459966</v>
      </c>
      <c r="AO102" s="59">
        <f t="shared" si="90"/>
        <v>357.30155664292317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7.486273919166389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1.6612182227133043E-9</v>
      </c>
      <c r="AX102" s="21">
        <f t="shared" si="60"/>
        <v>7.4862739208276068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-9.0949470177292824E-13</v>
      </c>
      <c r="O103" s="13">
        <f>N103*VLOOKUP('Données projet'!$B$9,Paramètres!$A$1:$I$89,3,0)*VLOOKUP('Données projet'!$B$9,Paramètres!$A$1:$I$89,5,0)</f>
        <v>-4.7672074288129813E-13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463.16285713357729</v>
      </c>
      <c r="T103" s="59">
        <f t="shared" si="88"/>
        <v>525.72239370489785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2.7193891583010558E-13</v>
      </c>
      <c r="AK103" s="13">
        <f t="shared" si="89"/>
        <v>3.6362267729089988E-12</v>
      </c>
      <c r="AL103" s="20">
        <f t="shared" si="58"/>
        <v>6.8067219078872727E-12</v>
      </c>
      <c r="AM103" s="59">
        <f t="shared" si="59"/>
        <v>277.40405518371603</v>
      </c>
      <c r="AN103" s="59">
        <f ca="1">AVERAGE(OFFSET($AM$3,0,0,'Données projet'!$E$10+1,1))-AVERAGE(OFFSET($H$3,0,0,'Données projet'!$E$10+1,1))</f>
        <v>336.28176557459966</v>
      </c>
      <c r="AO103" s="59">
        <f t="shared" si="90"/>
        <v>357.30155664292317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7.3394726537877544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1.1746586703112418E-9</v>
      </c>
      <c r="AX103" s="21">
        <f t="shared" si="60"/>
        <v>7.339472654962413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-9.0949470177292824E-13</v>
      </c>
      <c r="O104" s="13">
        <f>N104*VLOOKUP('Données projet'!$B$9,Paramètres!$A$1:$I$89,3,0)*VLOOKUP('Données projet'!$B$9,Paramètres!$A$1:$I$89,5,0)</f>
        <v>-4.7672074288129813E-13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463.16285713357729</v>
      </c>
      <c r="T104" s="59">
        <f t="shared" si="88"/>
        <v>525.72239370489785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2.7193891583010558E-13</v>
      </c>
      <c r="AK104" s="13">
        <f t="shared" si="89"/>
        <v>3.6362267729089988E-12</v>
      </c>
      <c r="AL104" s="20">
        <f t="shared" si="58"/>
        <v>6.8067219078872727E-12</v>
      </c>
      <c r="AM104" s="59">
        <f t="shared" si="59"/>
        <v>277.68039254708123</v>
      </c>
      <c r="AN104" s="59">
        <f ca="1">AVERAGE(OFFSET($AM$3,0,0,'Données projet'!$E$10+1,1))-AVERAGE(OFFSET($H$3,0,0,'Données projet'!$E$10+1,1))</f>
        <v>336.28176557459966</v>
      </c>
      <c r="AO104" s="59">
        <f t="shared" si="90"/>
        <v>357.30155664292317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7.1955500716832645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8.3060911135665215E-10</v>
      </c>
      <c r="AX104" s="21">
        <f t="shared" si="60"/>
        <v>7.1955500725138739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-9.0949470177292824E-13</v>
      </c>
      <c r="O105" s="13">
        <f>N105*VLOOKUP('Données projet'!$B$9,Paramètres!$A$1:$I$89,3,0)*VLOOKUP('Données projet'!$B$9,Paramètres!$A$1:$I$89,5,0)</f>
        <v>-4.7672074288129813E-13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463.16285713357729</v>
      </c>
      <c r="T105" s="59">
        <f t="shared" si="88"/>
        <v>525.72239370489785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2.7193891583010558E-13</v>
      </c>
      <c r="AK105" s="13">
        <f t="shared" si="89"/>
        <v>3.6362267729089988E-12</v>
      </c>
      <c r="AL105" s="20">
        <f t="shared" si="58"/>
        <v>6.8067219078872727E-12</v>
      </c>
      <c r="AM105" s="59">
        <f t="shared" si="59"/>
        <v>277.95193607498976</v>
      </c>
      <c r="AN105" s="59">
        <f ca="1">AVERAGE(OFFSET($AM$3,0,0,'Données projet'!$E$10+1,1))-AVERAGE(OFFSET($H$3,0,0,'Données projet'!$E$10+1,1))</f>
        <v>336.28176557459966</v>
      </c>
      <c r="AO105" s="59">
        <f t="shared" si="90"/>
        <v>357.30155664292317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7.0544497236297365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5.8732933515562091E-10</v>
      </c>
      <c r="AX105" s="21">
        <f t="shared" si="60"/>
        <v>7.0544497242170658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-9.0949470177292824E-13</v>
      </c>
      <c r="O106" s="13">
        <f>N106*VLOOKUP('Données projet'!$B$9,Paramètres!$A$1:$I$89,3,0)*VLOOKUP('Données projet'!$B$9,Paramètres!$A$1:$I$89,5,0)</f>
        <v>-4.7672074288129813E-13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463.16285713357729</v>
      </c>
      <c r="T106" s="59">
        <f t="shared" si="88"/>
        <v>525.72239370489785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2.7193891583010558E-13</v>
      </c>
      <c r="AK106" s="13">
        <f t="shared" si="89"/>
        <v>3.6362267729089988E-12</v>
      </c>
      <c r="AL106" s="20">
        <f t="shared" si="58"/>
        <v>6.8067219078872727E-12</v>
      </c>
      <c r="AM106" s="59">
        <f t="shared" si="59"/>
        <v>278.21876892976951</v>
      </c>
      <c r="AN106" s="59">
        <f ca="1">AVERAGE(OFFSET($AM$3,0,0,'Données projet'!$E$10+1,1))-AVERAGE(OFFSET($H$3,0,0,'Données projet'!$E$10+1,1))</f>
        <v>336.28176557459966</v>
      </c>
      <c r="AO106" s="59">
        <f t="shared" si="90"/>
        <v>357.30155664292317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6.9161162673388237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4.1530455567832608E-10</v>
      </c>
      <c r="AX106" s="21">
        <f t="shared" si="60"/>
        <v>6.9161162677541279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-9.0949470177292824E-13</v>
      </c>
      <c r="O107" s="13">
        <f>N107*VLOOKUP('Données projet'!$B$9,Paramètres!$A$1:$I$89,3,0)*VLOOKUP('Données projet'!$B$9,Paramètres!$A$1:$I$89,5,0)</f>
        <v>-4.7672074288129813E-13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463.16285713357729</v>
      </c>
      <c r="T107" s="59">
        <f t="shared" si="88"/>
        <v>525.72239370489785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2.7193891583010558E-13</v>
      </c>
      <c r="AK107" s="13">
        <f t="shared" si="89"/>
        <v>3.6362267729089988E-12</v>
      </c>
      <c r="AL107" s="20">
        <f t="shared" si="58"/>
        <v>6.8067219078872727E-12</v>
      </c>
      <c r="AM107" s="59">
        <f t="shared" si="59"/>
        <v>278.48097283106773</v>
      </c>
      <c r="AN107" s="59">
        <f ca="1">AVERAGE(OFFSET($AM$3,0,0,'Données projet'!$E$10+1,1))-AVERAGE(OFFSET($H$3,0,0,'Données projet'!$E$10+1,1))</f>
        <v>336.28176557459966</v>
      </c>
      <c r="AO107" s="59">
        <f t="shared" si="90"/>
        <v>357.30155664292317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6.7804954457506987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2.9366466757781046E-10</v>
      </c>
      <c r="AX107" s="21">
        <f t="shared" si="60"/>
        <v>6.7804954460443634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-9.0949470177292824E-13</v>
      </c>
      <c r="O108" s="13">
        <f>N108*VLOOKUP('Données projet'!$B$9,Paramètres!$A$1:$I$89,3,0)*VLOOKUP('Données projet'!$B$9,Paramètres!$A$1:$I$89,5,0)</f>
        <v>-4.7672074288129813E-13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463.16285713357729</v>
      </c>
      <c r="T108" s="59">
        <f t="shared" si="88"/>
        <v>525.72239370489785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2.7193891583010558E-13</v>
      </c>
      <c r="AK108" s="13">
        <f t="shared" si="89"/>
        <v>3.6362267729089988E-12</v>
      </c>
      <c r="AL108" s="20">
        <f t="shared" si="58"/>
        <v>6.8067219078872727E-12</v>
      </c>
      <c r="AM108" s="59">
        <f t="shared" si="59"/>
        <v>278.73862808087858</v>
      </c>
      <c r="AN108" s="59">
        <f ca="1">AVERAGE(OFFSET($AM$3,0,0,'Données projet'!$E$10+1,1))-AVERAGE(OFFSET($H$3,0,0,'Données projet'!$E$10+1,1))</f>
        <v>336.28176557459966</v>
      </c>
      <c r="AO108" s="59">
        <f t="shared" si="90"/>
        <v>357.30155664292317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6.6475340657533835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2.0765227783916304E-10</v>
      </c>
      <c r="AX108" s="21">
        <f t="shared" si="60"/>
        <v>6.647534065961036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-9.0949470177292824E-13</v>
      </c>
      <c r="O109" s="13">
        <f>N109*VLOOKUP('Données projet'!$B$9,Paramètres!$A$1:$I$89,3,0)*VLOOKUP('Données projet'!$B$9,Paramètres!$A$1:$I$89,5,0)</f>
        <v>-4.7672074288129813E-13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463.16285713357729</v>
      </c>
      <c r="T109" s="59">
        <f t="shared" si="88"/>
        <v>525.72239370489785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2.7193891583010558E-13</v>
      </c>
      <c r="AK109" s="13">
        <f t="shared" si="89"/>
        <v>3.6362267729089988E-12</v>
      </c>
      <c r="AL109" s="20">
        <f t="shared" si="58"/>
        <v>6.8067219078872727E-12</v>
      </c>
      <c r="AM109" s="59">
        <f t="shared" si="59"/>
        <v>278.99181358813593</v>
      </c>
      <c r="AN109" s="59">
        <f ca="1">AVERAGE(OFFSET($AM$3,0,0,'Données projet'!$E$10+1,1))-AVERAGE(OFFSET($H$3,0,0,'Données projet'!$E$10+1,1))</f>
        <v>336.28176557459966</v>
      </c>
      <c r="AO109" s="59">
        <f t="shared" si="90"/>
        <v>357.30155664292317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6.5171799773193815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1.4683233378890523E-10</v>
      </c>
      <c r="AX109" s="21">
        <f t="shared" si="60"/>
        <v>6.5171799774662142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-9.0949470177292824E-13</v>
      </c>
      <c r="O110" s="13">
        <f>N110*VLOOKUP('Données projet'!$B$9,Paramètres!$A$1:$I$89,3,0)*VLOOKUP('Données projet'!$B$9,Paramètres!$A$1:$I$89,5,0)</f>
        <v>-4.7672074288129813E-13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463.16285713357729</v>
      </c>
      <c r="T110" s="59">
        <f t="shared" si="88"/>
        <v>525.72239370489785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2.7193891583010558E-13</v>
      </c>
      <c r="AK110" s="13">
        <f t="shared" si="89"/>
        <v>3.6362267729089988E-12</v>
      </c>
      <c r="AL110" s="20">
        <f t="shared" si="58"/>
        <v>6.8067219078872727E-12</v>
      </c>
      <c r="AM110" s="59">
        <f t="shared" si="59"/>
        <v>279.24060689288046</v>
      </c>
      <c r="AN110" s="59">
        <f ca="1">AVERAGE(OFFSET($AM$3,0,0,'Données projet'!$E$10+1,1))-AVERAGE(OFFSET($H$3,0,0,'Données projet'!$E$10+1,1))</f>
        <v>336.28176557459966</v>
      </c>
      <c r="AO110" s="59">
        <f t="shared" si="90"/>
        <v>357.30155664292317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6.3893820530514276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1.0382613891958152E-10</v>
      </c>
      <c r="AX110" s="21">
        <f t="shared" si="60"/>
        <v>6.3893820531552539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-9.0949470177292824E-13</v>
      </c>
      <c r="O111" s="13">
        <f>N111*VLOOKUP('Données projet'!$B$9,Paramètres!$A$1:$I$89,3,0)*VLOOKUP('Données projet'!$B$9,Paramètres!$A$1:$I$89,5,0)</f>
        <v>-4.7672074288129813E-13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463.16285713357729</v>
      </c>
      <c r="T111" s="59">
        <f t="shared" si="88"/>
        <v>525.72239370489785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2.7193891583010558E-13</v>
      </c>
      <c r="AK111" s="13">
        <f t="shared" si="89"/>
        <v>3.6362267729089988E-12</v>
      </c>
      <c r="AL111" s="20">
        <f t="shared" si="58"/>
        <v>6.8067219078872727E-12</v>
      </c>
      <c r="AM111" s="59">
        <f t="shared" si="59"/>
        <v>279.48508419000615</v>
      </c>
      <c r="AN111" s="59">
        <f ca="1">AVERAGE(OFFSET($AM$3,0,0,'Données projet'!$E$10+1,1))-AVERAGE(OFFSET($H$3,0,0,'Données projet'!$E$10+1,1))</f>
        <v>336.28176557459966</v>
      </c>
      <c r="AO111" s="59">
        <f t="shared" si="90"/>
        <v>357.30155664292317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6.2640901681293313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7.3416166894452614E-11</v>
      </c>
      <c r="AX111" s="21">
        <f t="shared" si="60"/>
        <v>6.2640901682027472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-9.0949470177292824E-13</v>
      </c>
      <c r="O112" s="13">
        <f>N112*VLOOKUP('Données projet'!$B$9,Paramètres!$A$1:$I$89,3,0)*VLOOKUP('Données projet'!$B$9,Paramètres!$A$1:$I$89,5,0)</f>
        <v>-4.7672074288129813E-13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463.16285713357729</v>
      </c>
      <c r="T112" s="59">
        <f t="shared" si="88"/>
        <v>525.72239370489785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2.7193891583010558E-13</v>
      </c>
      <c r="AK112" s="13">
        <f t="shared" si="89"/>
        <v>3.6362267729089988E-12</v>
      </c>
      <c r="AL112" s="20">
        <f t="shared" si="58"/>
        <v>6.8067219078872727E-12</v>
      </c>
      <c r="AM112" s="59">
        <f t="shared" si="59"/>
        <v>279.7253203525961</v>
      </c>
      <c r="AN112" s="59">
        <f ca="1">AVERAGE(OFFSET($AM$3,0,0,'Données projet'!$E$10+1,1))-AVERAGE(OFFSET($H$3,0,0,'Données projet'!$E$10+1,1))</f>
        <v>336.28176557459966</v>
      </c>
      <c r="AO112" s="59">
        <f t="shared" si="90"/>
        <v>357.30155664292317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6.1412551806500533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5.191306945979076E-11</v>
      </c>
      <c r="AX112" s="21">
        <f t="shared" si="60"/>
        <v>6.1412551807019664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-9.0949470177292824E-13</v>
      </c>
      <c r="O113" s="13">
        <f>N113*VLOOKUP('Données projet'!$B$9,Paramètres!$A$1:$I$89,3,0)*VLOOKUP('Données projet'!$B$9,Paramètres!$A$1:$I$89,5,0)</f>
        <v>-4.7672074288129813E-13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463.16285713357729</v>
      </c>
      <c r="T113" s="59">
        <f t="shared" si="88"/>
        <v>525.72239370489785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2.7193891583010558E-13</v>
      </c>
      <c r="AK113" s="13">
        <f t="shared" si="89"/>
        <v>3.6362267729089988E-12</v>
      </c>
      <c r="AL113" s="20">
        <f t="shared" si="58"/>
        <v>6.8067219078872727E-12</v>
      </c>
      <c r="AM113" s="59">
        <f t="shared" si="59"/>
        <v>279.96138895485268</v>
      </c>
      <c r="AN113" s="59">
        <f ca="1">AVERAGE(OFFSET($AM$3,0,0,'Données projet'!$E$10+1,1))-AVERAGE(OFFSET($H$3,0,0,'Données projet'!$E$10+1,1))</f>
        <v>336.28176557459966</v>
      </c>
      <c r="AO113" s="59">
        <f t="shared" si="90"/>
        <v>357.30155664292317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6.0208289123532994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3.6708083447226307E-11</v>
      </c>
      <c r="AX113" s="21">
        <f t="shared" si="60"/>
        <v>6.0208289123900078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-9.0949470177292824E-13</v>
      </c>
      <c r="O114" s="13">
        <f>N114*VLOOKUP('Données projet'!$B$9,Paramètres!$A$1:$I$89,3,0)*VLOOKUP('Données projet'!$B$9,Paramètres!$A$1:$I$89,5,0)</f>
        <v>-4.7672074288129813E-13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463.16285713357729</v>
      </c>
      <c r="T114" s="59">
        <f t="shared" si="88"/>
        <v>525.72239370489785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2.7193891583010558E-13</v>
      </c>
      <c r="AK114" s="13">
        <f t="shared" si="89"/>
        <v>3.6362267729089988E-12</v>
      </c>
      <c r="AL114" s="20">
        <f t="shared" si="58"/>
        <v>6.8067219078872727E-12</v>
      </c>
      <c r="AM114" s="59">
        <f t="shared" si="59"/>
        <v>280.19336229463039</v>
      </c>
      <c r="AN114" s="59">
        <f ca="1">AVERAGE(OFFSET($AM$3,0,0,'Données projet'!$E$10+1,1))-AVERAGE(OFFSET($H$3,0,0,'Données projet'!$E$10+1,1))</f>
        <v>336.28176557459966</v>
      </c>
      <c r="AO114" s="59">
        <f t="shared" si="90"/>
        <v>357.30155664292317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5.9027641297250737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2.595653472989538E-11</v>
      </c>
      <c r="AX114" s="21">
        <f t="shared" si="60"/>
        <v>5.9027641297510298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-9.0949470177292824E-13</v>
      </c>
      <c r="O115" s="13">
        <f>N115*VLOOKUP('Données projet'!$B$9,Paramètres!$A$1:$I$89,3,0)*VLOOKUP('Données projet'!$B$9,Paramètres!$A$1:$I$89,5,0)</f>
        <v>-4.7672074288129813E-13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463.16285713357729</v>
      </c>
      <c r="T115" s="59">
        <f t="shared" si="88"/>
        <v>525.72239370489785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2.7193891583010558E-13</v>
      </c>
      <c r="AK115" s="13">
        <f t="shared" si="89"/>
        <v>3.6362267729089988E-12</v>
      </c>
      <c r="AL115" s="20">
        <f t="shared" si="58"/>
        <v>6.8067219078872727E-12</v>
      </c>
      <c r="AM115" s="59">
        <f t="shared" si="59"/>
        <v>280.42131141557769</v>
      </c>
      <c r="AN115" s="59">
        <f ca="1">AVERAGE(OFFSET($AM$3,0,0,'Données projet'!$E$10+1,1))-AVERAGE(OFFSET($H$3,0,0,'Données projet'!$E$10+1,1))</f>
        <v>336.28176557459966</v>
      </c>
      <c r="AO115" s="59">
        <f t="shared" si="90"/>
        <v>357.30155664292317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5.7870145254717809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1.8354041723613154E-11</v>
      </c>
      <c r="AX115" s="21">
        <f t="shared" si="60"/>
        <v>5.7870145254901351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-9.0949470177292824E-13</v>
      </c>
      <c r="O116" s="13">
        <f>N116*VLOOKUP('Données projet'!$B$9,Paramètres!$A$1:$I$89,3,0)*VLOOKUP('Données projet'!$B$9,Paramètres!$A$1:$I$89,5,0)</f>
        <v>-4.7672074288129813E-13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463.16285713357729</v>
      </c>
      <c r="T116" s="59">
        <f t="shared" si="88"/>
        <v>525.72239370489785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2.7193891583010558E-13</v>
      </c>
      <c r="AK116" s="13">
        <f t="shared" si="89"/>
        <v>3.6362267729089988E-12</v>
      </c>
      <c r="AL116" s="20">
        <f t="shared" si="58"/>
        <v>6.8067219078872727E-12</v>
      </c>
      <c r="AM116" s="59">
        <f t="shared" si="59"/>
        <v>280.64530612889445</v>
      </c>
      <c r="AN116" s="59">
        <f ca="1">AVERAGE(OFFSET($AM$3,0,0,'Données projet'!$E$10+1,1))-AVERAGE(OFFSET($H$3,0,0,'Données projet'!$E$10+1,1))</f>
        <v>336.28176557459966</v>
      </c>
      <c r="AO116" s="59">
        <f t="shared" si="90"/>
        <v>357.30155664292317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5.6735347003576075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1.297826736494769E-11</v>
      </c>
      <c r="AX116" s="21">
        <f t="shared" si="60"/>
        <v>5.6735347003705856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-9.0949470177292824E-13</v>
      </c>
      <c r="O117" s="13">
        <f>N117*VLOOKUP('Données projet'!$B$9,Paramètres!$A$1:$I$89,3,0)*VLOOKUP('Données projet'!$B$9,Paramètres!$A$1:$I$89,5,0)</f>
        <v>-4.7672074288129813E-13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463.16285713357729</v>
      </c>
      <c r="T117" s="59">
        <f t="shared" si="88"/>
        <v>525.72239370489785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2.7193891583010558E-13</v>
      </c>
      <c r="AK117" s="13">
        <f t="shared" si="89"/>
        <v>3.6362267729089988E-12</v>
      </c>
      <c r="AL117" s="20">
        <f t="shared" si="58"/>
        <v>6.8067219078872727E-12</v>
      </c>
      <c r="AM117" s="59">
        <f t="shared" si="59"/>
        <v>280.86541503471227</v>
      </c>
      <c r="AN117" s="59">
        <f ca="1">AVERAGE(OFFSET($AM$3,0,0,'Données projet'!$E$10+1,1))-AVERAGE(OFFSET($H$3,0,0,'Données projet'!$E$10+1,1))</f>
        <v>336.28176557459966</v>
      </c>
      <c r="AO117" s="59">
        <f t="shared" si="90"/>
        <v>357.30155664292317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5.5622801453980646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9.1770208618065768E-12</v>
      </c>
      <c r="AX117" s="21">
        <f t="shared" si="60"/>
        <v>5.5622801454072412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-9.0949470177292824E-13</v>
      </c>
      <c r="O118" s="13">
        <f>N118*VLOOKUP('Données projet'!$B$9,Paramètres!$A$1:$I$89,3,0)*VLOOKUP('Données projet'!$B$9,Paramètres!$A$1:$I$89,5,0)</f>
        <v>-4.7672074288129813E-13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463.16285713357729</v>
      </c>
      <c r="T118" s="59">
        <f t="shared" si="88"/>
        <v>525.72239370489785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2.7193891583010558E-13</v>
      </c>
      <c r="AK118" s="13">
        <f t="shared" si="89"/>
        <v>3.6362267729089988E-12</v>
      </c>
      <c r="AL118" s="20">
        <f t="shared" si="58"/>
        <v>6.8067219078872727E-12</v>
      </c>
      <c r="AM118" s="59">
        <f t="shared" si="59"/>
        <v>281.08170554310408</v>
      </c>
      <c r="AN118" s="59">
        <f ca="1">AVERAGE(OFFSET($AM$3,0,0,'Données projet'!$E$10+1,1))-AVERAGE(OFFSET($H$3,0,0,'Données projet'!$E$10+1,1))</f>
        <v>336.28176557459966</v>
      </c>
      <c r="AO118" s="59">
        <f t="shared" si="90"/>
        <v>357.30155664292317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5.4532072244026999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6.489133682473845E-12</v>
      </c>
      <c r="AX118" s="21">
        <f t="shared" si="60"/>
        <v>5.4532072244091889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-9.0949470177292824E-13</v>
      </c>
      <c r="O119" s="13">
        <f>N119*VLOOKUP('Données projet'!$B$9,Paramètres!$A$1:$I$89,3,0)*VLOOKUP('Données projet'!$B$9,Paramètres!$A$1:$I$89,5,0)</f>
        <v>-4.7672074288129813E-13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463.16285713357729</v>
      </c>
      <c r="T119" s="59">
        <f t="shared" si="88"/>
        <v>525.72239370489785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2.7193891583010558E-13</v>
      </c>
      <c r="AK119" s="13">
        <f t="shared" si="89"/>
        <v>3.6362267729089988E-12</v>
      </c>
      <c r="AL119" s="20">
        <f t="shared" si="58"/>
        <v>6.8067219078872727E-12</v>
      </c>
      <c r="AM119" s="59">
        <f t="shared" si="59"/>
        <v>281.29424389472831</v>
      </c>
      <c r="AN119" s="59">
        <f ca="1">AVERAGE(OFFSET($AM$3,0,0,'Données projet'!$E$10+1,1))-AVERAGE(OFFSET($H$3,0,0,'Données projet'!$E$10+1,1))</f>
        <v>336.28176557459966</v>
      </c>
      <c r="AO119" s="59">
        <f t="shared" si="90"/>
        <v>357.30155664292317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5.3462731568601418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4.5885104309032884E-12</v>
      </c>
      <c r="AX119" s="21">
        <f t="shared" si="60"/>
        <v>5.3462731568647301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-9.0949470177292824E-13</v>
      </c>
      <c r="O120" s="13">
        <f>N120*VLOOKUP('Données projet'!$B$9,Paramètres!$A$1:$I$89,3,0)*VLOOKUP('Données projet'!$B$9,Paramètres!$A$1:$I$89,5,0)</f>
        <v>-4.7672074288129813E-13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463.16285713357729</v>
      </c>
      <c r="T120" s="59">
        <f t="shared" si="88"/>
        <v>525.72239370489785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2.7193891583010558E-13</v>
      </c>
      <c r="AK120" s="13">
        <f t="shared" si="89"/>
        <v>3.6362267729089988E-12</v>
      </c>
      <c r="AL120" s="20">
        <f t="shared" si="58"/>
        <v>6.8067219078872727E-12</v>
      </c>
      <c r="AM120" s="59">
        <f t="shared" si="59"/>
        <v>281.50309518111646</v>
      </c>
      <c r="AN120" s="59">
        <f ca="1">AVERAGE(OFFSET($AM$3,0,0,'Données projet'!$E$10+1,1))-AVERAGE(OFFSET($H$3,0,0,'Données projet'!$E$10+1,1))</f>
        <v>336.28176557459966</v>
      </c>
      <c r="AO120" s="59">
        <f t="shared" si="90"/>
        <v>357.30155664292317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5.2414360011587524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3.2445668412369225E-12</v>
      </c>
      <c r="AX120" s="21">
        <f t="shared" si="60"/>
        <v>5.2414360011619969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-9.0949470177292824E-13</v>
      </c>
      <c r="O121" s="13">
        <f>N121*VLOOKUP('Données projet'!$B$9,Paramètres!$A$1:$I$89,3,0)*VLOOKUP('Données projet'!$B$9,Paramètres!$A$1:$I$89,5,0)</f>
        <v>-4.7672074288129813E-13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463.16285713357729</v>
      </c>
      <c r="T121" s="59">
        <f t="shared" si="88"/>
        <v>525.72239370489785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2.7193891583010558E-13</v>
      </c>
      <c r="AK121" s="13">
        <f t="shared" si="89"/>
        <v>3.6362267729089988E-12</v>
      </c>
      <c r="AL121" s="20">
        <f t="shared" si="58"/>
        <v>6.8067219078872727E-12</v>
      </c>
      <c r="AM121" s="59">
        <f t="shared" si="59"/>
        <v>281.70832336460722</v>
      </c>
      <c r="AN121" s="59">
        <f ca="1">AVERAGE(OFFSET($AM$3,0,0,'Données projet'!$E$10+1,1))-AVERAGE(OFFSET($H$3,0,0,'Données projet'!$E$10+1,1))</f>
        <v>336.28176557459966</v>
      </c>
      <c r="AO121" s="59">
        <f t="shared" si="90"/>
        <v>357.30155664292317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5.1386546381363161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2.2942552154516442E-12</v>
      </c>
      <c r="AX121" s="21">
        <f t="shared" si="60"/>
        <v>5.1386546381386102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-9.0949470177292824E-13</v>
      </c>
      <c r="O122" s="13">
        <f>N122*VLOOKUP('Données projet'!$B$9,Paramètres!$A$1:$I$89,3,0)*VLOOKUP('Données projet'!$B$9,Paramètres!$A$1:$I$89,5,0)</f>
        <v>-4.7672074288129813E-13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463.16285713357729</v>
      </c>
      <c r="T122" s="59">
        <f t="shared" si="88"/>
        <v>525.72239370489785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2.7193891583010558E-13</v>
      </c>
      <c r="AK122" s="13">
        <f t="shared" si="89"/>
        <v>3.6362267729089988E-12</v>
      </c>
      <c r="AL122" s="20">
        <f t="shared" si="58"/>
        <v>6.8067219078872727E-12</v>
      </c>
      <c r="AM122" s="59">
        <f t="shared" si="59"/>
        <v>281.90999129793596</v>
      </c>
      <c r="AN122" s="59">
        <f ca="1">AVERAGE(OFFSET($AM$3,0,0,'Données projet'!$E$10+1,1))-AVERAGE(OFFSET($H$3,0,0,'Données projet'!$E$10+1,1))</f>
        <v>336.28176557459966</v>
      </c>
      <c r="AO122" s="59">
        <f t="shared" si="90"/>
        <v>357.30155664292317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5.0378887549523084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1.6222834206184612E-12</v>
      </c>
      <c r="AX122" s="21">
        <f t="shared" si="60"/>
        <v>5.0378887549539311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-9.0949470177292824E-13</v>
      </c>
      <c r="O123" s="13">
        <f>N123*VLOOKUP('Données projet'!$B$9,Paramètres!$A$1:$I$89,3,0)*VLOOKUP('Données projet'!$B$9,Paramètres!$A$1:$I$89,5,0)</f>
        <v>-4.7672074288129813E-13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463.16285713357729</v>
      </c>
      <c r="T123" s="59">
        <f t="shared" si="88"/>
        <v>525.72239370489785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2.7193891583010558E-13</v>
      </c>
      <c r="AK123" s="13">
        <f t="shared" si="89"/>
        <v>3.6362267729089988E-12</v>
      </c>
      <c r="AL123" s="20">
        <f t="shared" si="58"/>
        <v>6.8067219078872727E-12</v>
      </c>
      <c r="AM123" s="59">
        <f t="shared" si="59"/>
        <v>282.10816074348344</v>
      </c>
      <c r="AN123" s="59">
        <f ca="1">AVERAGE(OFFSET($AM$3,0,0,'Données projet'!$E$10+1,1))-AVERAGE(OFFSET($H$3,0,0,'Données projet'!$E$10+1,1))</f>
        <v>336.28176557459966</v>
      </c>
      <c r="AO123" s="59">
        <f t="shared" si="90"/>
        <v>357.30155664292317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4.9390988292764195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1.1471276077258221E-12</v>
      </c>
      <c r="AX123" s="21">
        <f t="shared" si="60"/>
        <v>4.939098829277567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-9.0949470177292824E-13</v>
      </c>
      <c r="O124" s="13">
        <f>N124*VLOOKUP('Données projet'!$B$9,Paramètres!$A$1:$I$89,3,0)*VLOOKUP('Données projet'!$B$9,Paramètres!$A$1:$I$89,5,0)</f>
        <v>-4.7672074288129813E-13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463.16285713357729</v>
      </c>
      <c r="T124" s="59">
        <f t="shared" si="88"/>
        <v>525.72239370489785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2.7193891583010558E-13</v>
      </c>
      <c r="AK124" s="13">
        <f t="shared" si="89"/>
        <v>3.6362267729089988E-12</v>
      </c>
      <c r="AL124" s="20">
        <f t="shared" si="58"/>
        <v>6.8067219078872727E-12</v>
      </c>
      <c r="AM124" s="59">
        <f t="shared" si="59"/>
        <v>282.30289239219121</v>
      </c>
      <c r="AN124" s="59">
        <f ca="1">AVERAGE(OFFSET($AM$3,0,0,'Données projet'!$E$10+1,1))-AVERAGE(OFFSET($H$3,0,0,'Données projet'!$E$10+1,1))</f>
        <v>336.28176557459966</v>
      </c>
      <c r="AO124" s="59">
        <f t="shared" si="90"/>
        <v>357.30155664292317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4.8422461137871302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8.1114171030923062E-13</v>
      </c>
      <c r="AX124" s="21">
        <f t="shared" si="60"/>
        <v>4.8422461137879411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-9.0949470177292824E-13</v>
      </c>
      <c r="O125" s="13">
        <f>N125*VLOOKUP('Données projet'!$B$9,Paramètres!$A$1:$I$89,3,0)*VLOOKUP('Données projet'!$B$9,Paramètres!$A$1:$I$89,5,0)</f>
        <v>-4.7672074288129813E-13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463.16285713357729</v>
      </c>
      <c r="T125" s="59">
        <f t="shared" si="88"/>
        <v>525.72239370489785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2.7193891583010558E-13</v>
      </c>
      <c r="AK125" s="13">
        <f t="shared" si="89"/>
        <v>3.6362267729089988E-12</v>
      </c>
      <c r="AL125" s="20">
        <f t="shared" si="58"/>
        <v>6.8067219078872727E-12</v>
      </c>
      <c r="AM125" s="59">
        <f t="shared" si="59"/>
        <v>282.49424588214862</v>
      </c>
      <c r="AN125" s="59">
        <f ca="1">AVERAGE(OFFSET($AM$3,0,0,'Données projet'!$E$10+1,1))-AVERAGE(OFFSET($H$3,0,0,'Données projet'!$E$10+1,1))</f>
        <v>336.28176557459966</v>
      </c>
      <c r="AO125" s="59">
        <f t="shared" si="90"/>
        <v>357.30155664292317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4.7472926209742621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5.7356380386291105E-13</v>
      </c>
      <c r="AX125" s="21">
        <f t="shared" si="60"/>
        <v>4.7472926209748358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-9.0949470177292824E-13</v>
      </c>
      <c r="O126" s="13">
        <f>N126*VLOOKUP('Données projet'!$B$9,Paramètres!$A$1:$I$89,3,0)*VLOOKUP('Données projet'!$B$9,Paramètres!$A$1:$I$89,5,0)</f>
        <v>-4.7672074288129813E-13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463.16285713357729</v>
      </c>
      <c r="T126" s="59">
        <f t="shared" si="88"/>
        <v>525.72239370489785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2.7193891583010558E-13</v>
      </c>
      <c r="AK126" s="13">
        <f t="shared" si="89"/>
        <v>3.6362267729089988E-12</v>
      </c>
      <c r="AL126" s="20">
        <f t="shared" si="58"/>
        <v>6.8067219078872727E-12</v>
      </c>
      <c r="AM126" s="59">
        <f t="shared" si="59"/>
        <v>282.68227981685749</v>
      </c>
      <c r="AN126" s="59">
        <f ca="1">AVERAGE(OFFSET($AM$3,0,0,'Données projet'!$E$10+1,1))-AVERAGE(OFFSET($H$3,0,0,'Données projet'!$E$10+1,1))</f>
        <v>336.28176557459966</v>
      </c>
      <c r="AO126" s="59">
        <f t="shared" si="90"/>
        <v>357.30155664292317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4.6542011082395423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4.0557085515461531E-13</v>
      </c>
      <c r="AX126" s="21">
        <f t="shared" si="60"/>
        <v>4.6542011082399481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-9.0949470177292824E-13</v>
      </c>
      <c r="O127" s="13">
        <f>N127*VLOOKUP('Données projet'!$B$9,Paramètres!$A$1:$I$89,3,0)*VLOOKUP('Données projet'!$B$9,Paramètres!$A$1:$I$89,5,0)</f>
        <v>-4.7672074288129813E-13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463.16285713357729</v>
      </c>
      <c r="T127" s="59">
        <f t="shared" si="88"/>
        <v>525.72239370489785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2.7193891583010558E-13</v>
      </c>
      <c r="AK127" s="13">
        <f t="shared" si="89"/>
        <v>3.6362267729089988E-12</v>
      </c>
      <c r="AL127" s="20">
        <f t="shared" si="58"/>
        <v>6.8067219078872727E-12</v>
      </c>
      <c r="AM127" s="59">
        <f t="shared" si="59"/>
        <v>282.86705178318016</v>
      </c>
      <c r="AN127" s="59">
        <f ca="1">AVERAGE(OFFSET($AM$3,0,0,'Données projet'!$E$10+1,1))-AVERAGE(OFFSET($H$3,0,0,'Données projet'!$E$10+1,1))</f>
        <v>336.28176557459966</v>
      </c>
      <c r="AO127" s="59">
        <f t="shared" si="90"/>
        <v>357.30155664292317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4.5629350632893342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2.8678190193145552E-13</v>
      </c>
      <c r="AX127" s="21">
        <f t="shared" si="60"/>
        <v>4.5629350632896211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-9.0949470177292824E-13</v>
      </c>
      <c r="O128" s="13">
        <f>N128*VLOOKUP('Données projet'!$B$9,Paramètres!$A$1:$I$89,3,0)*VLOOKUP('Données projet'!$B$9,Paramètres!$A$1:$I$89,5,0)</f>
        <v>-4.7672074288129813E-13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463.16285713357729</v>
      </c>
      <c r="T128" s="59">
        <f t="shared" si="88"/>
        <v>525.72239370489785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2.7193891583010558E-13</v>
      </c>
      <c r="AK128" s="13">
        <f t="shared" si="89"/>
        <v>3.6362267729089988E-12</v>
      </c>
      <c r="AL128" s="20">
        <f t="shared" si="58"/>
        <v>6.8067219078872727E-12</v>
      </c>
      <c r="AM128" s="59">
        <f t="shared" si="59"/>
        <v>283.04861836897533</v>
      </c>
      <c r="AN128" s="59">
        <f ca="1">AVERAGE(OFFSET($AM$3,0,0,'Données projet'!$E$10+1,1))-AVERAGE(OFFSET($H$3,0,0,'Données projet'!$E$10+1,1))</f>
        <v>336.28176557459966</v>
      </c>
      <c r="AO128" s="59">
        <f t="shared" si="90"/>
        <v>357.30155664292317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4.4734586898138087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2.0278542757730765E-13</v>
      </c>
      <c r="AX128" s="21">
        <f t="shared" si="60"/>
        <v>4.4734586898140112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-9.0949470177292824E-13</v>
      </c>
      <c r="O129" s="13">
        <f>N129*VLOOKUP('Données projet'!$B$9,Paramètres!$A$1:$I$89,3,0)*VLOOKUP('Données projet'!$B$9,Paramètres!$A$1:$I$89,5,0)</f>
        <v>-4.7672074288129813E-13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463.16285713357729</v>
      </c>
      <c r="T129" s="59">
        <f t="shared" si="88"/>
        <v>525.72239370489785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2.7193891583010558E-13</v>
      </c>
      <c r="AK129" s="13">
        <f t="shared" si="89"/>
        <v>3.6362267729089988E-12</v>
      </c>
      <c r="AL129" s="20">
        <f t="shared" si="58"/>
        <v>6.8067219078872727E-12</v>
      </c>
      <c r="AM129" s="59">
        <f t="shared" si="59"/>
        <v>283.22703518042903</v>
      </c>
      <c r="AN129" s="59">
        <f ca="1">AVERAGE(OFFSET($AM$3,0,0,'Données projet'!$E$10+1,1))-AVERAGE(OFFSET($H$3,0,0,'Données projet'!$E$10+1,1))</f>
        <v>336.28176557459966</v>
      </c>
      <c r="AO129" s="59">
        <f t="shared" si="90"/>
        <v>357.30155664292317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4.3857368934469401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1.4339095096572776E-13</v>
      </c>
      <c r="AX129" s="21">
        <f t="shared" si="60"/>
        <v>4.3857368934470831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-9.0949470177292824E-13</v>
      </c>
      <c r="O130" s="13">
        <f>N130*VLOOKUP('Données projet'!$B$9,Paramètres!$A$1:$I$89,3,0)*VLOOKUP('Données projet'!$B$9,Paramètres!$A$1:$I$89,5,0)</f>
        <v>-4.7672074288129813E-13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463.16285713357729</v>
      </c>
      <c r="T130" s="59">
        <f t="shared" si="88"/>
        <v>525.72239370489785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2.7193891583010558E-13</v>
      </c>
      <c r="AK130" s="13">
        <f t="shared" si="89"/>
        <v>3.6362267729089988E-12</v>
      </c>
      <c r="AL130" s="20">
        <f t="shared" si="58"/>
        <v>6.8067219078872727E-12</v>
      </c>
      <c r="AM130" s="59">
        <f t="shared" si="59"/>
        <v>283.40235685908425</v>
      </c>
      <c r="AN130" s="59">
        <f ca="1">AVERAGE(OFFSET($AM$3,0,0,'Données projet'!$E$10+1,1))-AVERAGE(OFFSET($H$3,0,0,'Données projet'!$E$10+1,1))</f>
        <v>336.28176557459966</v>
      </c>
      <c r="AO130" s="59">
        <f t="shared" si="90"/>
        <v>357.30155664292317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4.2997352680018128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1.0139271378865383E-13</v>
      </c>
      <c r="AX130" s="21">
        <f t="shared" si="60"/>
        <v>4.2997352680019141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-9.0949470177292824E-13</v>
      </c>
      <c r="O131" s="13">
        <f>N131*VLOOKUP('Données projet'!$B$9,Paramètres!$A$1:$I$89,3,0)*VLOOKUP('Données projet'!$B$9,Paramètres!$A$1:$I$89,5,0)</f>
        <v>-4.7672074288129813E-13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463.16285713357729</v>
      </c>
      <c r="T131" s="59">
        <f t="shared" si="88"/>
        <v>525.72239370489785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2.7193891583010558E-13</v>
      </c>
      <c r="AK131" s="13">
        <f t="shared" si="89"/>
        <v>3.6362267729089988E-12</v>
      </c>
      <c r="AL131" s="20">
        <f t="shared" si="58"/>
        <v>6.8067219078872727E-12</v>
      </c>
      <c r="AM131" s="59">
        <f t="shared" si="59"/>
        <v>283.57463709857535</v>
      </c>
      <c r="AN131" s="59">
        <f ca="1">AVERAGE(OFFSET($AM$3,0,0,'Données projet'!$E$10+1,1))-AVERAGE(OFFSET($H$3,0,0,'Données projet'!$E$10+1,1))</f>
        <v>336.28176557459966</v>
      </c>
      <c r="AO131" s="59">
        <f t="shared" si="90"/>
        <v>357.30155664292317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4.2154200819758527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7.1695475482863881E-14</v>
      </c>
      <c r="AX131" s="21">
        <f t="shared" si="60"/>
        <v>4.2154200819759247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-9.0949470177292824E-13</v>
      </c>
      <c r="O132" s="13">
        <f>N132*VLOOKUP('Données projet'!$B$9,Paramètres!$A$1:$I$89,3,0)*VLOOKUP('Données projet'!$B$9,Paramètres!$A$1:$I$89,5,0)</f>
        <v>-4.7672074288129813E-13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463.16285713357729</v>
      </c>
      <c r="T132" s="59">
        <f t="shared" si="88"/>
        <v>525.72239370489785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2.7193891583010558E-13</v>
      </c>
      <c r="AK132" s="13">
        <f t="shared" si="89"/>
        <v>3.6362267729089988E-12</v>
      </c>
      <c r="AL132" s="20">
        <f t="shared" ref="AL132:AL153" si="112">(AJ132+AK132)*0.475*44/12</f>
        <v>6.8067219078872727E-12</v>
      </c>
      <c r="AM132" s="59">
        <f t="shared" ref="AM132:AM195" si="113">AL132+(AD132+AE132)*44/12</f>
        <v>283.74392866107218</v>
      </c>
      <c r="AN132" s="59">
        <f ca="1">AVERAGE(OFFSET($AM$3,0,0,'Données projet'!$E$10+1,1))-AVERAGE(OFFSET($H$3,0,0,'Données projet'!$E$10+1,1))</f>
        <v>336.28176557459966</v>
      </c>
      <c r="AO132" s="59">
        <f t="shared" si="90"/>
        <v>357.30155664292317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4.1327582653206765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5.0696356894326914E-14</v>
      </c>
      <c r="AX132" s="21">
        <f t="shared" ref="AX132:AX153" si="114">SUM(AU132:AW132)</f>
        <v>4.1327582653207271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-9.0949470177292824E-13</v>
      </c>
      <c r="O133" s="13">
        <f>N133*VLOOKUP('Données projet'!$B$9,Paramètres!$A$1:$I$89,3,0)*VLOOKUP('Données projet'!$B$9,Paramètres!$A$1:$I$89,5,0)</f>
        <v>-4.7672074288129813E-13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463.16285713357729</v>
      </c>
      <c r="T133" s="59">
        <f t="shared" ref="T133:T196" si="142">$T$3</f>
        <v>525.72239370489785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2.7193891583010558E-13</v>
      </c>
      <c r="AK133" s="13">
        <f t="shared" ref="AK133:AK153" si="143">EXP(-1.0587+0.8836*LN(AJ133)+0.284)</f>
        <v>3.6362267729089988E-12</v>
      </c>
      <c r="AL133" s="20">
        <f t="shared" si="112"/>
        <v>6.8067219078872727E-12</v>
      </c>
      <c r="AM133" s="59">
        <f t="shared" si="113"/>
        <v>283.91028339343893</v>
      </c>
      <c r="AN133" s="59">
        <f ca="1">AVERAGE(OFFSET($AM$3,0,0,'Données projet'!$E$10+1,1))-AVERAGE(OFFSET($H$3,0,0,'Données projet'!$E$10+1,1))</f>
        <v>336.28176557459966</v>
      </c>
      <c r="AO133" s="59">
        <f t="shared" ref="AO133:AO196" si="144">$AO$3</f>
        <v>357.30155664292317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4.0517173964713784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3.5847737741431941E-14</v>
      </c>
      <c r="AX133" s="21">
        <f t="shared" si="114"/>
        <v>4.0517173964714139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-9.0949470177292824E-13</v>
      </c>
      <c r="O134" s="13">
        <f>N134*VLOOKUP('Données projet'!$B$9,Paramètres!$A$1:$I$89,3,0)*VLOOKUP('Données projet'!$B$9,Paramètres!$A$1:$I$89,5,0)</f>
        <v>-4.7672074288129813E-13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463.16285713357729</v>
      </c>
      <c r="T134" s="59">
        <f t="shared" si="142"/>
        <v>525.72239370489785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2.7193891583010558E-13</v>
      </c>
      <c r="AK134" s="13">
        <f t="shared" si="143"/>
        <v>3.6362267729089988E-12</v>
      </c>
      <c r="AL134" s="20">
        <f t="shared" si="112"/>
        <v>6.8067219078872727E-12</v>
      </c>
      <c r="AM134" s="59">
        <f t="shared" si="113"/>
        <v>284.07375224311255</v>
      </c>
      <c r="AN134" s="59">
        <f ca="1">AVERAGE(OFFSET($AM$3,0,0,'Données projet'!$E$10+1,1))-AVERAGE(OFFSET($H$3,0,0,'Données projet'!$E$10+1,1))</f>
        <v>336.28176557459966</v>
      </c>
      <c r="AO134" s="59">
        <f t="shared" si="144"/>
        <v>357.30155664292317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3.9722656896301656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2.5348178447163457E-14</v>
      </c>
      <c r="AX134" s="21">
        <f t="shared" si="114"/>
        <v>3.9722656896301909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-9.0949470177292824E-13</v>
      </c>
      <c r="O135" s="13">
        <f>N135*VLOOKUP('Données projet'!$B$9,Paramètres!$A$1:$I$89,3,0)*VLOOKUP('Données projet'!$B$9,Paramètres!$A$1:$I$89,5,0)</f>
        <v>-4.7672074288129813E-13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463.16285713357729</v>
      </c>
      <c r="T135" s="59">
        <f t="shared" si="142"/>
        <v>525.72239370489785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2.7193891583010558E-13</v>
      </c>
      <c r="AK135" s="13">
        <f t="shared" si="143"/>
        <v>3.6362267729089988E-12</v>
      </c>
      <c r="AL135" s="20">
        <f t="shared" si="112"/>
        <v>6.8067219078872727E-12</v>
      </c>
      <c r="AM135" s="59">
        <f t="shared" si="113"/>
        <v>284.23438527370598</v>
      </c>
      <c r="AN135" s="59">
        <f ca="1">AVERAGE(OFFSET($AM$3,0,0,'Données projet'!$E$10+1,1))-AVERAGE(OFFSET($H$3,0,0,'Données projet'!$E$10+1,1))</f>
        <v>336.28176557459966</v>
      </c>
      <c r="AO135" s="59">
        <f t="shared" si="144"/>
        <v>357.30155664292317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3.894371982299353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1.792386887071597E-14</v>
      </c>
      <c r="AX135" s="21">
        <f t="shared" si="114"/>
        <v>3.8943719822993708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-9.0949470177292824E-13</v>
      </c>
      <c r="O136" s="13">
        <f>N136*VLOOKUP('Données projet'!$B$9,Paramètres!$A$1:$I$89,3,0)*VLOOKUP('Données projet'!$B$9,Paramètres!$A$1:$I$89,5,0)</f>
        <v>-4.7672074288129813E-13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463.16285713357729</v>
      </c>
      <c r="T136" s="59">
        <f t="shared" si="142"/>
        <v>525.72239370489785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2.7193891583010558E-13</v>
      </c>
      <c r="AK136" s="13">
        <f t="shared" si="143"/>
        <v>3.6362267729089988E-12</v>
      </c>
      <c r="AL136" s="20">
        <f t="shared" si="112"/>
        <v>6.8067219078872727E-12</v>
      </c>
      <c r="AM136" s="59">
        <f t="shared" si="113"/>
        <v>284.39223168034022</v>
      </c>
      <c r="AN136" s="59">
        <f ca="1">AVERAGE(OFFSET($AM$3,0,0,'Données projet'!$E$10+1,1))-AVERAGE(OFFSET($H$3,0,0,'Données projet'!$E$10+1,1))</f>
        <v>336.28176557459966</v>
      </c>
      <c r="AO136" s="59">
        <f t="shared" si="144"/>
        <v>357.30155664292317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3.8180057230588273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1.2674089223581728E-14</v>
      </c>
      <c r="AX136" s="21">
        <f t="shared" si="114"/>
        <v>3.8180057230588402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-9.0949470177292824E-13</v>
      </c>
      <c r="O137" s="13">
        <f>N137*VLOOKUP('Données projet'!$B$9,Paramètres!$A$1:$I$89,3,0)*VLOOKUP('Données projet'!$B$9,Paramètres!$A$1:$I$89,5,0)</f>
        <v>-4.7672074288129813E-13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463.16285713357729</v>
      </c>
      <c r="T137" s="59">
        <f t="shared" si="142"/>
        <v>525.72239370489785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2.7193891583010558E-13</v>
      </c>
      <c r="AK137" s="13">
        <f t="shared" si="143"/>
        <v>3.6362267729089988E-12</v>
      </c>
      <c r="AL137" s="20">
        <f t="shared" si="112"/>
        <v>6.8067219078872727E-12</v>
      </c>
      <c r="AM137" s="59">
        <f t="shared" si="113"/>
        <v>284.5473398047111</v>
      </c>
      <c r="AN137" s="59">
        <f ca="1">AVERAGE(OFFSET($AM$3,0,0,'Données projet'!$E$10+1,1))-AVERAGE(OFFSET($H$3,0,0,'Données projet'!$E$10+1,1))</f>
        <v>336.28176557459966</v>
      </c>
      <c r="AO137" s="59">
        <f t="shared" si="144"/>
        <v>357.30155664292317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3.7431369595831896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8.9619344353579851E-15</v>
      </c>
      <c r="AX137" s="21">
        <f t="shared" si="114"/>
        <v>3.7431369595831985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-9.0949470177292824E-13</v>
      </c>
      <c r="O138" s="13">
        <f>N138*VLOOKUP('Données projet'!$B$9,Paramètres!$A$1:$I$89,3,0)*VLOOKUP('Données projet'!$B$9,Paramètres!$A$1:$I$89,5,0)</f>
        <v>-4.7672074288129813E-13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463.16285713357729</v>
      </c>
      <c r="T138" s="59">
        <f t="shared" si="142"/>
        <v>525.72239370489785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2.7193891583010558E-13</v>
      </c>
      <c r="AK138" s="13">
        <f t="shared" si="143"/>
        <v>3.6362267729089988E-12</v>
      </c>
      <c r="AL138" s="20">
        <f t="shared" si="112"/>
        <v>6.8067219078872727E-12</v>
      </c>
      <c r="AM138" s="59">
        <f t="shared" si="113"/>
        <v>284.69975714989397</v>
      </c>
      <c r="AN138" s="59">
        <f ca="1">AVERAGE(OFFSET($AM$3,0,0,'Données projet'!$E$10+1,1))-AVERAGE(OFFSET($H$3,0,0,'Données projet'!$E$10+1,1))</f>
        <v>336.28176557459966</v>
      </c>
      <c r="AO138" s="59">
        <f t="shared" si="144"/>
        <v>357.30155664292317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3.6697363268938723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6.3370446117908642E-15</v>
      </c>
      <c r="AX138" s="21">
        <f t="shared" si="114"/>
        <v>3.6697363268938785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-9.0949470177292824E-13</v>
      </c>
      <c r="O139" s="13">
        <f>N139*VLOOKUP('Données projet'!$B$9,Paramètres!$A$1:$I$89,3,0)*VLOOKUP('Données projet'!$B$9,Paramètres!$A$1:$I$89,5,0)</f>
        <v>-4.7672074288129813E-13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463.16285713357729</v>
      </c>
      <c r="T139" s="59">
        <f t="shared" si="142"/>
        <v>525.72239370489785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2.7193891583010558E-13</v>
      </c>
      <c r="AK139" s="13">
        <f t="shared" si="143"/>
        <v>3.6362267729089988E-12</v>
      </c>
      <c r="AL139" s="20">
        <f t="shared" si="112"/>
        <v>6.8067219078872727E-12</v>
      </c>
      <c r="AM139" s="59">
        <f t="shared" si="113"/>
        <v>284.84953039489204</v>
      </c>
      <c r="AN139" s="59">
        <f ca="1">AVERAGE(OFFSET($AM$3,0,0,'Données projet'!$E$10+1,1))-AVERAGE(OFFSET($H$3,0,0,'Données projet'!$E$10+1,1))</f>
        <v>336.28176557459966</v>
      </c>
      <c r="AO139" s="59">
        <f t="shared" si="144"/>
        <v>357.30155664292317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3.5977750358416274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4.4809672176789926E-15</v>
      </c>
      <c r="AX139" s="21">
        <f t="shared" si="114"/>
        <v>3.5977750358416318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-9.0949470177292824E-13</v>
      </c>
      <c r="O140" s="13">
        <f>N140*VLOOKUP('Données projet'!$B$9,Paramètres!$A$1:$I$89,3,0)*VLOOKUP('Données projet'!$B$9,Paramètres!$A$1:$I$89,5,0)</f>
        <v>-4.7672074288129813E-13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463.16285713357729</v>
      </c>
      <c r="T140" s="59">
        <f t="shared" si="142"/>
        <v>525.72239370489785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2.7193891583010558E-13</v>
      </c>
      <c r="AK140" s="13">
        <f t="shared" si="143"/>
        <v>3.6362267729089988E-12</v>
      </c>
      <c r="AL140" s="20">
        <f t="shared" si="112"/>
        <v>6.8067219078872727E-12</v>
      </c>
      <c r="AM140" s="59">
        <f t="shared" si="113"/>
        <v>284.9967054089322</v>
      </c>
      <c r="AN140" s="59">
        <f ca="1">AVERAGE(OFFSET($AM$3,0,0,'Données projet'!$E$10+1,1))-AVERAGE(OFFSET($H$3,0,0,'Données projet'!$E$10+1,1))</f>
        <v>336.28176557459966</v>
      </c>
      <c r="AO140" s="59">
        <f t="shared" si="144"/>
        <v>357.30155664292317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3.5272248618148634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3.1685223058954321E-15</v>
      </c>
      <c r="AX140" s="21">
        <f t="shared" si="114"/>
        <v>3.5272248618148665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-9.0949470177292824E-13</v>
      </c>
      <c r="O141" s="13">
        <f>N141*VLOOKUP('Données projet'!$B$9,Paramètres!$A$1:$I$89,3,0)*VLOOKUP('Données projet'!$B$9,Paramètres!$A$1:$I$89,5,0)</f>
        <v>-4.7672074288129813E-13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463.16285713357729</v>
      </c>
      <c r="T141" s="59">
        <f t="shared" si="142"/>
        <v>525.72239370489785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2.7193891583010558E-13</v>
      </c>
      <c r="AK141" s="13">
        <f t="shared" si="143"/>
        <v>3.6362267729089988E-12</v>
      </c>
      <c r="AL141" s="20">
        <f t="shared" si="112"/>
        <v>6.8067219078872727E-12</v>
      </c>
      <c r="AM141" s="59">
        <f t="shared" si="113"/>
        <v>285.14132726551276</v>
      </c>
      <c r="AN141" s="59">
        <f ca="1">AVERAGE(OFFSET($AM$3,0,0,'Données projet'!$E$10+1,1))-AVERAGE(OFFSET($H$3,0,0,'Données projet'!$E$10+1,1))</f>
        <v>336.28176557459966</v>
      </c>
      <c r="AO141" s="59">
        <f t="shared" si="144"/>
        <v>357.30155664292317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3.458058133669407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2.2404836088394963E-15</v>
      </c>
      <c r="AX141" s="21">
        <f t="shared" si="114"/>
        <v>3.4580581336694092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-9.0949470177292824E-13</v>
      </c>
      <c r="O142" s="13">
        <f>N142*VLOOKUP('Données projet'!$B$9,Paramètres!$A$1:$I$89,3,0)*VLOOKUP('Données projet'!$B$9,Paramètres!$A$1:$I$89,5,0)</f>
        <v>-4.7672074288129813E-13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463.16285713357729</v>
      </c>
      <c r="T142" s="59">
        <f t="shared" si="142"/>
        <v>525.72239370489785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2.7193891583010558E-13</v>
      </c>
      <c r="AK142" s="13">
        <f t="shared" si="143"/>
        <v>3.6362267729089988E-12</v>
      </c>
      <c r="AL142" s="20">
        <f t="shared" si="112"/>
        <v>6.8067219078872727E-12</v>
      </c>
      <c r="AM142" s="59">
        <f t="shared" si="113"/>
        <v>285.28344025620771</v>
      </c>
      <c r="AN142" s="59">
        <f ca="1">AVERAGE(OFFSET($AM$3,0,0,'Données projet'!$E$10+1,1))-AVERAGE(OFFSET($H$3,0,0,'Données projet'!$E$10+1,1))</f>
        <v>336.28176557459966</v>
      </c>
      <c r="AO142" s="59">
        <f t="shared" si="144"/>
        <v>357.30155664292317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3.3902477228753445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1.5842611529477161E-15</v>
      </c>
      <c r="AX142" s="21">
        <f t="shared" si="114"/>
        <v>3.3902477228753463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-9.0949470177292824E-13</v>
      </c>
      <c r="O143" s="13">
        <f>N143*VLOOKUP('Données projet'!$B$9,Paramètres!$A$1:$I$89,3,0)*VLOOKUP('Données projet'!$B$9,Paramètres!$A$1:$I$89,5,0)</f>
        <v>-4.7672074288129813E-13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463.16285713357729</v>
      </c>
      <c r="T143" s="59">
        <f t="shared" si="142"/>
        <v>525.72239370489785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2.7193891583010558E-13</v>
      </c>
      <c r="AK143" s="13">
        <f t="shared" si="143"/>
        <v>3.6362267729089988E-12</v>
      </c>
      <c r="AL143" s="20">
        <f t="shared" si="112"/>
        <v>6.8067219078872727E-12</v>
      </c>
      <c r="AM143" s="59">
        <f t="shared" si="113"/>
        <v>285.42308790423118</v>
      </c>
      <c r="AN143" s="59">
        <f ca="1">AVERAGE(OFFSET($AM$3,0,0,'Données projet'!$E$10+1,1))-AVERAGE(OFFSET($H$3,0,0,'Données projet'!$E$10+1,1))</f>
        <v>336.28176557459966</v>
      </c>
      <c r="AO143" s="59">
        <f t="shared" si="144"/>
        <v>357.30155664292317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3.3237670328766868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1.1202418044197481E-15</v>
      </c>
      <c r="AX143" s="21">
        <f t="shared" si="114"/>
        <v>3.3237670328766882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-9.0949470177292824E-13</v>
      </c>
      <c r="O144" s="13">
        <f>N144*VLOOKUP('Données projet'!$B$9,Paramètres!$A$1:$I$89,3,0)*VLOOKUP('Données projet'!$B$9,Paramètres!$A$1:$I$89,5,0)</f>
        <v>-4.7672074288129813E-13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463.16285713357729</v>
      </c>
      <c r="T144" s="59">
        <f t="shared" si="142"/>
        <v>525.72239370489785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2.7193891583010558E-13</v>
      </c>
      <c r="AK144" s="13">
        <f t="shared" si="143"/>
        <v>3.6362267729089988E-12</v>
      </c>
      <c r="AL144" s="20">
        <f t="shared" si="112"/>
        <v>6.8067219078872727E-12</v>
      </c>
      <c r="AM144" s="59">
        <f t="shared" si="113"/>
        <v>285.56031297776684</v>
      </c>
      <c r="AN144" s="59">
        <f ca="1">AVERAGE(OFFSET($AM$3,0,0,'Données projet'!$E$10+1,1))-AVERAGE(OFFSET($H$3,0,0,'Données projet'!$E$10+1,1))</f>
        <v>336.28176557459966</v>
      </c>
      <c r="AO144" s="59">
        <f t="shared" si="144"/>
        <v>357.30155664292317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3.2585899886596859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7.9213057647385803E-16</v>
      </c>
      <c r="AX144" s="21">
        <f t="shared" si="114"/>
        <v>3.2585899886596867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-9.0949470177292824E-13</v>
      </c>
      <c r="O145" s="13">
        <f>N145*VLOOKUP('Données projet'!$B$9,Paramètres!$A$1:$I$89,3,0)*VLOOKUP('Données projet'!$B$9,Paramètres!$A$1:$I$89,5,0)</f>
        <v>-4.7672074288129813E-13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463.16285713357729</v>
      </c>
      <c r="T145" s="59">
        <f t="shared" si="142"/>
        <v>525.72239370489785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2.7193891583010558E-13</v>
      </c>
      <c r="AK145" s="13">
        <f t="shared" si="143"/>
        <v>3.6362267729089988E-12</v>
      </c>
      <c r="AL145" s="20">
        <f t="shared" si="112"/>
        <v>6.8067219078872727E-12</v>
      </c>
      <c r="AM145" s="59">
        <f t="shared" si="113"/>
        <v>285.6951575030659</v>
      </c>
      <c r="AN145" s="59">
        <f ca="1">AVERAGE(OFFSET($AM$3,0,0,'Données projet'!$E$10+1,1))-AVERAGE(OFFSET($H$3,0,0,'Données projet'!$E$10+1,1))</f>
        <v>336.28176557459966</v>
      </c>
      <c r="AO145" s="59">
        <f t="shared" si="144"/>
        <v>357.30155664292317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3.1946910265257089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5.6012090220987407E-16</v>
      </c>
      <c r="AX145" s="21">
        <f t="shared" si="114"/>
        <v>3.1946910265257094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-9.0949470177292824E-13</v>
      </c>
      <c r="O146" s="13">
        <f>N146*VLOOKUP('Données projet'!$B$9,Paramètres!$A$1:$I$89,3,0)*VLOOKUP('Données projet'!$B$9,Paramètres!$A$1:$I$89,5,0)</f>
        <v>-4.7672074288129813E-13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463.16285713357729</v>
      </c>
      <c r="T146" s="59">
        <f t="shared" si="142"/>
        <v>525.72239370489785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2.7193891583010558E-13</v>
      </c>
      <c r="AK146" s="13">
        <f t="shared" si="143"/>
        <v>3.6362267729089988E-12</v>
      </c>
      <c r="AL146" s="20">
        <f t="shared" si="112"/>
        <v>6.8067219078872727E-12</v>
      </c>
      <c r="AM146" s="59">
        <f t="shared" si="113"/>
        <v>285.82766277731827</v>
      </c>
      <c r="AN146" s="59">
        <f ca="1">AVERAGE(OFFSET($AM$3,0,0,'Données projet'!$E$10+1,1))-AVERAGE(OFFSET($H$3,0,0,'Données projet'!$E$10+1,1))</f>
        <v>336.28176557459966</v>
      </c>
      <c r="AO146" s="59">
        <f t="shared" si="144"/>
        <v>357.30155664292317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3.1320450840646608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3.9606528823692901E-16</v>
      </c>
      <c r="AX146" s="21">
        <f t="shared" si="114"/>
        <v>3.1320450840646612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-9.0949470177292824E-13</v>
      </c>
      <c r="O147" s="13">
        <f>N147*VLOOKUP('Données projet'!$B$9,Paramètres!$A$1:$I$89,3,0)*VLOOKUP('Données projet'!$B$9,Paramètres!$A$1:$I$89,5,0)</f>
        <v>-4.7672074288129813E-13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463.16285713357729</v>
      </c>
      <c r="T147" s="59">
        <f t="shared" si="142"/>
        <v>525.72239370489785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2.7193891583010558E-13</v>
      </c>
      <c r="AK147" s="13">
        <f t="shared" si="143"/>
        <v>3.6362267729089988E-12</v>
      </c>
      <c r="AL147" s="20">
        <f t="shared" si="112"/>
        <v>6.8067219078872727E-12</v>
      </c>
      <c r="AM147" s="59">
        <f t="shared" si="113"/>
        <v>285.9578693812997</v>
      </c>
      <c r="AN147" s="59">
        <f ca="1">AVERAGE(OFFSET($AM$3,0,0,'Données projet'!$E$10+1,1))-AVERAGE(OFFSET($H$3,0,0,'Données projet'!$E$10+1,1))</f>
        <v>336.28176557459966</v>
      </c>
      <c r="AO147" s="59">
        <f t="shared" si="144"/>
        <v>357.30155664292317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3.0706275903250217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2.8006045110493704E-16</v>
      </c>
      <c r="AX147" s="21">
        <f t="shared" si="114"/>
        <v>3.0706275903250222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-9.0949470177292824E-13</v>
      </c>
      <c r="O148" s="13">
        <f>N148*VLOOKUP('Données projet'!$B$9,Paramètres!$A$1:$I$89,3,0)*VLOOKUP('Données projet'!$B$9,Paramètres!$A$1:$I$89,5,0)</f>
        <v>-4.7672074288129813E-13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463.16285713357729</v>
      </c>
      <c r="T148" s="59">
        <f t="shared" si="142"/>
        <v>525.72239370489785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2.7193891583010558E-13</v>
      </c>
      <c r="AK148" s="13">
        <f t="shared" si="143"/>
        <v>3.6362267729089988E-12</v>
      </c>
      <c r="AL148" s="20">
        <f t="shared" si="112"/>
        <v>6.8067219078872727E-12</v>
      </c>
      <c r="AM148" s="59">
        <f t="shared" si="113"/>
        <v>286.0858171918004</v>
      </c>
      <c r="AN148" s="59">
        <f ca="1">AVERAGE(OFFSET($AM$3,0,0,'Données projet'!$E$10+1,1))-AVERAGE(OFFSET($H$3,0,0,'Données projet'!$E$10+1,1))</f>
        <v>336.28176557459966</v>
      </c>
      <c r="AO148" s="59">
        <f t="shared" si="144"/>
        <v>357.30155664292317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3.0104144561766448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1.9803264411846451E-16</v>
      </c>
      <c r="AX148" s="21">
        <f t="shared" si="114"/>
        <v>3.0104144561766448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-9.0949470177292824E-13</v>
      </c>
      <c r="O149" s="13">
        <f>N149*VLOOKUP('Données projet'!$B$9,Paramètres!$A$1:$I$89,3,0)*VLOOKUP('Données projet'!$B$9,Paramètres!$A$1:$I$89,5,0)</f>
        <v>-4.7672074288129813E-13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463.16285713357729</v>
      </c>
      <c r="T149" s="59">
        <f t="shared" si="142"/>
        <v>525.72239370489785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2.7193891583010558E-13</v>
      </c>
      <c r="AK149" s="13">
        <f t="shared" si="143"/>
        <v>3.6362267729089988E-12</v>
      </c>
      <c r="AL149" s="20">
        <f t="shared" si="112"/>
        <v>6.8067219078872727E-12</v>
      </c>
      <c r="AM149" s="59">
        <f t="shared" si="113"/>
        <v>286.21154539383747</v>
      </c>
      <c r="AN149" s="59">
        <f ca="1">AVERAGE(OFFSET($AM$3,0,0,'Données projet'!$E$10+1,1))-AVERAGE(OFFSET($H$3,0,0,'Données projet'!$E$10+1,1))</f>
        <v>336.28176557459966</v>
      </c>
      <c r="AO149" s="59">
        <f t="shared" si="144"/>
        <v>357.30155664292317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2.9513820648625324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1.4003022555246852E-16</v>
      </c>
      <c r="AX149" s="21">
        <f t="shared" si="114"/>
        <v>2.9513820648625324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-9.0949470177292824E-13</v>
      </c>
      <c r="O150" s="13">
        <f>N150*VLOOKUP('Données projet'!$B$9,Paramètres!$A$1:$I$89,3,0)*VLOOKUP('Données projet'!$B$9,Paramètres!$A$1:$I$89,5,0)</f>
        <v>-4.7672074288129813E-13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463.16285713357729</v>
      </c>
      <c r="T150" s="59">
        <f t="shared" si="142"/>
        <v>525.72239370489785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2.7193891583010558E-13</v>
      </c>
      <c r="AK150" s="13">
        <f t="shared" si="143"/>
        <v>3.6362267729089988E-12</v>
      </c>
      <c r="AL150" s="20">
        <f t="shared" si="112"/>
        <v>6.8067219078872727E-12</v>
      </c>
      <c r="AM150" s="59">
        <f t="shared" si="113"/>
        <v>286.33509249265524</v>
      </c>
      <c r="AN150" s="59">
        <f ca="1">AVERAGE(OFFSET($AM$3,0,0,'Données projet'!$E$10+1,1))-AVERAGE(OFFSET($H$3,0,0,'Données projet'!$E$10+1,1))</f>
        <v>336.28176557459966</v>
      </c>
      <c r="AO150" s="59">
        <f t="shared" si="144"/>
        <v>357.30155664292317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2.893507262735886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9.9016322059232253E-17</v>
      </c>
      <c r="AX150" s="21">
        <f t="shared" si="114"/>
        <v>2.893507262735886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-9.0949470177292824E-13</v>
      </c>
      <c r="O151" s="13">
        <f>N151*VLOOKUP('Données projet'!$B$9,Paramètres!$A$1:$I$89,3,0)*VLOOKUP('Données projet'!$B$9,Paramètres!$A$1:$I$89,5,0)</f>
        <v>-4.7672074288129813E-13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463.16285713357729</v>
      </c>
      <c r="T151" s="59">
        <f t="shared" si="142"/>
        <v>525.72239370489785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2.7193891583010558E-13</v>
      </c>
      <c r="AK151" s="13">
        <f t="shared" si="143"/>
        <v>3.6362267729089988E-12</v>
      </c>
      <c r="AL151" s="20">
        <f t="shared" si="112"/>
        <v>6.8067219078872727E-12</v>
      </c>
      <c r="AM151" s="59">
        <f t="shared" si="113"/>
        <v>286.45649632551851</v>
      </c>
      <c r="AN151" s="59">
        <f ca="1">AVERAGE(OFFSET($AM$3,0,0,'Données projet'!$E$10+1,1))-AVERAGE(OFFSET($H$3,0,0,'Données projet'!$E$10+1,1))</f>
        <v>336.28176557459966</v>
      </c>
      <c r="AO151" s="59">
        <f t="shared" si="144"/>
        <v>357.30155664292317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2.8367673501787998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7.0015112776234259E-17</v>
      </c>
      <c r="AX151" s="21">
        <f t="shared" si="114"/>
        <v>2.8367673501787998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-9.0949470177292824E-13</v>
      </c>
      <c r="O152" s="13">
        <f>N152*VLOOKUP('Données projet'!$B$9,Paramètres!$A$1:$I$89,3,0)*VLOOKUP('Données projet'!$B$9,Paramètres!$A$1:$I$89,5,0)</f>
        <v>-4.7672074288129813E-13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463.16285713357729</v>
      </c>
      <c r="T152" s="59">
        <f t="shared" si="142"/>
        <v>525.72239370489785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2.7193891583010558E-13</v>
      </c>
      <c r="AK152" s="13">
        <f t="shared" si="143"/>
        <v>3.6362267729089988E-12</v>
      </c>
      <c r="AL152" s="20">
        <f t="shared" si="112"/>
        <v>6.8067219078872727E-12</v>
      </c>
      <c r="AM152" s="59">
        <f t="shared" si="113"/>
        <v>286.5757940732999</v>
      </c>
      <c r="AN152" s="59">
        <f ca="1">AVERAGE(OFFSET($AM$3,0,0,'Données projet'!$E$10+1,1))-AVERAGE(OFFSET($H$3,0,0,'Données projet'!$E$10+1,1))</f>
        <v>336.28176557459966</v>
      </c>
      <c r="AO152" s="59">
        <f t="shared" si="144"/>
        <v>357.30155664292317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2.7811400726990283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4.9508161029616127E-17</v>
      </c>
      <c r="AX152" s="21">
        <f t="shared" si="114"/>
        <v>2.7811400726990283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-9.0949470177292824E-13</v>
      </c>
      <c r="O153" s="13">
        <f>N153*VLOOKUP('Données projet'!$B$9,Paramètres!$A$1:$I$89,3,0)*VLOOKUP('Données projet'!$B$9,Paramètres!$A$1:$I$89,5,0)</f>
        <v>-4.7672074288129813E-13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463.16285713357729</v>
      </c>
      <c r="T153" s="59">
        <f t="shared" si="142"/>
        <v>525.72239370489785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2.7193891583010558E-13</v>
      </c>
      <c r="AK153" s="13">
        <f t="shared" si="143"/>
        <v>3.6362267729089988E-12</v>
      </c>
      <c r="AL153" s="20">
        <f t="shared" si="112"/>
        <v>6.8067219078872727E-12</v>
      </c>
      <c r="AM153" s="59">
        <f t="shared" si="113"/>
        <v>286.69302227186716</v>
      </c>
      <c r="AN153" s="59">
        <f ca="1">AVERAGE(OFFSET($AM$3,0,0,'Données projet'!$E$10+1,1))-AVERAGE(OFFSET($H$3,0,0,'Données projet'!$E$10+1,1))</f>
        <v>336.28176557459966</v>
      </c>
      <c r="AO153" s="59">
        <f t="shared" si="144"/>
        <v>357.30155664292317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2.7266036122013464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3.5007556388117129E-17</v>
      </c>
      <c r="AX153" s="21">
        <f t="shared" si="114"/>
        <v>2.7266036122013464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-9.0949470177292824E-13</v>
      </c>
      <c r="O154" s="13">
        <f>N154*VLOOKUP('Données projet'!$B$9,Paramètres!$A$1:$I$89,3,0)*VLOOKUP('Données projet'!$B$9,Paramètres!$A$1:$I$89,5,0)</f>
        <v>-4.7672074288129813E-13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463.16285713357729</v>
      </c>
      <c r="T154" s="59">
        <f t="shared" si="142"/>
        <v>525.72239370489785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2.7193891583010558E-13</v>
      </c>
      <c r="AK154" s="13">
        <f t="shared" ref="AK154:AK203" si="164">EXP(-1.0587+0.8836*LN(AJ154)+0.284)</f>
        <v>3.6362267729089988E-12</v>
      </c>
      <c r="AL154" s="20">
        <f t="shared" ref="AL154:AL203" si="165">(AJ154+AK154)*0.475*44/12</f>
        <v>6.8067219078872727E-12</v>
      </c>
      <c r="AM154" s="59">
        <f t="shared" si="113"/>
        <v>286.80821682327218</v>
      </c>
      <c r="AN154" s="59">
        <f ca="1">AVERAGE(OFFSET($AM$3,0,0,'Données projet'!$E$10+1,1))-AVERAGE(OFFSET($H$3,0,0,'Données projet'!$E$10+1,1))</f>
        <v>336.28176557459966</v>
      </c>
      <c r="AO154" s="59">
        <f t="shared" si="144"/>
        <v>357.30155664292317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2.6731365784300674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2.4754080514808063E-17</v>
      </c>
      <c r="AX154" s="21">
        <f t="shared" ref="AX154:AX203" si="166">SUM(AU154:AW154)</f>
        <v>2.6731365784300674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-9.0949470177292824E-13</v>
      </c>
      <c r="O155" s="13">
        <f>N155*VLOOKUP('Données projet'!$B$9,Paramètres!$A$1:$I$89,3,0)*VLOOKUP('Données projet'!$B$9,Paramètres!$A$1:$I$89,5,0)</f>
        <v>-4.7672074288129813E-13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463.16285713357729</v>
      </c>
      <c r="T155" s="59">
        <f t="shared" si="142"/>
        <v>525.72239370489785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2.7193891583010558E-13</v>
      </c>
      <c r="AK155" s="13">
        <f t="shared" si="164"/>
        <v>3.6362267729089988E-12</v>
      </c>
      <c r="AL155" s="20">
        <f t="shared" si="165"/>
        <v>6.8067219078872727E-12</v>
      </c>
      <c r="AM155" s="59">
        <f t="shared" si="113"/>
        <v>286.92141300674672</v>
      </c>
      <c r="AN155" s="59">
        <f ca="1">AVERAGE(OFFSET($AM$3,0,0,'Données projet'!$E$10+1,1))-AVERAGE(OFFSET($H$3,0,0,'Données projet'!$E$10+1,1))</f>
        <v>336.28176557459966</v>
      </c>
      <c r="AO155" s="59">
        <f t="shared" si="144"/>
        <v>357.30155664292317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2.6207180005793727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1.7503778194058565E-17</v>
      </c>
      <c r="AX155" s="21">
        <f t="shared" si="166"/>
        <v>2.6207180005793727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-9.0949470177292824E-13</v>
      </c>
      <c r="O156" s="13">
        <f>N156*VLOOKUP('Données projet'!$B$9,Paramètres!$A$1:$I$89,3,0)*VLOOKUP('Données projet'!$B$9,Paramètres!$A$1:$I$89,5,0)</f>
        <v>-4.7672074288129813E-13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463.16285713357729</v>
      </c>
      <c r="T156" s="59">
        <f t="shared" si="142"/>
        <v>525.72239370489785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2.7193891583010558E-13</v>
      </c>
      <c r="AK156" s="13">
        <f t="shared" si="164"/>
        <v>3.6362267729089988E-12</v>
      </c>
      <c r="AL156" s="20">
        <f t="shared" si="165"/>
        <v>6.8067219078872727E-12</v>
      </c>
      <c r="AM156" s="59">
        <f t="shared" si="113"/>
        <v>287.03264548950682</v>
      </c>
      <c r="AN156" s="59">
        <f ca="1">AVERAGE(OFFSET($AM$3,0,0,'Données projet'!$E$10+1,1))-AVERAGE(OFFSET($H$3,0,0,'Données projet'!$E$10+1,1))</f>
        <v>336.28176557459966</v>
      </c>
      <c r="AO156" s="59">
        <f t="shared" si="144"/>
        <v>357.30155664292317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2.5693273190681549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1.2377040257404032E-17</v>
      </c>
      <c r="AX156" s="21">
        <f t="shared" si="166"/>
        <v>2.5693273190681549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-9.0949470177292824E-13</v>
      </c>
      <c r="O157" s="13">
        <f>N157*VLOOKUP('Données projet'!$B$9,Paramètres!$A$1:$I$89,3,0)*VLOOKUP('Données projet'!$B$9,Paramètres!$A$1:$I$89,5,0)</f>
        <v>-4.7672074288129813E-13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463.16285713357729</v>
      </c>
      <c r="T157" s="59">
        <f t="shared" si="142"/>
        <v>525.72239370489785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2.7193891583010558E-13</v>
      </c>
      <c r="AK157" s="13">
        <f t="shared" si="164"/>
        <v>3.6362267729089988E-12</v>
      </c>
      <c r="AL157" s="20">
        <f t="shared" si="165"/>
        <v>6.8067219078872727E-12</v>
      </c>
      <c r="AM157" s="59">
        <f t="shared" si="113"/>
        <v>287.14194833736957</v>
      </c>
      <c r="AN157" s="59">
        <f ca="1">AVERAGE(OFFSET($AM$3,0,0,'Données projet'!$E$10+1,1))-AVERAGE(OFFSET($H$3,0,0,'Données projet'!$E$10+1,1))</f>
        <v>336.28176557459966</v>
      </c>
      <c r="AO157" s="59">
        <f t="shared" si="144"/>
        <v>357.30155664292317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2.5189443774761515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8.7518890970292824E-18</v>
      </c>
      <c r="AX157" s="21">
        <f t="shared" si="166"/>
        <v>2.5189443774761515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-9.0949470177292824E-13</v>
      </c>
      <c r="O158" s="13">
        <f>N158*VLOOKUP('Données projet'!$B$9,Paramètres!$A$1:$I$89,3,0)*VLOOKUP('Données projet'!$B$9,Paramètres!$A$1:$I$89,5,0)</f>
        <v>-4.7672074288129813E-13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463.16285713357729</v>
      </c>
      <c r="T158" s="59">
        <f t="shared" si="142"/>
        <v>525.72239370489785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2.7193891583010558E-13</v>
      </c>
      <c r="AK158" s="13">
        <f t="shared" si="164"/>
        <v>3.6362267729089988E-12</v>
      </c>
      <c r="AL158" s="20">
        <f t="shared" si="165"/>
        <v>6.8067219078872727E-12</v>
      </c>
      <c r="AM158" s="59">
        <f t="shared" si="113"/>
        <v>287.2493550251865</v>
      </c>
      <c r="AN158" s="59">
        <f ca="1">AVERAGE(OFFSET($AM$3,0,0,'Données projet'!$E$10+1,1))-AVERAGE(OFFSET($H$3,0,0,'Données projet'!$E$10+1,1))</f>
        <v>336.28176557459966</v>
      </c>
      <c r="AO158" s="59">
        <f t="shared" si="144"/>
        <v>357.30155664292317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2.4695494146382071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6.1885201287020158E-18</v>
      </c>
      <c r="AX158" s="21">
        <f t="shared" si="166"/>
        <v>2.4695494146382071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-9.0949470177292824E-13</v>
      </c>
      <c r="O159" s="13">
        <f>N159*VLOOKUP('Données projet'!$B$9,Paramètres!$A$1:$I$89,3,0)*VLOOKUP('Données projet'!$B$9,Paramètres!$A$1:$I$89,5,0)</f>
        <v>-4.7672074288129813E-13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463.16285713357729</v>
      </c>
      <c r="T159" s="59">
        <f t="shared" si="142"/>
        <v>525.72239370489785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2.7193891583010558E-13</v>
      </c>
      <c r="AK159" s="13">
        <f t="shared" si="164"/>
        <v>3.6362267729089988E-12</v>
      </c>
      <c r="AL159" s="20">
        <f t="shared" si="165"/>
        <v>6.8067219078872727E-12</v>
      </c>
      <c r="AM159" s="59">
        <f t="shared" si="113"/>
        <v>287.35489844709514</v>
      </c>
      <c r="AN159" s="59">
        <f ca="1">AVERAGE(OFFSET($AM$3,0,0,'Données projet'!$E$10+1,1))-AVERAGE(OFFSET($H$3,0,0,'Données projet'!$E$10+1,1))</f>
        <v>336.28176557459966</v>
      </c>
      <c r="AO159" s="59">
        <f t="shared" si="144"/>
        <v>357.30155664292317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2.4211230568935624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4.3759445485146412E-18</v>
      </c>
      <c r="AX159" s="21">
        <f t="shared" si="166"/>
        <v>2.4211230568935624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-9.0949470177292824E-13</v>
      </c>
      <c r="O160" s="13">
        <f>N160*VLOOKUP('Données projet'!$B$9,Paramètres!$A$1:$I$89,3,0)*VLOOKUP('Données projet'!$B$9,Paramètres!$A$1:$I$89,5,0)</f>
        <v>-4.7672074288129813E-13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463.16285713357729</v>
      </c>
      <c r="T160" s="59">
        <f t="shared" si="142"/>
        <v>525.72239370489785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2.7193891583010558E-13</v>
      </c>
      <c r="AK160" s="13">
        <f t="shared" si="164"/>
        <v>3.6362267729089988E-12</v>
      </c>
      <c r="AL160" s="20">
        <f t="shared" si="165"/>
        <v>6.8067219078872727E-12</v>
      </c>
      <c r="AM160" s="59">
        <f t="shared" si="113"/>
        <v>287.45861092659339</v>
      </c>
      <c r="AN160" s="59">
        <f ca="1">AVERAGE(OFFSET($AM$3,0,0,'Données projet'!$E$10+1,1))-AVERAGE(OFFSET($H$3,0,0,'Données projet'!$E$10+1,1))</f>
        <v>336.28176557459966</v>
      </c>
      <c r="AO160" s="59">
        <f t="shared" si="144"/>
        <v>357.30155664292317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2.3736463104871284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3.0942600643510079E-18</v>
      </c>
      <c r="AX160" s="21">
        <f t="shared" si="166"/>
        <v>2.3736463104871284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-9.0949470177292824E-13</v>
      </c>
      <c r="O161" s="13">
        <f>N161*VLOOKUP('Données projet'!$B$9,Paramètres!$A$1:$I$89,3,0)*VLOOKUP('Données projet'!$B$9,Paramètres!$A$1:$I$89,5,0)</f>
        <v>-4.7672074288129813E-13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463.16285713357729</v>
      </c>
      <c r="T161" s="59">
        <f t="shared" si="142"/>
        <v>525.72239370489785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2.7193891583010558E-13</v>
      </c>
      <c r="AK161" s="13">
        <f t="shared" si="164"/>
        <v>3.6362267729089988E-12</v>
      </c>
      <c r="AL161" s="20">
        <f t="shared" si="165"/>
        <v>6.8067219078872727E-12</v>
      </c>
      <c r="AM161" s="59">
        <f t="shared" si="113"/>
        <v>287.56052422643882</v>
      </c>
      <c r="AN161" s="59">
        <f ca="1">AVERAGE(OFFSET($AM$3,0,0,'Données projet'!$E$10+1,1))-AVERAGE(OFFSET($H$3,0,0,'Données projet'!$E$10+1,1))</f>
        <v>336.28176557459966</v>
      </c>
      <c r="AO161" s="59">
        <f t="shared" si="144"/>
        <v>357.30155664292317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2.3271005541197685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2.1879722742573206E-18</v>
      </c>
      <c r="AX161" s="21">
        <f t="shared" si="166"/>
        <v>2.3271005541197685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-9.0949470177292824E-13</v>
      </c>
      <c r="O162" s="13">
        <f>N162*VLOOKUP('Données projet'!$B$9,Paramètres!$A$1:$I$89,3,0)*VLOOKUP('Données projet'!$B$9,Paramètres!$A$1:$I$89,5,0)</f>
        <v>-4.7672074288129813E-13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463.16285713357729</v>
      </c>
      <c r="T162" s="59">
        <f t="shared" si="142"/>
        <v>525.72239370489785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2.7193891583010558E-13</v>
      </c>
      <c r="AK162" s="13">
        <f t="shared" si="164"/>
        <v>3.6362267729089988E-12</v>
      </c>
      <c r="AL162" s="20">
        <f t="shared" si="165"/>
        <v>6.8067219078872727E-12</v>
      </c>
      <c r="AM162" s="59">
        <f t="shared" si="113"/>
        <v>287.66066955837579</v>
      </c>
      <c r="AN162" s="59">
        <f ca="1">AVERAGE(OFFSET($AM$3,0,0,'Données projet'!$E$10+1,1))-AVERAGE(OFFSET($H$3,0,0,'Données projet'!$E$10+1,1))</f>
        <v>336.28176557459966</v>
      </c>
      <c r="AO162" s="59">
        <f t="shared" si="144"/>
        <v>357.30155664292317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2.2814675316446644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1.547130032175504E-18</v>
      </c>
      <c r="AX162" s="21">
        <f t="shared" si="166"/>
        <v>2.2814675316446644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-9.0949470177292824E-13</v>
      </c>
      <c r="O163" s="13">
        <f>N163*VLOOKUP('Données projet'!$B$9,Paramètres!$A$1:$I$89,3,0)*VLOOKUP('Données projet'!$B$9,Paramètres!$A$1:$I$89,5,0)</f>
        <v>-4.7672074288129813E-13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463.16285713357729</v>
      </c>
      <c r="T163" s="59">
        <f t="shared" si="142"/>
        <v>525.72239370489785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2.7193891583010558E-13</v>
      </c>
      <c r="AK163" s="13">
        <f t="shared" si="164"/>
        <v>3.6362267729089988E-12</v>
      </c>
      <c r="AL163" s="20">
        <f t="shared" si="165"/>
        <v>6.8067219078872727E-12</v>
      </c>
      <c r="AM163" s="59">
        <f t="shared" si="113"/>
        <v>287.75907759269518</v>
      </c>
      <c r="AN163" s="59">
        <f ca="1">AVERAGE(OFFSET($AM$3,0,0,'Données projet'!$E$10+1,1))-AVERAGE(OFFSET($H$3,0,0,'Données projet'!$E$10+1,1))</f>
        <v>336.28176557459966</v>
      </c>
      <c r="AO163" s="59">
        <f t="shared" si="144"/>
        <v>357.30155664292317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2.2367293449069021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1.0939861371286603E-18</v>
      </c>
      <c r="AX163" s="21">
        <f t="shared" si="166"/>
        <v>2.2367293449069021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-9.0949470177292824E-13</v>
      </c>
      <c r="O164" s="13">
        <f>N164*VLOOKUP('Données projet'!$B$9,Paramètres!$A$1:$I$89,3,0)*VLOOKUP('Données projet'!$B$9,Paramètres!$A$1:$I$89,5,0)</f>
        <v>-4.7672074288129813E-13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463.16285713357729</v>
      </c>
      <c r="T164" s="59">
        <f t="shared" si="142"/>
        <v>525.72239370489785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2.7193891583010558E-13</v>
      </c>
      <c r="AK164" s="13">
        <f t="shared" si="164"/>
        <v>3.6362267729089988E-12</v>
      </c>
      <c r="AL164" s="20">
        <f t="shared" si="165"/>
        <v>6.8067219078872727E-12</v>
      </c>
      <c r="AM164" s="59">
        <f t="shared" si="113"/>
        <v>287.85577846762652</v>
      </c>
      <c r="AN164" s="59">
        <f ca="1">AVERAGE(OFFSET($AM$3,0,0,'Données projet'!$E$10+1,1))-AVERAGE(OFFSET($H$3,0,0,'Données projet'!$E$10+1,1))</f>
        <v>336.28176557459966</v>
      </c>
      <c r="AO164" s="59">
        <f t="shared" si="144"/>
        <v>357.30155664292317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2.1928684467234678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7.7356501608775198E-19</v>
      </c>
      <c r="AX164" s="21">
        <f t="shared" si="166"/>
        <v>2.1928684467234678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-9.0949470177292824E-13</v>
      </c>
      <c r="O165" s="13">
        <f>N165*VLOOKUP('Données projet'!$B$9,Paramètres!$A$1:$I$89,3,0)*VLOOKUP('Données projet'!$B$9,Paramètres!$A$1:$I$89,5,0)</f>
        <v>-4.7672074288129813E-13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463.16285713357729</v>
      </c>
      <c r="T165" s="59">
        <f t="shared" si="142"/>
        <v>525.72239370489785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2.7193891583010558E-13</v>
      </c>
      <c r="AK165" s="13">
        <f t="shared" si="164"/>
        <v>3.6362267729089988E-12</v>
      </c>
      <c r="AL165" s="20">
        <f t="shared" si="165"/>
        <v>6.8067219078872727E-12</v>
      </c>
      <c r="AM165" s="59">
        <f t="shared" si="113"/>
        <v>287.95080179856853</v>
      </c>
      <c r="AN165" s="59">
        <f ca="1">AVERAGE(OFFSET($AM$3,0,0,'Données projet'!$E$10+1,1))-AVERAGE(OFFSET($H$3,0,0,'Données projet'!$E$10+1,1))</f>
        <v>336.28176557459966</v>
      </c>
      <c r="AO165" s="59">
        <f t="shared" si="144"/>
        <v>357.30155664292317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2.1498676340009042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5.4699306856433015E-19</v>
      </c>
      <c r="AX165" s="21">
        <f t="shared" si="166"/>
        <v>2.1498676340009042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-9.0949470177292824E-13</v>
      </c>
      <c r="O166" s="13">
        <f>N166*VLOOKUP('Données projet'!$B$9,Paramètres!$A$1:$I$89,3,0)*VLOOKUP('Données projet'!$B$9,Paramètres!$A$1:$I$89,5,0)</f>
        <v>-4.7672074288129813E-13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463.16285713357729</v>
      </c>
      <c r="T166" s="59">
        <f t="shared" si="142"/>
        <v>525.72239370489785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2.7193891583010558E-13</v>
      </c>
      <c r="AK166" s="13">
        <f t="shared" si="164"/>
        <v>3.6362267729089988E-12</v>
      </c>
      <c r="AL166" s="20">
        <f t="shared" si="165"/>
        <v>6.8067219078872727E-12</v>
      </c>
      <c r="AM166" s="59">
        <f t="shared" si="113"/>
        <v>288.04417668715905</v>
      </c>
      <c r="AN166" s="59">
        <f ca="1">AVERAGE(OFFSET($AM$3,0,0,'Données projet'!$E$10+1,1))-AVERAGE(OFFSET($H$3,0,0,'Données projet'!$E$10+1,1))</f>
        <v>336.28176557459966</v>
      </c>
      <c r="AO166" s="59">
        <f t="shared" si="144"/>
        <v>357.30155664292317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2.1077100409879241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3.8678250804387599E-19</v>
      </c>
      <c r="AX166" s="21">
        <f t="shared" si="166"/>
        <v>2.1077100409879241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-9.0949470177292824E-13</v>
      </c>
      <c r="O167" s="13">
        <f>N167*VLOOKUP('Données projet'!$B$9,Paramètres!$A$1:$I$89,3,0)*VLOOKUP('Données projet'!$B$9,Paramètres!$A$1:$I$89,5,0)</f>
        <v>-4.7672074288129813E-13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463.16285713357729</v>
      </c>
      <c r="T167" s="59">
        <f t="shared" si="142"/>
        <v>525.72239370489785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2.7193891583010558E-13</v>
      </c>
      <c r="AK167" s="13">
        <f t="shared" si="164"/>
        <v>3.6362267729089988E-12</v>
      </c>
      <c r="AL167" s="20">
        <f t="shared" si="165"/>
        <v>6.8067219078872727E-12</v>
      </c>
      <c r="AM167" s="59">
        <f t="shared" si="113"/>
        <v>288.13593173018751</v>
      </c>
      <c r="AN167" s="59">
        <f ca="1">AVERAGE(OFFSET($AM$3,0,0,'Données projet'!$E$10+1,1))-AVERAGE(OFFSET($H$3,0,0,'Données projet'!$E$10+1,1))</f>
        <v>336.28176557459966</v>
      </c>
      <c r="AO167" s="59">
        <f t="shared" si="144"/>
        <v>357.30155664292317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2.066379132660336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2.7349653428216507E-19</v>
      </c>
      <c r="AX167" s="21">
        <f t="shared" si="166"/>
        <v>2.066379132660336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-9.0949470177292824E-13</v>
      </c>
      <c r="O168" s="13">
        <f>N168*VLOOKUP('Données projet'!$B$9,Paramètres!$A$1:$I$89,3,0)*VLOOKUP('Données projet'!$B$9,Paramètres!$A$1:$I$89,5,0)</f>
        <v>-4.7672074288129813E-13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463.16285713357729</v>
      </c>
      <c r="T168" s="59">
        <f t="shared" si="142"/>
        <v>525.72239370489785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2.7193891583010558E-13</v>
      </c>
      <c r="AK168" s="13">
        <f t="shared" si="164"/>
        <v>3.6362267729089988E-12</v>
      </c>
      <c r="AL168" s="20">
        <f t="shared" si="165"/>
        <v>6.8067219078872727E-12</v>
      </c>
      <c r="AM168" s="59">
        <f t="shared" si="113"/>
        <v>288.22609502835297</v>
      </c>
      <c r="AN168" s="59">
        <f ca="1">AVERAGE(OFFSET($AM$3,0,0,'Données projet'!$E$10+1,1))-AVERAGE(OFFSET($H$3,0,0,'Données projet'!$E$10+1,1))</f>
        <v>336.28176557459966</v>
      </c>
      <c r="AO168" s="59">
        <f t="shared" si="144"/>
        <v>357.30155664292317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2.025858698235687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1.9339125402193799E-19</v>
      </c>
      <c r="AX168" s="21">
        <f t="shared" si="166"/>
        <v>2.025858698235687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-9.0949470177292824E-13</v>
      </c>
      <c r="O169" s="13">
        <f>N169*VLOOKUP('Données projet'!$B$9,Paramètres!$A$1:$I$89,3,0)*VLOOKUP('Données projet'!$B$9,Paramètres!$A$1:$I$89,5,0)</f>
        <v>-4.7672074288129813E-13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463.16285713357729</v>
      </c>
      <c r="T169" s="59">
        <f t="shared" si="142"/>
        <v>525.72239370489785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2.7193891583010558E-13</v>
      </c>
      <c r="AK169" s="13">
        <f t="shared" si="164"/>
        <v>3.6362267729089988E-12</v>
      </c>
      <c r="AL169" s="20">
        <f t="shared" si="165"/>
        <v>6.8067219078872727E-12</v>
      </c>
      <c r="AM169" s="59">
        <f t="shared" si="113"/>
        <v>288.31469419487024</v>
      </c>
      <c r="AN169" s="59">
        <f ca="1">AVERAGE(OFFSET($AM$3,0,0,'Données projet'!$E$10+1,1))-AVERAGE(OFFSET($H$3,0,0,'Données projet'!$E$10+1,1))</f>
        <v>336.28176557459966</v>
      </c>
      <c r="AO169" s="59">
        <f t="shared" si="144"/>
        <v>357.30155664292317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1.9861328448150806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1.3674826714108254E-19</v>
      </c>
      <c r="AX169" s="21">
        <f t="shared" si="166"/>
        <v>1.9861328448150806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-9.0949470177292824E-13</v>
      </c>
      <c r="O170" s="13">
        <f>N170*VLOOKUP('Données projet'!$B$9,Paramètres!$A$1:$I$89,3,0)*VLOOKUP('Données projet'!$B$9,Paramètres!$A$1:$I$89,5,0)</f>
        <v>-4.7672074288129813E-13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463.16285713357729</v>
      </c>
      <c r="T170" s="59">
        <f t="shared" si="142"/>
        <v>525.72239370489785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2.7193891583010558E-13</v>
      </c>
      <c r="AK170" s="13">
        <f t="shared" si="164"/>
        <v>3.6362267729089988E-12</v>
      </c>
      <c r="AL170" s="20">
        <f t="shared" si="165"/>
        <v>6.8067219078872727E-12</v>
      </c>
      <c r="AM170" s="59">
        <f t="shared" si="113"/>
        <v>288.40175636392644</v>
      </c>
      <c r="AN170" s="59">
        <f ca="1">AVERAGE(OFFSET($AM$3,0,0,'Données projet'!$E$10+1,1))-AVERAGE(OFFSET($H$3,0,0,'Données projet'!$E$10+1,1))</f>
        <v>336.28176557459966</v>
      </c>
      <c r="AO170" s="59">
        <f t="shared" si="144"/>
        <v>357.30155664292317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1.9471859911496743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9.6695627010968997E-20</v>
      </c>
      <c r="AX170" s="21">
        <f t="shared" si="166"/>
        <v>1.9471859911496743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-9.0949470177292824E-13</v>
      </c>
      <c r="O171" s="13">
        <f>N171*VLOOKUP('Données projet'!$B$9,Paramètres!$A$1:$I$89,3,0)*VLOOKUP('Données projet'!$B$9,Paramètres!$A$1:$I$89,5,0)</f>
        <v>-4.7672074288129813E-13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463.16285713357729</v>
      </c>
      <c r="T171" s="59">
        <f t="shared" si="142"/>
        <v>525.72239370489785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2.7193891583010558E-13</v>
      </c>
      <c r="AK171" s="13">
        <f t="shared" si="164"/>
        <v>3.6362267729089988E-12</v>
      </c>
      <c r="AL171" s="20">
        <f t="shared" si="165"/>
        <v>6.8067219078872727E-12</v>
      </c>
      <c r="AM171" s="59">
        <f t="shared" si="113"/>
        <v>288.48730819899134</v>
      </c>
      <c r="AN171" s="59">
        <f ca="1">AVERAGE(OFFSET($AM$3,0,0,'Données projet'!$E$10+1,1))-AVERAGE(OFFSET($H$3,0,0,'Données projet'!$E$10+1,1))</f>
        <v>336.28176557459966</v>
      </c>
      <c r="AO171" s="59">
        <f t="shared" si="144"/>
        <v>357.30155664292317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1.9090028615294115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6.8374133570541268E-20</v>
      </c>
      <c r="AX171" s="21">
        <f t="shared" si="166"/>
        <v>1.9090028615294115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-9.0949470177292824E-13</v>
      </c>
      <c r="O172" s="13">
        <f>N172*VLOOKUP('Données projet'!$B$9,Paramètres!$A$1:$I$89,3,0)*VLOOKUP('Données projet'!$B$9,Paramètres!$A$1:$I$89,5,0)</f>
        <v>-4.7672074288129813E-13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463.16285713357729</v>
      </c>
      <c r="T172" s="59">
        <f t="shared" si="142"/>
        <v>525.72239370489785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2.7193891583010558E-13</v>
      </c>
      <c r="AK172" s="13">
        <f t="shared" si="164"/>
        <v>3.6362267729089988E-12</v>
      </c>
      <c r="AL172" s="20">
        <f t="shared" si="165"/>
        <v>6.8067219078872727E-12</v>
      </c>
      <c r="AM172" s="59">
        <f t="shared" si="113"/>
        <v>288.57137590098324</v>
      </c>
      <c r="AN172" s="59">
        <f ca="1">AVERAGE(OFFSET($AM$3,0,0,'Données projet'!$E$10+1,1))-AVERAGE(OFFSET($H$3,0,0,'Données projet'!$E$10+1,1))</f>
        <v>336.28176557459966</v>
      </c>
      <c r="AO172" s="59">
        <f t="shared" si="144"/>
        <v>357.30155664292317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1.8715684797915926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4.8347813505484499E-20</v>
      </c>
      <c r="AX172" s="21">
        <f t="shared" si="166"/>
        <v>1.8715684797915926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-9.0949470177292824E-13</v>
      </c>
      <c r="O173" s="13">
        <f>N173*VLOOKUP('Données projet'!$B$9,Paramètres!$A$1:$I$89,3,0)*VLOOKUP('Données projet'!$B$9,Paramètres!$A$1:$I$89,5,0)</f>
        <v>-4.7672074288129813E-13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463.16285713357729</v>
      </c>
      <c r="T173" s="59">
        <f t="shared" si="142"/>
        <v>525.72239370489785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2.7193891583010558E-13</v>
      </c>
      <c r="AK173" s="13">
        <f t="shared" si="164"/>
        <v>3.6362267729089988E-12</v>
      </c>
      <c r="AL173" s="20">
        <f t="shared" si="165"/>
        <v>6.8067219078872727E-12</v>
      </c>
      <c r="AM173" s="59">
        <f t="shared" si="113"/>
        <v>288.65398521629271</v>
      </c>
      <c r="AN173" s="59">
        <f ca="1">AVERAGE(OFFSET($AM$3,0,0,'Données projet'!$E$10+1,1))-AVERAGE(OFFSET($H$3,0,0,'Données projet'!$E$10+1,1))</f>
        <v>336.28176557459966</v>
      </c>
      <c r="AO173" s="59">
        <f t="shared" si="144"/>
        <v>357.30155664292317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1.8348681634469339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3.4187066785270634E-20</v>
      </c>
      <c r="AX173" s="21">
        <f t="shared" si="166"/>
        <v>1.8348681634469339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-9.0949470177292824E-13</v>
      </c>
      <c r="O174" s="13">
        <f>N174*VLOOKUP('Données projet'!$B$9,Paramètres!$A$1:$I$89,3,0)*VLOOKUP('Données projet'!$B$9,Paramètres!$A$1:$I$89,5,0)</f>
        <v>-4.7672074288129813E-13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463.16285713357729</v>
      </c>
      <c r="T174" s="59">
        <f t="shared" si="142"/>
        <v>525.72239370489785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2.7193891583010558E-13</v>
      </c>
      <c r="AK174" s="13">
        <f t="shared" si="164"/>
        <v>3.6362267729089988E-12</v>
      </c>
      <c r="AL174" s="20">
        <f t="shared" si="165"/>
        <v>6.8067219078872727E-12</v>
      </c>
      <c r="AM174" s="59">
        <f t="shared" si="113"/>
        <v>288.73516144466834</v>
      </c>
      <c r="AN174" s="59">
        <f ca="1">AVERAGE(OFFSET($AM$3,0,0,'Données projet'!$E$10+1,1))-AVERAGE(OFFSET($H$3,0,0,'Données projet'!$E$10+1,1))</f>
        <v>336.28176557459966</v>
      </c>
      <c r="AO174" s="59">
        <f t="shared" si="144"/>
        <v>357.30155664292317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1.7988875179208115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2.4173906752742249E-20</v>
      </c>
      <c r="AX174" s="21">
        <f t="shared" si="166"/>
        <v>1.7988875179208115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-9.0949470177292824E-13</v>
      </c>
      <c r="O175" s="13">
        <f>N175*VLOOKUP('Données projet'!$B$9,Paramètres!$A$1:$I$89,3,0)*VLOOKUP('Données projet'!$B$9,Paramètres!$A$1:$I$89,5,0)</f>
        <v>-4.7672074288129813E-13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463.16285713357729</v>
      </c>
      <c r="T175" s="59">
        <f t="shared" si="142"/>
        <v>525.72239370489785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2.7193891583010558E-13</v>
      </c>
      <c r="AK175" s="13">
        <f t="shared" si="164"/>
        <v>3.6362267729089988E-12</v>
      </c>
      <c r="AL175" s="20">
        <f t="shared" si="165"/>
        <v>6.8067219078872727E-12</v>
      </c>
      <c r="AM175" s="59">
        <f t="shared" si="113"/>
        <v>288.81492944696447</v>
      </c>
      <c r="AN175" s="59">
        <f ca="1">AVERAGE(OFFSET($AM$3,0,0,'Données projet'!$E$10+1,1))-AVERAGE(OFFSET($H$3,0,0,'Données projet'!$E$10+1,1))</f>
        <v>336.28176557459966</v>
      </c>
      <c r="AO175" s="59">
        <f t="shared" si="144"/>
        <v>357.30155664292317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1.7636124309074295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1.7093533392635317E-20</v>
      </c>
      <c r="AX175" s="21">
        <f t="shared" si="166"/>
        <v>1.7636124309074295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-9.0949470177292824E-13</v>
      </c>
      <c r="O176" s="13">
        <f>N176*VLOOKUP('Données projet'!$B$9,Paramètres!$A$1:$I$89,3,0)*VLOOKUP('Données projet'!$B$9,Paramètres!$A$1:$I$89,5,0)</f>
        <v>-4.7672074288129813E-13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463.16285713357729</v>
      </c>
      <c r="T176" s="59">
        <f t="shared" si="142"/>
        <v>525.72239370489785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2.7193891583010558E-13</v>
      </c>
      <c r="AK176" s="13">
        <f t="shared" si="164"/>
        <v>3.6362267729089988E-12</v>
      </c>
      <c r="AL176" s="20">
        <f t="shared" si="165"/>
        <v>6.8067219078872727E-12</v>
      </c>
      <c r="AM176" s="59">
        <f t="shared" si="113"/>
        <v>288.8933136527553</v>
      </c>
      <c r="AN176" s="59">
        <f ca="1">AVERAGE(OFFSET($AM$3,0,0,'Données projet'!$E$10+1,1))-AVERAGE(OFFSET($H$3,0,0,'Données projet'!$E$10+1,1))</f>
        <v>336.28176557459966</v>
      </c>
      <c r="AO176" s="59">
        <f t="shared" si="144"/>
        <v>357.30155664292317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1.7290290668347013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1.2086953376371125E-20</v>
      </c>
      <c r="AX176" s="21">
        <f t="shared" si="166"/>
        <v>1.7290290668347013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-9.0949470177292824E-13</v>
      </c>
      <c r="O177" s="13">
        <f>N177*VLOOKUP('Données projet'!$B$9,Paramètres!$A$1:$I$89,3,0)*VLOOKUP('Données projet'!$B$9,Paramètres!$A$1:$I$89,5,0)</f>
        <v>-4.7672074288129813E-13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463.16285713357729</v>
      </c>
      <c r="T177" s="59">
        <f t="shared" si="142"/>
        <v>525.72239370489785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2.7193891583010558E-13</v>
      </c>
      <c r="AK177" s="13">
        <f t="shared" si="164"/>
        <v>3.6362267729089988E-12</v>
      </c>
      <c r="AL177" s="20">
        <f t="shared" si="165"/>
        <v>6.8067219078872727E-12</v>
      </c>
      <c r="AM177" s="59">
        <f t="shared" si="113"/>
        <v>288.97033806781656</v>
      </c>
      <c r="AN177" s="59">
        <f ca="1">AVERAGE(OFFSET($AM$3,0,0,'Données projet'!$E$10+1,1))-AVERAGE(OFFSET($H$3,0,0,'Données projet'!$E$10+1,1))</f>
        <v>336.28176557459966</v>
      </c>
      <c r="AO177" s="59">
        <f t="shared" si="144"/>
        <v>357.30155664292317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1.69512386143767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8.5467666963176586E-21</v>
      </c>
      <c r="AX177" s="21">
        <f t="shared" si="166"/>
        <v>1.69512386143767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-9.0949470177292824E-13</v>
      </c>
      <c r="O178" s="13">
        <f>N178*VLOOKUP('Données projet'!$B$9,Paramètres!$A$1:$I$89,3,0)*VLOOKUP('Données projet'!$B$9,Paramètres!$A$1:$I$89,5,0)</f>
        <v>-4.7672074288129813E-13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463.16285713357729</v>
      </c>
      <c r="T178" s="59">
        <f t="shared" si="142"/>
        <v>525.72239370489785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2.7193891583010558E-13</v>
      </c>
      <c r="AK178" s="13">
        <f t="shared" si="164"/>
        <v>3.6362267729089988E-12</v>
      </c>
      <c r="AL178" s="20">
        <f t="shared" si="165"/>
        <v>6.8067219078872727E-12</v>
      </c>
      <c r="AM178" s="59">
        <f t="shared" si="113"/>
        <v>289.04602628147722</v>
      </c>
      <c r="AN178" s="59">
        <f ca="1">AVERAGE(OFFSET($AM$3,0,0,'Données projet'!$E$10+1,1))-AVERAGE(OFFSET($H$3,0,0,'Données projet'!$E$10+1,1))</f>
        <v>336.28176557459966</v>
      </c>
      <c r="AO178" s="59">
        <f t="shared" si="144"/>
        <v>357.30155664292317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1.6618835164383414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6.0434766881855623E-21</v>
      </c>
      <c r="AX178" s="21">
        <f t="shared" si="166"/>
        <v>1.6618835164383414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-9.0949470177292824E-13</v>
      </c>
      <c r="O179" s="13">
        <f>N179*VLOOKUP('Données projet'!$B$9,Paramètres!$A$1:$I$89,3,0)*VLOOKUP('Données projet'!$B$9,Paramètres!$A$1:$I$89,5,0)</f>
        <v>-4.7672074288129813E-13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463.16285713357729</v>
      </c>
      <c r="T179" s="59">
        <f t="shared" si="142"/>
        <v>525.72239370489785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2.7193891583010558E-13</v>
      </c>
      <c r="AK179" s="13">
        <f t="shared" si="164"/>
        <v>3.6362267729089988E-12</v>
      </c>
      <c r="AL179" s="20">
        <f t="shared" si="165"/>
        <v>6.8067219078872727E-12</v>
      </c>
      <c r="AM179" s="59">
        <f t="shared" si="113"/>
        <v>289.12040147384442</v>
      </c>
      <c r="AN179" s="59">
        <f ca="1">AVERAGE(OFFSET($AM$3,0,0,'Données projet'!$E$10+1,1))-AVERAGE(OFFSET($H$3,0,0,'Données projet'!$E$10+1,1))</f>
        <v>336.28176557459966</v>
      </c>
      <c r="AO179" s="59">
        <f t="shared" si="144"/>
        <v>357.30155664292317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1.6292949943298412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4.2733833481588293E-21</v>
      </c>
      <c r="AX179" s="21">
        <f t="shared" si="166"/>
        <v>1.6292949943298412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-9.0949470177292824E-13</v>
      </c>
      <c r="O180" s="13">
        <f>N180*VLOOKUP('Données projet'!$B$9,Paramètres!$A$1:$I$89,3,0)*VLOOKUP('Données projet'!$B$9,Paramètres!$A$1:$I$89,5,0)</f>
        <v>-4.7672074288129813E-13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463.16285713357729</v>
      </c>
      <c r="T180" s="59">
        <f t="shared" si="142"/>
        <v>525.72239370489785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2.7193891583010558E-13</v>
      </c>
      <c r="AK180" s="13">
        <f t="shared" si="164"/>
        <v>3.6362267729089988E-12</v>
      </c>
      <c r="AL180" s="20">
        <f t="shared" si="165"/>
        <v>6.8067219078872727E-12</v>
      </c>
      <c r="AM180" s="59">
        <f t="shared" si="113"/>
        <v>289.19348642290208</v>
      </c>
      <c r="AN180" s="59">
        <f ca="1">AVERAGE(OFFSET($AM$3,0,0,'Données projet'!$E$10+1,1))-AVERAGE(OFFSET($H$3,0,0,'Données projet'!$E$10+1,1))</f>
        <v>336.28176557459966</v>
      </c>
      <c r="AO180" s="59">
        <f t="shared" si="144"/>
        <v>357.30155664292317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1.5973455132628527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3.0217383440927812E-21</v>
      </c>
      <c r="AX180" s="21">
        <f t="shared" si="166"/>
        <v>1.5973455132628527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-9.0949470177292824E-13</v>
      </c>
      <c r="O181" s="13">
        <f>N181*VLOOKUP('Données projet'!$B$9,Paramètres!$A$1:$I$89,3,0)*VLOOKUP('Données projet'!$B$9,Paramètres!$A$1:$I$89,5,0)</f>
        <v>-4.7672074288129813E-13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463.16285713357729</v>
      </c>
      <c r="T181" s="59">
        <f t="shared" si="142"/>
        <v>525.72239370489785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2.7193891583010558E-13</v>
      </c>
      <c r="AK181" s="13">
        <f t="shared" si="164"/>
        <v>3.6362267729089988E-12</v>
      </c>
      <c r="AL181" s="20">
        <f t="shared" si="165"/>
        <v>6.8067219078872727E-12</v>
      </c>
      <c r="AM181" s="59">
        <f t="shared" si="113"/>
        <v>289.26530351148699</v>
      </c>
      <c r="AN181" s="59">
        <f ca="1">AVERAGE(OFFSET($AM$3,0,0,'Données projet'!$E$10+1,1))-AVERAGE(OFFSET($H$3,0,0,'Données projet'!$E$10+1,1))</f>
        <v>336.28176557459966</v>
      </c>
      <c r="AO181" s="59">
        <f t="shared" si="144"/>
        <v>357.30155664292317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1.5660225420323286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2.1366916740794146E-21</v>
      </c>
      <c r="AX181" s="21">
        <f t="shared" si="166"/>
        <v>1.5660225420323286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-9.0949470177292824E-13</v>
      </c>
      <c r="O182" s="13">
        <f>N182*VLOOKUP('Données projet'!$B$9,Paramètres!$A$1:$I$89,3,0)*VLOOKUP('Données projet'!$B$9,Paramètres!$A$1:$I$89,5,0)</f>
        <v>-4.7672074288129813E-13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463.16285713357729</v>
      </c>
      <c r="T182" s="59">
        <f t="shared" si="142"/>
        <v>525.72239370489785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2.7193891583010558E-13</v>
      </c>
      <c r="AK182" s="13">
        <f t="shared" si="164"/>
        <v>3.6362267729089988E-12</v>
      </c>
      <c r="AL182" s="20">
        <f t="shared" si="165"/>
        <v>6.8067219078872727E-12</v>
      </c>
      <c r="AM182" s="59">
        <f t="shared" si="113"/>
        <v>289.33587473414394</v>
      </c>
      <c r="AN182" s="59">
        <f ca="1">AVERAGE(OFFSET($AM$3,0,0,'Données projet'!$E$10+1,1))-AVERAGE(OFFSET($H$3,0,0,'Données projet'!$E$10+1,1))</f>
        <v>336.28176557459966</v>
      </c>
      <c r="AO182" s="59">
        <f t="shared" si="144"/>
        <v>357.30155664292317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1.5353137951625091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1.5108691720463906E-21</v>
      </c>
      <c r="AX182" s="21">
        <f t="shared" si="166"/>
        <v>1.5353137951625091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-9.0949470177292824E-13</v>
      </c>
      <c r="O183" s="13">
        <f>N183*VLOOKUP('Données projet'!$B$9,Paramètres!$A$1:$I$89,3,0)*VLOOKUP('Données projet'!$B$9,Paramètres!$A$1:$I$89,5,0)</f>
        <v>-4.7672074288129813E-13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463.16285713357729</v>
      </c>
      <c r="T183" s="59">
        <f t="shared" si="142"/>
        <v>525.72239370489785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2.7193891583010558E-13</v>
      </c>
      <c r="AK183" s="13">
        <f t="shared" si="164"/>
        <v>3.6362267729089988E-12</v>
      </c>
      <c r="AL183" s="20">
        <f t="shared" si="165"/>
        <v>6.8067219078872727E-12</v>
      </c>
      <c r="AM183" s="59">
        <f t="shared" si="113"/>
        <v>289.40522170386146</v>
      </c>
      <c r="AN183" s="59">
        <f ca="1">AVERAGE(OFFSET($AM$3,0,0,'Données projet'!$E$10+1,1))-AVERAGE(OFFSET($H$3,0,0,'Données projet'!$E$10+1,1))</f>
        <v>336.28176557459966</v>
      </c>
      <c r="AO183" s="59">
        <f t="shared" si="144"/>
        <v>357.30155664292317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1.5052072280883206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1.0683458370397073E-21</v>
      </c>
      <c r="AX183" s="21">
        <f t="shared" si="166"/>
        <v>1.5052072280883206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-9.0949470177292824E-13</v>
      </c>
      <c r="O184" s="13">
        <f>N184*VLOOKUP('Données projet'!$B$9,Paramètres!$A$1:$I$89,3,0)*VLOOKUP('Données projet'!$B$9,Paramètres!$A$1:$I$89,5,0)</f>
        <v>-4.7672074288129813E-13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463.16285713357729</v>
      </c>
      <c r="T184" s="59">
        <f t="shared" si="142"/>
        <v>525.72239370489785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2.7193891583010558E-13</v>
      </c>
      <c r="AK184" s="13">
        <f t="shared" si="164"/>
        <v>3.6362267729089988E-12</v>
      </c>
      <c r="AL184" s="20">
        <f t="shared" si="165"/>
        <v>6.8067219078872727E-12</v>
      </c>
      <c r="AM184" s="59">
        <f t="shared" si="113"/>
        <v>289.47336565869091</v>
      </c>
      <c r="AN184" s="59">
        <f ca="1">AVERAGE(OFFSET($AM$3,0,0,'Données projet'!$E$10+1,1))-AVERAGE(OFFSET($H$3,0,0,'Données projet'!$E$10+1,1))</f>
        <v>336.28176557459966</v>
      </c>
      <c r="AO184" s="59">
        <f t="shared" si="144"/>
        <v>357.30155664292317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1.4756910324312644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7.5543458602319529E-22</v>
      </c>
      <c r="AX184" s="21">
        <f t="shared" si="166"/>
        <v>1.4756910324312644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-9.0949470177292824E-13</v>
      </c>
      <c r="O185" s="13">
        <f>N185*VLOOKUP('Données projet'!$B$9,Paramètres!$A$1:$I$89,3,0)*VLOOKUP('Données projet'!$B$9,Paramètres!$A$1:$I$89,5,0)</f>
        <v>-4.7672074288129813E-13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463.16285713357729</v>
      </c>
      <c r="T185" s="59">
        <f t="shared" si="142"/>
        <v>525.72239370489785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2.7193891583010558E-13</v>
      </c>
      <c r="AK185" s="13">
        <f t="shared" si="164"/>
        <v>3.6362267729089988E-12</v>
      </c>
      <c r="AL185" s="20">
        <f t="shared" si="165"/>
        <v>6.8067219078872727E-12</v>
      </c>
      <c r="AM185" s="59">
        <f t="shared" si="113"/>
        <v>289.54032746825123</v>
      </c>
      <c r="AN185" s="59">
        <f ca="1">AVERAGE(OFFSET($AM$3,0,0,'Données projet'!$E$10+1,1))-AVERAGE(OFFSET($H$3,0,0,'Données projet'!$E$10+1,1))</f>
        <v>336.28176557459966</v>
      </c>
      <c r="AO185" s="59">
        <f t="shared" si="144"/>
        <v>357.30155664292317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1.4467536313679414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5.3417291851985366E-22</v>
      </c>
      <c r="AX185" s="21">
        <f t="shared" si="166"/>
        <v>1.4467536313679414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-9.0949470177292824E-13</v>
      </c>
      <c r="O186" s="13">
        <f>N186*VLOOKUP('Données projet'!$B$9,Paramètres!$A$1:$I$89,3,0)*VLOOKUP('Données projet'!$B$9,Paramètres!$A$1:$I$89,5,0)</f>
        <v>-4.7672074288129813E-13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463.16285713357729</v>
      </c>
      <c r="T186" s="59">
        <f t="shared" si="142"/>
        <v>525.72239370489785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2.7193891583010558E-13</v>
      </c>
      <c r="AK186" s="13">
        <f t="shared" si="164"/>
        <v>3.6362267729089988E-12</v>
      </c>
      <c r="AL186" s="20">
        <f t="shared" si="165"/>
        <v>6.8067219078872727E-12</v>
      </c>
      <c r="AM186" s="59">
        <f t="shared" si="113"/>
        <v>289.60612764011978</v>
      </c>
      <c r="AN186" s="59">
        <f ca="1">AVERAGE(OFFSET($AM$3,0,0,'Données projet'!$E$10+1,1))-AVERAGE(OFFSET($H$3,0,0,'Données projet'!$E$10+1,1))</f>
        <v>336.28176557459966</v>
      </c>
      <c r="AO186" s="59">
        <f t="shared" si="144"/>
        <v>357.30155664292317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1.4183836750893983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3.7771729301159765E-22</v>
      </c>
      <c r="AX186" s="21">
        <f t="shared" si="166"/>
        <v>1.4183836750893983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-9.0949470177292824E-13</v>
      </c>
      <c r="O187" s="13">
        <f>N187*VLOOKUP('Données projet'!$B$9,Paramètres!$A$1:$I$89,3,0)*VLOOKUP('Données projet'!$B$9,Paramètres!$A$1:$I$89,5,0)</f>
        <v>-4.7672074288129813E-13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463.16285713357729</v>
      </c>
      <c r="T187" s="59">
        <f t="shared" si="142"/>
        <v>525.72239370489785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2.7193891583010558E-13</v>
      </c>
      <c r="AK187" s="13">
        <f t="shared" si="164"/>
        <v>3.6362267729089988E-12</v>
      </c>
      <c r="AL187" s="20">
        <f t="shared" si="165"/>
        <v>6.8067219078872727E-12</v>
      </c>
      <c r="AM187" s="59">
        <f t="shared" si="113"/>
        <v>289.67078632611356</v>
      </c>
      <c r="AN187" s="59">
        <f ca="1">AVERAGE(OFFSET($AM$3,0,0,'Données projet'!$E$10+1,1))-AVERAGE(OFFSET($H$3,0,0,'Données projet'!$E$10+1,1))</f>
        <v>336.28176557459966</v>
      </c>
      <c r="AO187" s="59">
        <f t="shared" si="144"/>
        <v>357.30155664292317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1.3905700363495126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2.6708645925992683E-22</v>
      </c>
      <c r="AX187" s="21">
        <f t="shared" si="166"/>
        <v>1.3905700363495126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-9.0949470177292824E-13</v>
      </c>
      <c r="O188" s="13">
        <f>N188*VLOOKUP('Données projet'!$B$9,Paramètres!$A$1:$I$89,3,0)*VLOOKUP('Données projet'!$B$9,Paramètres!$A$1:$I$89,5,0)</f>
        <v>-4.7672074288129813E-13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463.16285713357729</v>
      </c>
      <c r="T188" s="59">
        <f t="shared" si="142"/>
        <v>525.72239370489785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2.7193891583010558E-13</v>
      </c>
      <c r="AK188" s="13">
        <f t="shared" si="164"/>
        <v>3.6362267729089988E-12</v>
      </c>
      <c r="AL188" s="20">
        <f t="shared" si="165"/>
        <v>6.8067219078872727E-12</v>
      </c>
      <c r="AM188" s="59">
        <f t="shared" si="113"/>
        <v>289.73432332846056</v>
      </c>
      <c r="AN188" s="59">
        <f ca="1">AVERAGE(OFFSET($AM$3,0,0,'Données projet'!$E$10+1,1))-AVERAGE(OFFSET($H$3,0,0,'Données projet'!$E$10+1,1))</f>
        <v>336.28176557459966</v>
      </c>
      <c r="AO188" s="59">
        <f t="shared" si="144"/>
        <v>357.30155664292317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1.3633018061006716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1.8885864650579882E-22</v>
      </c>
      <c r="AX188" s="21">
        <f t="shared" si="166"/>
        <v>1.3633018061006716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-9.0949470177292824E-13</v>
      </c>
      <c r="O189" s="13">
        <f>N189*VLOOKUP('Données projet'!$B$9,Paramètres!$A$1:$I$89,3,0)*VLOOKUP('Données projet'!$B$9,Paramètres!$A$1:$I$89,5,0)</f>
        <v>-4.7672074288129813E-13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463.16285713357729</v>
      </c>
      <c r="T189" s="59">
        <f t="shared" si="142"/>
        <v>525.72239370489785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2.7193891583010558E-13</v>
      </c>
      <c r="AK189" s="13">
        <f t="shared" si="164"/>
        <v>3.6362267729089988E-12</v>
      </c>
      <c r="AL189" s="20">
        <f t="shared" si="165"/>
        <v>6.8067219078872727E-12</v>
      </c>
      <c r="AM189" s="59">
        <f t="shared" si="113"/>
        <v>289.79675810586423</v>
      </c>
      <c r="AN189" s="59">
        <f ca="1">AVERAGE(OFFSET($AM$3,0,0,'Données projet'!$E$10+1,1))-AVERAGE(OFFSET($H$3,0,0,'Données projet'!$E$10+1,1))</f>
        <v>336.28176557459966</v>
      </c>
      <c r="AO189" s="59">
        <f t="shared" si="144"/>
        <v>357.30155664292317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1.3365682892150321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1.3354322962996341E-22</v>
      </c>
      <c r="AX189" s="21">
        <f t="shared" si="166"/>
        <v>1.3365682892150321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-9.0949470177292824E-13</v>
      </c>
      <c r="O190" s="13">
        <f>N190*VLOOKUP('Données projet'!$B$9,Paramètres!$A$1:$I$89,3,0)*VLOOKUP('Données projet'!$B$9,Paramètres!$A$1:$I$89,5,0)</f>
        <v>-4.7672074288129813E-13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463.16285713357729</v>
      </c>
      <c r="T190" s="59">
        <f t="shared" si="142"/>
        <v>525.72239370489785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2.7193891583010558E-13</v>
      </c>
      <c r="AK190" s="13">
        <f t="shared" si="164"/>
        <v>3.6362267729089988E-12</v>
      </c>
      <c r="AL190" s="20">
        <f t="shared" si="165"/>
        <v>6.8067219078872727E-12</v>
      </c>
      <c r="AM190" s="59">
        <f t="shared" si="113"/>
        <v>289.85810977946323</v>
      </c>
      <c r="AN190" s="59">
        <f ca="1">AVERAGE(OFFSET($AM$3,0,0,'Données projet'!$E$10+1,1))-AVERAGE(OFFSET($H$3,0,0,'Données projet'!$E$10+1,1))</f>
        <v>336.28176557459966</v>
      </c>
      <c r="AO190" s="59">
        <f t="shared" si="144"/>
        <v>357.30155664292317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1.3103590002896848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9.4429323252899412E-23</v>
      </c>
      <c r="AX190" s="21">
        <f t="shared" si="166"/>
        <v>1.3103590002896848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-9.0949470177292824E-13</v>
      </c>
      <c r="O191" s="13">
        <f>N191*VLOOKUP('Données projet'!$B$9,Paramètres!$A$1:$I$89,3,0)*VLOOKUP('Données projet'!$B$9,Paramètres!$A$1:$I$89,5,0)</f>
        <v>-4.7672074288129813E-13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463.16285713357729</v>
      </c>
      <c r="T191" s="59">
        <f t="shared" si="142"/>
        <v>525.72239370489785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2.7193891583010558E-13</v>
      </c>
      <c r="AK191" s="13">
        <f t="shared" si="164"/>
        <v>3.6362267729089988E-12</v>
      </c>
      <c r="AL191" s="20">
        <f t="shared" si="165"/>
        <v>6.8067219078872727E-12</v>
      </c>
      <c r="AM191" s="59">
        <f t="shared" si="113"/>
        <v>289.91839713868706</v>
      </c>
      <c r="AN191" s="59">
        <f ca="1">AVERAGE(OFFSET($AM$3,0,0,'Données projet'!$E$10+1,1))-AVERAGE(OFFSET($H$3,0,0,'Données projet'!$E$10+1,1))</f>
        <v>336.28176557459966</v>
      </c>
      <c r="AO191" s="59">
        <f t="shared" si="144"/>
        <v>357.30155664292317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1.2846636595340759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6.6771614814981707E-23</v>
      </c>
      <c r="AX191" s="21">
        <f t="shared" si="166"/>
        <v>1.2846636595340759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-9.0949470177292824E-13</v>
      </c>
      <c r="O192" s="13">
        <f>N192*VLOOKUP('Données projet'!$B$9,Paramètres!$A$1:$I$89,3,0)*VLOOKUP('Données projet'!$B$9,Paramètres!$A$1:$I$89,5,0)</f>
        <v>-4.7672074288129813E-13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463.16285713357729</v>
      </c>
      <c r="T192" s="59">
        <f t="shared" si="142"/>
        <v>525.72239370489785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2.7193891583010558E-13</v>
      </c>
      <c r="AK192" s="13">
        <f t="shared" si="164"/>
        <v>3.6362267729089988E-12</v>
      </c>
      <c r="AL192" s="20">
        <f t="shared" si="165"/>
        <v>6.8067219078872727E-12</v>
      </c>
      <c r="AM192" s="59">
        <f t="shared" si="113"/>
        <v>289.97763864701068</v>
      </c>
      <c r="AN192" s="59">
        <f ca="1">AVERAGE(OFFSET($AM$3,0,0,'Données projet'!$E$10+1,1))-AVERAGE(OFFSET($H$3,0,0,'Données projet'!$E$10+1,1))</f>
        <v>336.28176557459966</v>
      </c>
      <c r="AO192" s="59">
        <f t="shared" si="144"/>
        <v>357.30155664292317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1.2594721887380742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4.7214661626449706E-23</v>
      </c>
      <c r="AX192" s="21">
        <f t="shared" si="166"/>
        <v>1.2594721887380742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-9.0949470177292824E-13</v>
      </c>
      <c r="O193" s="13">
        <f>N193*VLOOKUP('Données projet'!$B$9,Paramètres!$A$1:$I$89,3,0)*VLOOKUP('Données projet'!$B$9,Paramètres!$A$1:$I$89,5,0)</f>
        <v>-4.7672074288129813E-13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463.16285713357729</v>
      </c>
      <c r="T193" s="59">
        <f t="shared" si="142"/>
        <v>525.72239370489785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2.7193891583010558E-13</v>
      </c>
      <c r="AK193" s="13">
        <f t="shared" si="164"/>
        <v>3.6362267729089988E-12</v>
      </c>
      <c r="AL193" s="20">
        <f t="shared" si="165"/>
        <v>6.8067219078872727E-12</v>
      </c>
      <c r="AM193" s="59">
        <f t="shared" si="113"/>
        <v>290.0358524476091</v>
      </c>
      <c r="AN193" s="59">
        <f ca="1">AVERAGE(OFFSET($AM$3,0,0,'Données projet'!$E$10+1,1))-AVERAGE(OFFSET($H$3,0,0,'Données projet'!$E$10+1,1))</f>
        <v>336.28176557459966</v>
      </c>
      <c r="AO193" s="59">
        <f t="shared" si="144"/>
        <v>357.30155664292317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1.234774707319102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3.3385807407490854E-23</v>
      </c>
      <c r="AX193" s="21">
        <f t="shared" si="166"/>
        <v>1.234774707319102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-9.0949470177292824E-13</v>
      </c>
      <c r="O194" s="13">
        <f>N194*VLOOKUP('Données projet'!$B$9,Paramètres!$A$1:$I$89,3,0)*VLOOKUP('Données projet'!$B$9,Paramètres!$A$1:$I$89,5,0)</f>
        <v>-4.7672074288129813E-13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463.16285713357729</v>
      </c>
      <c r="T194" s="59">
        <f t="shared" si="142"/>
        <v>525.72239370489785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2.7193891583010558E-13</v>
      </c>
      <c r="AK194" s="13">
        <f t="shared" si="164"/>
        <v>3.6362267729089988E-12</v>
      </c>
      <c r="AL194" s="20">
        <f t="shared" si="165"/>
        <v>6.8067219078872727E-12</v>
      </c>
      <c r="AM194" s="59">
        <f t="shared" si="113"/>
        <v>290.09305636891366</v>
      </c>
      <c r="AN194" s="59">
        <f ca="1">AVERAGE(OFFSET($AM$3,0,0,'Données projet'!$E$10+1,1))-AVERAGE(OFFSET($H$3,0,0,'Données projet'!$E$10+1,1))</f>
        <v>336.28176557459966</v>
      </c>
      <c r="AO194" s="59">
        <f t="shared" si="144"/>
        <v>357.30155664292317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1.2105615284467797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2.3607330813224853E-23</v>
      </c>
      <c r="AX194" s="21">
        <f t="shared" si="166"/>
        <v>1.2105615284467797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-9.0949470177292824E-13</v>
      </c>
      <c r="O195" s="13">
        <f>N195*VLOOKUP('Données projet'!$B$9,Paramètres!$A$1:$I$89,3,0)*VLOOKUP('Données projet'!$B$9,Paramètres!$A$1:$I$89,5,0)</f>
        <v>-4.7672074288129813E-13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463.16285713357729</v>
      </c>
      <c r="T195" s="59">
        <f t="shared" si="142"/>
        <v>525.72239370489785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2.7193891583010558E-13</v>
      </c>
      <c r="AK195" s="13">
        <f t="shared" si="164"/>
        <v>3.6362267729089988E-12</v>
      </c>
      <c r="AL195" s="20">
        <f t="shared" si="165"/>
        <v>6.8067219078872727E-12</v>
      </c>
      <c r="AM195" s="59">
        <f t="shared" si="113"/>
        <v>290.14926793007248</v>
      </c>
      <c r="AN195" s="59">
        <f ca="1">AVERAGE(OFFSET($AM$3,0,0,'Données projet'!$E$10+1,1))-AVERAGE(OFFSET($H$3,0,0,'Données projet'!$E$10+1,1))</f>
        <v>336.28176557459966</v>
      </c>
      <c r="AO195" s="59">
        <f t="shared" si="144"/>
        <v>357.30155664292317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1.1868231552435626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1.6692903703745427E-23</v>
      </c>
      <c r="AX195" s="21">
        <f t="shared" si="166"/>
        <v>1.1868231552435626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-9.0949470177292824E-13</v>
      </c>
      <c r="O196" s="13">
        <f>N196*VLOOKUP('Données projet'!$B$9,Paramètres!$A$1:$I$89,3,0)*VLOOKUP('Données projet'!$B$9,Paramètres!$A$1:$I$89,5,0)</f>
        <v>-4.7672074288129813E-13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463.16285713357729</v>
      </c>
      <c r="T196" s="59">
        <f t="shared" si="142"/>
        <v>525.72239370489785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2.7193891583010558E-13</v>
      </c>
      <c r="AK196" s="13">
        <f t="shared" si="164"/>
        <v>3.6362267729089988E-12</v>
      </c>
      <c r="AL196" s="20">
        <f t="shared" si="165"/>
        <v>6.8067219078872727E-12</v>
      </c>
      <c r="AM196" s="59">
        <f t="shared" ref="AM196:AM203" si="193">AL196+(AD196+AE196)*44/12</f>
        <v>290.20450434631533</v>
      </c>
      <c r="AN196" s="59">
        <f ca="1">AVERAGE(OFFSET($AM$3,0,0,'Données projet'!$E$10+1,1))-AVERAGE(OFFSET($H$3,0,0,'Données projet'!$E$10+1,1))</f>
        <v>336.28176557459966</v>
      </c>
      <c r="AO196" s="59">
        <f t="shared" si="144"/>
        <v>357.30155664292317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1.1635502770598829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1.1803665406612426E-23</v>
      </c>
      <c r="AX196" s="21">
        <f t="shared" si="166"/>
        <v>1.1635502770598829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-9.0949470177292824E-13</v>
      </c>
      <c r="O197" s="13">
        <f>N197*VLOOKUP('Données projet'!$B$9,Paramètres!$A$1:$I$89,3,0)*VLOOKUP('Données projet'!$B$9,Paramètres!$A$1:$I$89,5,0)</f>
        <v>-4.7672074288129813E-13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463.16285713357729</v>
      </c>
      <c r="T197" s="59">
        <f t="shared" ref="T197:T203" si="204">$T$3</f>
        <v>525.72239370489785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2.7193891583010558E-13</v>
      </c>
      <c r="AK197" s="13">
        <f t="shared" si="164"/>
        <v>3.6362267729089988E-12</v>
      </c>
      <c r="AL197" s="20">
        <f t="shared" si="165"/>
        <v>6.8067219078872727E-12</v>
      </c>
      <c r="AM197" s="59">
        <f t="shared" si="193"/>
        <v>290.25878253422655</v>
      </c>
      <c r="AN197" s="59">
        <f ca="1">AVERAGE(OFFSET($AM$3,0,0,'Données projet'!$E$10+1,1))-AVERAGE(OFFSET($H$3,0,0,'Données projet'!$E$10+1,1))</f>
        <v>336.28176557459966</v>
      </c>
      <c r="AO197" s="59">
        <f t="shared" ref="AO197:AO203" si="205">$AO$3</f>
        <v>357.30155664292317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1.1407337658223309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8.3464518518727134E-24</v>
      </c>
      <c r="AX197" s="21">
        <f t="shared" si="166"/>
        <v>1.1407337658223309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-9.0949470177292824E-13</v>
      </c>
      <c r="O198" s="13">
        <f>N198*VLOOKUP('Données projet'!$B$9,Paramètres!$A$1:$I$89,3,0)*VLOOKUP('Données projet'!$B$9,Paramètres!$A$1:$I$89,5,0)</f>
        <v>-4.7672074288129813E-13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463.16285713357729</v>
      </c>
      <c r="T198" s="59">
        <f t="shared" si="204"/>
        <v>525.72239370489785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2.7193891583010558E-13</v>
      </c>
      <c r="AK198" s="13">
        <f t="shared" si="164"/>
        <v>3.6362267729089988E-12</v>
      </c>
      <c r="AL198" s="20">
        <f t="shared" si="165"/>
        <v>6.8067219078872727E-12</v>
      </c>
      <c r="AM198" s="59">
        <f t="shared" si="193"/>
        <v>290.31211911692532</v>
      </c>
      <c r="AN198" s="59">
        <f ca="1">AVERAGE(OFFSET($AM$3,0,0,'Données projet'!$E$10+1,1))-AVERAGE(OFFSET($H$3,0,0,'Données projet'!$E$10+1,1))</f>
        <v>336.28176557459966</v>
      </c>
      <c r="AO198" s="59">
        <f t="shared" si="205"/>
        <v>357.30155664292317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1.1183646724534497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5.9018327033062132E-24</v>
      </c>
      <c r="AX198" s="21">
        <f t="shared" si="166"/>
        <v>1.1183646724534497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-9.0949470177292824E-13</v>
      </c>
      <c r="O199" s="13">
        <f>N199*VLOOKUP('Données projet'!$B$9,Paramètres!$A$1:$I$89,3,0)*VLOOKUP('Données projet'!$B$9,Paramètres!$A$1:$I$89,5,0)</f>
        <v>-4.7672074288129813E-13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463.16285713357729</v>
      </c>
      <c r="T199" s="59">
        <f t="shared" si="204"/>
        <v>525.72239370489785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2.7193891583010558E-13</v>
      </c>
      <c r="AK199" s="13">
        <f t="shared" si="164"/>
        <v>3.6362267729089988E-12</v>
      </c>
      <c r="AL199" s="20">
        <f t="shared" si="165"/>
        <v>6.8067219078872727E-12</v>
      </c>
      <c r="AM199" s="59">
        <f t="shared" si="193"/>
        <v>290.36453042915701</v>
      </c>
      <c r="AN199" s="59">
        <f ca="1">AVERAGE(OFFSET($AM$3,0,0,'Données projet'!$E$10+1,1))-AVERAGE(OFFSET($H$3,0,0,'Données projet'!$E$10+1,1))</f>
        <v>336.28176557459966</v>
      </c>
      <c r="AO199" s="59">
        <f t="shared" si="205"/>
        <v>357.30155664292317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1.0964342233617326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4.1732259259363567E-24</v>
      </c>
      <c r="AX199" s="21">
        <f t="shared" si="166"/>
        <v>1.0964342233617326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-9.0949470177292824E-13</v>
      </c>
      <c r="O200" s="13">
        <f>N200*VLOOKUP('Données projet'!$B$9,Paramètres!$A$1:$I$89,3,0)*VLOOKUP('Données projet'!$B$9,Paramètres!$A$1:$I$89,5,0)</f>
        <v>-4.7672074288129813E-13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463.16285713357729</v>
      </c>
      <c r="T200" s="59">
        <f t="shared" si="204"/>
        <v>525.72239370489785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2.7193891583010558E-13</v>
      </c>
      <c r="AK200" s="13">
        <f t="shared" si="164"/>
        <v>3.6362267729089988E-12</v>
      </c>
      <c r="AL200" s="20">
        <f t="shared" si="165"/>
        <v>6.8067219078872727E-12</v>
      </c>
      <c r="AM200" s="59">
        <f t="shared" si="193"/>
        <v>290.41603252229561</v>
      </c>
      <c r="AN200" s="59">
        <f ca="1">AVERAGE(OFFSET($AM$3,0,0,'Données projet'!$E$10+1,1))-AVERAGE(OFFSET($H$3,0,0,'Données projet'!$E$10+1,1))</f>
        <v>336.28176557459966</v>
      </c>
      <c r="AO200" s="59">
        <f t="shared" si="205"/>
        <v>357.30155664292317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1.0749338170004508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2.9509163516531066E-24</v>
      </c>
      <c r="AX200" s="21">
        <f t="shared" si="166"/>
        <v>1.0749338170004508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-9.0949470177292824E-13</v>
      </c>
      <c r="O201" s="13">
        <f>N201*VLOOKUP('Données projet'!$B$9,Paramètres!$A$1:$I$89,3,0)*VLOOKUP('Données projet'!$B$9,Paramètres!$A$1:$I$89,5,0)</f>
        <v>-4.7672074288129813E-13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463.16285713357729</v>
      </c>
      <c r="T201" s="59">
        <f t="shared" si="204"/>
        <v>525.72239370489785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2.7193891583010558E-13</v>
      </c>
      <c r="AK201" s="13">
        <f t="shared" si="164"/>
        <v>3.6362267729089988E-12</v>
      </c>
      <c r="AL201" s="20">
        <f t="shared" si="165"/>
        <v>6.8067219078872727E-12</v>
      </c>
      <c r="AM201" s="59">
        <f t="shared" si="193"/>
        <v>290.46664116925973</v>
      </c>
      <c r="AN201" s="59">
        <f ca="1">AVERAGE(OFFSET($AM$3,0,0,'Données projet'!$E$10+1,1))-AVERAGE(OFFSET($H$3,0,0,'Données projet'!$E$10+1,1))</f>
        <v>336.28176557459966</v>
      </c>
      <c r="AO201" s="59">
        <f t="shared" si="205"/>
        <v>357.30155664292317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1.0538550204939607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2.0866129629681784E-24</v>
      </c>
      <c r="AX201" s="21">
        <f t="shared" si="166"/>
        <v>1.0538550204939607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-9.0949470177292824E-13</v>
      </c>
      <c r="O202" s="13">
        <f>N202*VLOOKUP('Données projet'!$B$9,Paramètres!$A$1:$I$89,3,0)*VLOOKUP('Données projet'!$B$9,Paramètres!$A$1:$I$89,5,0)</f>
        <v>-4.7672074288129813E-13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463.16285713357729</v>
      </c>
      <c r="T202" s="59">
        <f t="shared" si="204"/>
        <v>525.72239370489785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2.7193891583010558E-13</v>
      </c>
      <c r="AK202" s="13">
        <f t="shared" si="164"/>
        <v>3.6362267729089988E-12</v>
      </c>
      <c r="AL202" s="20">
        <f t="shared" si="165"/>
        <v>6.8067219078872727E-12</v>
      </c>
      <c r="AM202" s="59">
        <f t="shared" si="193"/>
        <v>290.51637186934295</v>
      </c>
      <c r="AN202" s="59">
        <f ca="1">AVERAGE(OFFSET($AM$3,0,0,'Données projet'!$E$10+1,1))-AVERAGE(OFFSET($H$3,0,0,'Données projet'!$E$10+1,1))</f>
        <v>336.28176557459966</v>
      </c>
      <c r="AO202" s="59">
        <f t="shared" si="205"/>
        <v>357.30155664292317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1.0331895663301667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1.4754581758265533E-24</v>
      </c>
      <c r="AX202" s="21">
        <f t="shared" si="166"/>
        <v>1.0331895663301667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-9.0949470177292824E-13</v>
      </c>
      <c r="O203" s="13">
        <f>N203*VLOOKUP('Données projet'!$B$9,Paramètres!$A$1:$I$89,3,0)*VLOOKUP('Données projet'!$B$9,Paramètres!$A$1:$I$89,5,0)</f>
        <v>-4.7672074288129813E-13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463.16285713357729</v>
      </c>
      <c r="T203" s="59">
        <f t="shared" si="204"/>
        <v>525.72239370489785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2.7193891583010558E-13</v>
      </c>
      <c r="AK203" s="13">
        <f t="shared" si="164"/>
        <v>3.6362267729089988E-12</v>
      </c>
      <c r="AL203" s="20">
        <f t="shared" si="165"/>
        <v>6.8067219078872727E-12</v>
      </c>
      <c r="AM203" s="59">
        <f t="shared" si="193"/>
        <v>290.56523985296093</v>
      </c>
      <c r="AN203" s="59">
        <f ca="1">AVERAGE(OFFSET($AM$3,0,0,'Données projet'!$E$10+1,1))-AVERAGE(OFFSET($H$3,0,0,'Données projet'!$E$10+1,1))</f>
        <v>336.28176557459966</v>
      </c>
      <c r="AO203" s="59">
        <f t="shared" si="205"/>
        <v>357.30155664292317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1.0129293491178422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1.0433064814840892E-24</v>
      </c>
      <c r="AX203" s="21">
        <f t="shared" si="166"/>
        <v>1.0129293491178422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1.475773161594552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1.3763223570336161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K30" sqref="K3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Peuplier Dorskamp</v>
      </c>
      <c r="B6" s="146">
        <f>'Données projet'!D9</f>
        <v>6.2735087999999992</v>
      </c>
      <c r="C6" s="147">
        <f ca="1">IF(OR('Données projet'!B9="",'Données projet'!C9="",'Données projet'!C9=0%),0,Calculateur!S3)</f>
        <v>463.16285713357729</v>
      </c>
      <c r="D6" s="147">
        <f>IF(OR('Données projet'!B9="",'Données projet'!C9="",'Données projet'!C9=0%),0,Calculateur!T3)</f>
        <v>525.72239370489785</v>
      </c>
      <c r="E6" s="147">
        <f ca="1">MIN(C6,D6)</f>
        <v>463.16285713357729</v>
      </c>
      <c r="F6" s="147">
        <f ca="1">E6*B6</f>
        <v>2905.6562600606394</v>
      </c>
      <c r="G6" s="147">
        <f ca="1">F6*(100%-'Données projet'!$C$24)*(100%-'Données projet'!$C$25)*(100%-'Données projet'!$C$26)*(100%-'Données projet'!$C$27)</f>
        <v>1778.2616311571112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1778.2616311571112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3.7801911999999995</v>
      </c>
      <c r="C7" s="147">
        <f ca="1">IF(OR('Données projet'!B10="",'Données projet'!C10="",'Données projet'!C10=0%),0,Calculateur!AN3)</f>
        <v>336.28176557459966</v>
      </c>
      <c r="D7" s="147">
        <f>IF(OR('Données projet'!B10="",'Données projet'!C10="",'Données projet'!C10=0%),0,Calculateur!AO3)</f>
        <v>357.30155664292317</v>
      </c>
      <c r="E7" s="147">
        <f t="shared" ref="E7:E15" ca="1" si="0">MIN(C7,D7)</f>
        <v>336.28176557459966</v>
      </c>
      <c r="F7" s="147">
        <f t="shared" ref="F7:F15" ca="1" si="1">E7*B7</f>
        <v>1271.2093709455644</v>
      </c>
      <c r="G7" s="147">
        <f ca="1">F7*(100%-'Données projet'!$C$24)*(100%-'Données projet'!$C$25)*(100%-'Données projet'!$C$26)*(100%-'Données projet'!$C$27)</f>
        <v>777.98013501868536</v>
      </c>
      <c r="H7" s="155">
        <f>IF(OR('Données projet'!B10="",'Données projet'!C10="",'Données projet'!C10=0%),0,AVERAGE(Calculateur!$AX$3:$AX$33)*B7)</f>
        <v>26.885559455036969</v>
      </c>
      <c r="I7" s="149">
        <f>H7*(100%-'Données projet'!$C$24)*(100%-'Données projet'!$C$25)*(100%-'Données projet'!$C$26)*(100%-'Données projet'!$C$27)</f>
        <v>16.453962386482626</v>
      </c>
      <c r="J7" s="150">
        <f>IF(OR('Données projet'!B10="",'Données projet'!C10="",'Données projet'!C10=0%),0,SUM(Calculateur!$AQ$3:$AQ$33)*VLOOKUP('Données projet'!$B$10,Paramètres!$A$1:$I$89,9,0)*B7)</f>
        <v>232.44395688799997</v>
      </c>
      <c r="K7" s="151">
        <f>J7*(100%-'Données projet'!$C$24)*(100%-'Données projet'!$C$25)*(100%-'Données projet'!$C$26)*(100%-'Données projet'!$C$27)</f>
        <v>142.25570161545599</v>
      </c>
      <c r="L7" s="152">
        <f t="shared" ref="L7:L15" ca="1" si="2">G7+I7+K7</f>
        <v>936.68979902062404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4176.8656310062033</v>
      </c>
      <c r="G16" s="166">
        <f t="shared" ca="1" si="3"/>
        <v>2556.2417661757963</v>
      </c>
      <c r="H16" s="167">
        <f t="shared" si="3"/>
        <v>26.885559455036969</v>
      </c>
      <c r="I16" s="167">
        <f t="shared" si="3"/>
        <v>16.453962386482626</v>
      </c>
      <c r="J16" s="168">
        <f t="shared" si="3"/>
        <v>232.44395688799997</v>
      </c>
      <c r="K16" s="168">
        <f t="shared" si="3"/>
        <v>142.25570161545599</v>
      </c>
      <c r="L16" s="169">
        <f t="shared" ca="1" si="3"/>
        <v>2714.9514301777353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Peuplier Dorskamp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Dorskamp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6.2735087999999992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3.7801911999999995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Peuplier Dorskamp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15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25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35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45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50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55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60</v>
      </c>
      <c r="B34" s="181">
        <f>'Données projet'!D47</f>
        <v>692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16</v>
      </c>
      <c r="B55" s="181">
        <f>'Données projet'!D63</f>
        <v>25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33.700000000000003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24</v>
      </c>
      <c r="B57" s="181">
        <f>'Données projet'!D65</f>
        <v>42.9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28</v>
      </c>
      <c r="B58" s="181">
        <f>'Données projet'!D66</f>
        <v>41.4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34</v>
      </c>
      <c r="B59" s="181">
        <f>'Données projet'!D67</f>
        <v>59.9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34.1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46</v>
      </c>
      <c r="B61" s="181">
        <f>'Données projet'!D69</f>
        <v>21.3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54</v>
      </c>
      <c r="B62" s="181">
        <f>'Données projet'!D70</f>
        <v>17.399999999999999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62</v>
      </c>
      <c r="B63" s="181">
        <f>'Données projet'!D71</f>
        <v>410.00000000000006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2023-08-31T06:12:19Z</cp:lastPrinted>
  <dcterms:created xsi:type="dcterms:W3CDTF">2021-02-01T08:22:39Z</dcterms:created>
  <dcterms:modified xsi:type="dcterms:W3CDTF">2023-08-31T06:17:20Z</dcterms:modified>
</cp:coreProperties>
</file>