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S:\Sylviculture &amp; Gestion\Clients\GAUBERT\LBC\"/>
    </mc:Choice>
  </mc:AlternateContent>
  <xr:revisionPtr revIDLastSave="0" documentId="13_ncr:1_{A1237D0A-CD3C-4CD8-9B60-B87E97B9F80C}" xr6:coauthVersionLast="47" xr6:coauthVersionMax="47" xr10:uidLastSave="{00000000-0000-0000-0000-000000000000}"/>
  <bookViews>
    <workbookView xWindow="-30828" yWindow="-12" windowWidth="30936" windowHeight="1689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1" l="1"/>
  <c r="B44" i="1"/>
  <c r="B43" i="1"/>
  <c r="B42" i="1"/>
  <c r="B41" i="1"/>
  <c r="B40" i="1"/>
  <c r="B39" i="1"/>
  <c r="B38" i="1"/>
  <c r="B37" i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A18" i="2"/>
  <c r="EV18" i="2"/>
  <c r="EW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FS20" i="2"/>
  <c r="EV20" i="2"/>
  <c r="EW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EW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H22" i="2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V28" i="2"/>
  <c r="FS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CM35" i="2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HI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G43" i="2"/>
  <c r="EA43" i="2"/>
  <c r="HI43" i="2"/>
  <c r="EX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EB57" i="2" s="1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FS57" i="2"/>
  <c r="EV57" i="2"/>
  <c r="HG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HI70" i="2"/>
  <c r="EB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R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W85" i="2" l="1"/>
  <c r="HH85" i="2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EX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FS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B108" i="2"/>
  <c r="EW108" i="2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FS113" i="2"/>
  <c r="EX113" i="2"/>
  <c r="HG113" i="2"/>
  <c r="EB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H114" i="2"/>
  <c r="HG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EX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FS124" i="2"/>
  <c r="EW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FS130" i="2"/>
  <c r="HI130" i="2"/>
  <c r="EW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G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FR144" i="2" s="1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H144" i="2" l="1"/>
  <c r="EA144" i="2"/>
  <c r="EB144" i="2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FR146" i="2"/>
  <c r="HG146" i="2"/>
  <c r="HH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I150" i="2" l="1"/>
  <c r="HG150" i="2"/>
  <c r="EV150" i="2"/>
  <c r="HH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A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I156" i="2" l="1"/>
  <c r="EX156" i="2"/>
  <c r="FS156" i="2"/>
  <c r="A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EW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DG160" i="2"/>
  <c r="HH160" i="2"/>
  <c r="EY159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HG162" i="2"/>
  <c r="EB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H163" i="2" l="1"/>
  <c r="HG163" i="2"/>
  <c r="EB163" i="2"/>
  <c r="EA163" i="2"/>
  <c r="EV163" i="2"/>
  <c r="EY163" i="2" s="1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X164" i="2" l="1"/>
  <c r="DH164" i="2"/>
  <c r="FS164" i="2"/>
  <c r="EV164" i="2"/>
  <c r="DI163" i="2"/>
  <c r="EA164" i="2"/>
  <c r="HH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X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J166" i="2" s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EC167" i="2"/>
  <c r="FR167" i="2"/>
  <c r="DG167" i="2"/>
  <c r="EA167" i="2"/>
  <c r="HH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EV168" i="2"/>
  <c r="EB168" i="2"/>
  <c r="DI167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B169" i="2"/>
  <c r="HH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G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HJ172" i="2"/>
  <c r="EB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HI175" i="2" l="1"/>
  <c r="EA175" i="2"/>
  <c r="AA175" i="2"/>
  <c r="EW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FQ177" i="2"/>
  <c r="HH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FQ178" i="2"/>
  <c r="HH178" i="2"/>
  <c r="FS178" i="2"/>
  <c r="HG178" i="2"/>
  <c r="EA178" i="2"/>
  <c r="ED178" i="2" s="1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HH179" i="2"/>
  <c r="HI179" i="2"/>
  <c r="DF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EC182" i="2"/>
  <c r="EA182" i="2"/>
  <c r="ED182" i="2" s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G185" i="2" l="1"/>
  <c r="EA185" i="2"/>
  <c r="EV185" i="2"/>
  <c r="EB185" i="2"/>
  <c r="HH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HH186" i="2"/>
  <c r="FR186" i="2"/>
  <c r="HG186" i="2"/>
  <c r="EA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I188" i="2"/>
  <c r="HH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HH189" i="2" l="1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B192" i="2"/>
  <c r="EW192" i="2"/>
  <c r="HG192" i="2"/>
  <c r="EA192" i="2"/>
  <c r="EV192" i="2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Q193" i="2" l="1"/>
  <c r="EA193" i="2"/>
  <c r="ED193" i="2" s="1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D194" i="2" s="1"/>
  <c r="HI194" i="2"/>
  <c r="FQ194" i="2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EX195" i="2"/>
  <c r="HI195" i="2"/>
  <c r="AA195" i="2"/>
  <c r="E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H197" i="2" l="1"/>
  <c r="EC197" i="2"/>
  <c r="HG197" i="2"/>
  <c r="AA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A199" i="2"/>
  <c r="HH199" i="2"/>
  <c r="EV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FS201" i="2" l="1"/>
  <c r="EB201" i="2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EW202" i="2"/>
  <c r="FR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69" i="2" a="1"/>
  <c r="FY69" i="2" s="1"/>
  <c r="FY186" i="2" a="1"/>
  <c r="FY186" i="2" s="1"/>
  <c r="FY78" i="2" a="1"/>
  <c r="FY78" i="2" s="1"/>
  <c r="FY104" i="2" a="1"/>
  <c r="FY104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06" i="2" a="1"/>
  <c r="EI106" i="2" s="1"/>
  <c r="EI29" i="2" a="1"/>
  <c r="EI29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41" i="2" a="1"/>
  <c r="DN41" i="2" s="1"/>
  <c r="DN29" i="2" a="1"/>
  <c r="DN29" i="2" s="1"/>
  <c r="DN152" i="2" a="1"/>
  <c r="DN152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14" i="2" a="1"/>
  <c r="DN114" i="2" s="1"/>
  <c r="CS77" i="2" a="1"/>
  <c r="CS77" i="2" s="1"/>
  <c r="AH90" i="2" a="1"/>
  <c r="AH90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182" i="2" a="1"/>
  <c r="FY182" i="2" s="1"/>
  <c r="FY121" i="2" a="1"/>
  <c r="FY121" i="2" s="1"/>
  <c r="FD43" i="2" a="1"/>
  <c r="FD43" i="2" s="1"/>
  <c r="FD194" i="2" a="1"/>
  <c r="FD194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71" i="2" a="1"/>
  <c r="EI71" i="2" s="1"/>
  <c r="EI165" i="2" a="1"/>
  <c r="EI165" i="2" s="1"/>
  <c r="EI67" i="2" a="1"/>
  <c r="EI67" i="2" s="1"/>
  <c r="EI139" i="2" a="1"/>
  <c r="EI139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EI57" i="2" l="1" a="1"/>
  <c r="EI57" i="2" s="1"/>
  <c r="EI153" i="2" a="1"/>
  <c r="EI153" i="2" s="1"/>
  <c r="EI16" i="2" a="1"/>
  <c r="EI16" i="2" s="1"/>
  <c r="EI36" i="2" a="1"/>
  <c r="EI36" i="2" s="1"/>
  <c r="DN43" i="2" a="1"/>
  <c r="DN43" i="2" s="1"/>
  <c r="EI142" i="2" a="1"/>
  <c r="EI142" i="2" s="1"/>
  <c r="EI166" i="2" a="1"/>
  <c r="EI166" i="2" s="1"/>
  <c r="FR203" i="2"/>
  <c r="EI113" i="2" a="1"/>
  <c r="EI113" i="2" s="1"/>
  <c r="EI87" i="2" a="1"/>
  <c r="EI87" i="2" s="1"/>
  <c r="DN103" i="2" a="1"/>
  <c r="DN103" i="2" s="1"/>
  <c r="DN66" i="2" a="1"/>
  <c r="DN66" i="2" s="1"/>
  <c r="DN50" i="2" a="1"/>
  <c r="DN50" i="2" s="1"/>
  <c r="DN186" i="2" a="1"/>
  <c r="DN186" i="2" s="1"/>
  <c r="EI178" i="2" a="1"/>
  <c r="EI178" i="2" s="1"/>
  <c r="EI198" i="2" a="1"/>
  <c r="EI198" i="2" s="1"/>
  <c r="FY190" i="2" a="1"/>
  <c r="FY190" i="2" s="1"/>
  <c r="EI170" i="2" a="1"/>
  <c r="EI170" i="2" s="1"/>
  <c r="EI128" i="2" a="1"/>
  <c r="EI128" i="2" s="1"/>
  <c r="EI109" i="2" a="1"/>
  <c r="EI109" i="2" s="1"/>
  <c r="DN188" i="2" a="1"/>
  <c r="DN188" i="2" s="1"/>
  <c r="DN113" i="2" a="1"/>
  <c r="DN113" i="2" s="1"/>
  <c r="DN137" i="2" a="1"/>
  <c r="DN137" i="2" s="1"/>
  <c r="EI145" i="2" a="1"/>
  <c r="EI145" i="2" s="1"/>
  <c r="AH92" i="2" a="1"/>
  <c r="AH92" i="2" s="1"/>
  <c r="EI37" i="2" a="1"/>
  <c r="EI37" i="2" s="1"/>
  <c r="EI20" i="2" a="1"/>
  <c r="EI20" i="2" s="1"/>
  <c r="EI38" i="2" a="1"/>
  <c r="EI38" i="2" s="1"/>
  <c r="DN63" i="2" a="1"/>
  <c r="DN63" i="2" s="1"/>
  <c r="DN86" i="2" a="1"/>
  <c r="DN86" i="2" s="1"/>
  <c r="DN25" i="2" a="1"/>
  <c r="DN25" i="2" s="1"/>
  <c r="EI162" i="2" a="1"/>
  <c r="EI162" i="2" s="1"/>
  <c r="HH203" i="2"/>
  <c r="EI35" i="2" a="1"/>
  <c r="EI35" i="2" s="1"/>
  <c r="EI34" i="2" a="1"/>
  <c r="EI34" i="2" s="1"/>
  <c r="DN184" i="2" a="1"/>
  <c r="DN184" i="2" s="1"/>
  <c r="EI150" i="2" a="1"/>
  <c r="EI150" i="2" s="1"/>
  <c r="FD19" i="2" a="1"/>
  <c r="FD19" i="2" s="1"/>
  <c r="FD64" i="2" a="1"/>
  <c r="FD64" i="2" s="1"/>
  <c r="FY167" i="2" a="1"/>
  <c r="FY167" i="2" s="1"/>
  <c r="FY115" i="2" a="1"/>
  <c r="FY115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D160" i="2" a="1"/>
  <c r="FD160" i="2" s="1"/>
  <c r="FD189" i="2" a="1"/>
  <c r="FD189" i="2" s="1"/>
  <c r="FY142" i="2" a="1"/>
  <c r="FY142" i="2" s="1"/>
  <c r="FY86" i="2" a="1"/>
  <c r="FY86" i="2" s="1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37" i="2" a="1"/>
  <c r="FD137" i="2" s="1"/>
  <c r="FD14" i="2" a="1"/>
  <c r="FD14" i="2" s="1"/>
  <c r="FY80" i="2" a="1"/>
  <c r="FY80" i="2" s="1"/>
  <c r="FY58" i="2" a="1"/>
  <c r="FY5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59" i="2" a="1"/>
  <c r="FD159" i="2" s="1"/>
  <c r="FD48" i="2" a="1"/>
  <c r="FD48" i="2" s="1"/>
  <c r="FY30" i="2" a="1"/>
  <c r="FY30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D107" i="2" a="1"/>
  <c r="FD107" i="2" s="1"/>
  <c r="FD44" i="2" a="1"/>
  <c r="FD44" i="2" s="1"/>
  <c r="FY42" i="2" a="1"/>
  <c r="FY4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D167" i="2" a="1"/>
  <c r="FD167" i="2" s="1"/>
  <c r="FD188" i="2" a="1"/>
  <c r="FD188" i="2" s="1"/>
  <c r="FY196" i="2" a="1"/>
  <c r="FY196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87" i="2" a="1"/>
  <c r="FD187" i="2" s="1"/>
  <c r="FD131" i="2" a="1"/>
  <c r="FD131" i="2" s="1"/>
  <c r="FD60" i="2" a="1"/>
  <c r="FD60" i="2" s="1"/>
  <c r="FY82" i="2" a="1"/>
  <c r="FY82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C82" i="2" a="1"/>
  <c r="BC82" i="2" s="1"/>
  <c r="BC18" i="2" a="1"/>
  <c r="BC18" i="2" s="1"/>
  <c r="BC84" i="2" a="1"/>
  <c r="BC84" i="2" s="1"/>
  <c r="BC38" i="2" a="1"/>
  <c r="BC38" i="2" s="1"/>
  <c r="BC68" i="2" a="1"/>
  <c r="BC68" i="2" s="1"/>
  <c r="BC117" i="2" a="1"/>
  <c r="BC117" i="2" s="1"/>
  <c r="BC55" i="2" a="1"/>
  <c r="BC55" i="2" s="1"/>
  <c r="BC181" i="2" a="1"/>
  <c r="BC181" i="2" s="1"/>
  <c r="BC34" i="2" a="1"/>
  <c r="BC34" i="2" s="1"/>
  <c r="BC32" i="2" a="1"/>
  <c r="BC32" i="2" s="1"/>
  <c r="BC164" i="2" a="1"/>
  <c r="BC164" i="2" s="1"/>
  <c r="BC192" i="2" a="1"/>
  <c r="BC192" i="2" s="1"/>
  <c r="BC185" i="2" a="1"/>
  <c r="BC185" i="2" s="1"/>
  <c r="BC130" i="2" a="1"/>
  <c r="BC130" i="2" s="1"/>
  <c r="BC65" i="2" a="1"/>
  <c r="BC65" i="2" s="1"/>
  <c r="BC47" i="2" a="1"/>
  <c r="BC47" i="2" s="1"/>
  <c r="BC58" i="2" a="1"/>
  <c r="BC58" i="2" s="1"/>
  <c r="BC143" i="2" a="1"/>
  <c r="BC143" i="2" s="1"/>
  <c r="BC114" i="2" a="1"/>
  <c r="BC114" i="2" s="1"/>
  <c r="BC83" i="2" a="1"/>
  <c r="BC83" i="2" s="1"/>
  <c r="BC151" i="2" a="1"/>
  <c r="BC151" i="2" s="1"/>
  <c r="BC7" i="2" a="1"/>
  <c r="BC7" i="2" s="1"/>
  <c r="BC31" i="2" a="1"/>
  <c r="BC31" i="2" s="1"/>
  <c r="BC126" i="2" a="1"/>
  <c r="BC126" i="2" s="1"/>
  <c r="AH199" i="2" a="1"/>
  <c r="AH199" i="2" s="1"/>
  <c r="AH166" i="2" a="1"/>
  <c r="AH166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0" i="2" l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<sst xmlns="http://schemas.openxmlformats.org/spreadsheetml/2006/main" count="1170" uniqueCount="324">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</sst>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4.5341228827139961</c:v>
                </c:pt>
                <c:pt idx="2">
                  <c:v>8.9098176612830589</c:v>
                </c:pt>
                <c:pt idx="3">
                  <c:v>17.531905187706172</c:v>
                </c:pt>
                <c:pt idx="4">
                  <c:v>34.542455997738053</c:v>
                </c:pt>
                <c:pt idx="5">
                  <c:v>68.14272452108996</c:v>
                </c:pt>
                <c:pt idx="6">
                  <c:v>72.556731149509957</c:v>
                </c:pt>
                <c:pt idx="7">
                  <c:v>92.938513726792451</c:v>
                </c:pt>
                <c:pt idx="8">
                  <c:v>113.20809736584094</c:v>
                </c:pt>
                <c:pt idx="9">
                  <c:v>133.38850565546625</c:v>
                </c:pt>
                <c:pt idx="10">
                  <c:v>153.49516770691642</c:v>
                </c:pt>
                <c:pt idx="11">
                  <c:v>102.8869413436707</c:v>
                </c:pt>
                <c:pt idx="12">
                  <c:v>125.48414136980803</c:v>
                </c:pt>
                <c:pt idx="13">
                  <c:v>147.98234286853781</c:v>
                </c:pt>
                <c:pt idx="14">
                  <c:v>170.39875516780384</c:v>
                </c:pt>
                <c:pt idx="15">
                  <c:v>192.74566644892991</c:v>
                </c:pt>
                <c:pt idx="16">
                  <c:v>156.64322631135607</c:v>
                </c:pt>
                <c:pt idx="17">
                  <c:v>177.46269723406544</c:v>
                </c:pt>
                <c:pt idx="18">
                  <c:v>198.2248532935146</c:v>
                </c:pt>
                <c:pt idx="19">
                  <c:v>218.93654452800624</c:v>
                </c:pt>
                <c:pt idx="20">
                  <c:v>239.60321698163875</c:v>
                </c:pt>
                <c:pt idx="21">
                  <c:v>213.07952740360665</c:v>
                </c:pt>
                <c:pt idx="22">
                  <c:v>231.41961792415614</c:v>
                </c:pt>
                <c:pt idx="23">
                  <c:v>249.7265012785368</c:v>
                </c:pt>
                <c:pt idx="24">
                  <c:v>268.00295415192409</c:v>
                </c:pt>
                <c:pt idx="25">
                  <c:v>286.25134343805456</c:v>
                </c:pt>
                <c:pt idx="26">
                  <c:v>266.44863484368722</c:v>
                </c:pt>
                <c:pt idx="27">
                  <c:v>281.59473028214853</c:v>
                </c:pt>
                <c:pt idx="28">
                  <c:v>296.72257258084227</c:v>
                </c:pt>
                <c:pt idx="29">
                  <c:v>311.83322340404652</c:v>
                </c:pt>
                <c:pt idx="30">
                  <c:v>326.92763310831202</c:v>
                </c:pt>
                <c:pt idx="31">
                  <c:v>312.220458589982</c:v>
                </c:pt>
                <c:pt idx="32">
                  <c:v>324.60643807826517</c:v>
                </c:pt>
                <c:pt idx="33">
                  <c:v>336.98197598742092</c:v>
                </c:pt>
                <c:pt idx="34">
                  <c:v>349.34750990473918</c:v>
                </c:pt>
                <c:pt idx="35">
                  <c:v>361.70344390352301</c:v>
                </c:pt>
                <c:pt idx="36">
                  <c:v>351.66496710247742</c:v>
                </c:pt>
                <c:pt idx="37">
                  <c:v>362.86133414806568</c:v>
                </c:pt>
                <c:pt idx="38">
                  <c:v>374.05015219136271</c:v>
                </c:pt>
                <c:pt idx="39">
                  <c:v>385.23167893646342</c:v>
                </c:pt>
                <c:pt idx="40">
                  <c:v>396.40615590256067</c:v>
                </c:pt>
                <c:pt idx="41">
                  <c:v>389.85644218478751</c:v>
                </c:pt>
                <c:pt idx="42">
                  <c:v>400.64295393582466</c:v>
                </c:pt>
                <c:pt idx="43">
                  <c:v>411.42318205612042</c:v>
                </c:pt>
                <c:pt idx="44">
                  <c:v>422.19731444089251</c:v>
                </c:pt>
                <c:pt idx="45">
                  <c:v>432.96552861089248</c:v>
                </c:pt>
                <c:pt idx="46">
                  <c:v>3.4911917965477528E-12</c:v>
                </c:pt>
                <c:pt idx="47">
                  <c:v>3.4911917965477528E-12</c:v>
                </c:pt>
                <c:pt idx="48">
                  <c:v>3.4911917965477528E-12</c:v>
                </c:pt>
                <c:pt idx="49">
                  <c:v>3.4911917965477528E-12</c:v>
                </c:pt>
                <c:pt idx="50">
                  <c:v>3.4911917965477528E-12</c:v>
                </c:pt>
                <c:pt idx="51">
                  <c:v>3.4911917965477528E-12</c:v>
                </c:pt>
                <c:pt idx="52">
                  <c:v>3.4911917965477528E-12</c:v>
                </c:pt>
                <c:pt idx="53">
                  <c:v>3.4911917965477528E-12</c:v>
                </c:pt>
                <c:pt idx="54">
                  <c:v>3.4911917965477528E-12</c:v>
                </c:pt>
                <c:pt idx="55">
                  <c:v>3.4911917965477528E-12</c:v>
                </c:pt>
                <c:pt idx="56">
                  <c:v>3.4911917965477528E-12</c:v>
                </c:pt>
                <c:pt idx="57">
                  <c:v>3.4911917965477528E-12</c:v>
                </c:pt>
                <c:pt idx="58">
                  <c:v>3.4911917965477528E-12</c:v>
                </c:pt>
                <c:pt idx="59">
                  <c:v>3.4911917965477528E-12</c:v>
                </c:pt>
                <c:pt idx="60">
                  <c:v>3.4911917965477528E-12</c:v>
                </c:pt>
                <c:pt idx="61">
                  <c:v>3.4911917965477528E-12</c:v>
                </c:pt>
                <c:pt idx="62">
                  <c:v>3.4911917965477528E-12</c:v>
                </c:pt>
                <c:pt idx="63">
                  <c:v>3.4911917965477528E-12</c:v>
                </c:pt>
                <c:pt idx="64">
                  <c:v>3.4911917965477528E-12</c:v>
                </c:pt>
                <c:pt idx="65">
                  <c:v>3.4911917965477528E-12</c:v>
                </c:pt>
                <c:pt idx="66">
                  <c:v>3.4911917965477528E-12</c:v>
                </c:pt>
                <c:pt idx="67">
                  <c:v>3.4911917965477528E-12</c:v>
                </c:pt>
                <c:pt idx="68">
                  <c:v>3.4911917965477528E-12</c:v>
                </c:pt>
                <c:pt idx="69">
                  <c:v>3.4911917965477528E-12</c:v>
                </c:pt>
                <c:pt idx="70">
                  <c:v>3.4911917965477528E-12</c:v>
                </c:pt>
                <c:pt idx="71">
                  <c:v>3.4911917965477528E-12</c:v>
                </c:pt>
                <c:pt idx="72">
                  <c:v>3.4911917965477528E-12</c:v>
                </c:pt>
                <c:pt idx="73">
                  <c:v>3.4911917965477528E-12</c:v>
                </c:pt>
                <c:pt idx="74">
                  <c:v>3.4911917965477528E-12</c:v>
                </c:pt>
                <c:pt idx="75">
                  <c:v>3.4911917965477528E-12</c:v>
                </c:pt>
                <c:pt idx="76">
                  <c:v>3.4911917965477528E-12</c:v>
                </c:pt>
                <c:pt idx="77">
                  <c:v>3.4911917965477528E-12</c:v>
                </c:pt>
                <c:pt idx="78">
                  <c:v>3.4911917965477528E-12</c:v>
                </c:pt>
                <c:pt idx="79">
                  <c:v>3.4911917965477528E-12</c:v>
                </c:pt>
                <c:pt idx="80">
                  <c:v>3.4911917965477528E-12</c:v>
                </c:pt>
                <c:pt idx="81">
                  <c:v>3.4911917965477528E-12</c:v>
                </c:pt>
                <c:pt idx="82">
                  <c:v>3.4911917965477528E-12</c:v>
                </c:pt>
                <c:pt idx="83">
                  <c:v>3.4911917965477528E-12</c:v>
                </c:pt>
                <c:pt idx="84">
                  <c:v>3.4911917965477528E-12</c:v>
                </c:pt>
                <c:pt idx="85">
                  <c:v>3.4911917965477528E-12</c:v>
                </c:pt>
                <c:pt idx="86">
                  <c:v>3.4911917965477528E-12</c:v>
                </c:pt>
                <c:pt idx="87">
                  <c:v>3.4911917965477528E-12</c:v>
                </c:pt>
                <c:pt idx="88">
                  <c:v>3.4911917965477528E-12</c:v>
                </c:pt>
                <c:pt idx="89">
                  <c:v>3.4911917965477528E-12</c:v>
                </c:pt>
                <c:pt idx="90">
                  <c:v>3.4911917965477528E-12</c:v>
                </c:pt>
                <c:pt idx="91">
                  <c:v>3.4911917965477528E-12</c:v>
                </c:pt>
                <c:pt idx="92">
                  <c:v>3.4911917965477528E-12</c:v>
                </c:pt>
                <c:pt idx="93">
                  <c:v>3.4911917965477528E-12</c:v>
                </c:pt>
                <c:pt idx="94">
                  <c:v>3.4911917965477528E-12</c:v>
                </c:pt>
                <c:pt idx="95">
                  <c:v>3.4911917965477528E-12</c:v>
                </c:pt>
                <c:pt idx="96">
                  <c:v>3.4911917965477528E-12</c:v>
                </c:pt>
                <c:pt idx="97">
                  <c:v>3.4911917965477528E-12</c:v>
                </c:pt>
                <c:pt idx="98">
                  <c:v>3.4911917965477528E-12</c:v>
                </c:pt>
                <c:pt idx="99">
                  <c:v>3.4911917965477528E-12</c:v>
                </c:pt>
                <c:pt idx="100">
                  <c:v>3.4911917965477528E-12</c:v>
                </c:pt>
                <c:pt idx="101">
                  <c:v>3.4911917965477528E-12</c:v>
                </c:pt>
                <c:pt idx="102">
                  <c:v>3.4911917965477528E-12</c:v>
                </c:pt>
                <c:pt idx="103">
                  <c:v>3.4911917965477528E-12</c:v>
                </c:pt>
                <c:pt idx="104">
                  <c:v>3.4911917965477528E-12</c:v>
                </c:pt>
                <c:pt idx="105">
                  <c:v>3.4911917965477528E-12</c:v>
                </c:pt>
                <c:pt idx="106">
                  <c:v>3.4911917965477528E-12</c:v>
                </c:pt>
                <c:pt idx="107">
                  <c:v>3.4911917965477528E-12</c:v>
                </c:pt>
                <c:pt idx="108">
                  <c:v>3.4911917965477528E-12</c:v>
                </c:pt>
                <c:pt idx="109">
                  <c:v>3.4911917965477528E-12</c:v>
                </c:pt>
                <c:pt idx="110">
                  <c:v>3.4911917965477528E-12</c:v>
                </c:pt>
                <c:pt idx="111">
                  <c:v>3.4911917965477528E-12</c:v>
                </c:pt>
                <c:pt idx="112">
                  <c:v>3.4911917965477528E-12</c:v>
                </c:pt>
                <c:pt idx="113">
                  <c:v>3.4911917965477528E-12</c:v>
                </c:pt>
                <c:pt idx="114">
                  <c:v>3.4911917965477528E-12</c:v>
                </c:pt>
                <c:pt idx="115">
                  <c:v>3.4911917965477528E-12</c:v>
                </c:pt>
                <c:pt idx="116">
                  <c:v>3.4911917965477528E-12</c:v>
                </c:pt>
                <c:pt idx="117">
                  <c:v>3.4911917965477528E-12</c:v>
                </c:pt>
                <c:pt idx="118">
                  <c:v>3.4911917965477528E-12</c:v>
                </c:pt>
                <c:pt idx="119">
                  <c:v>3.4911917965477528E-12</c:v>
                </c:pt>
                <c:pt idx="120">
                  <c:v>3.4911917965477528E-12</c:v>
                </c:pt>
                <c:pt idx="121">
                  <c:v>3.4911917965477528E-12</c:v>
                </c:pt>
                <c:pt idx="122">
                  <c:v>3.4911917965477528E-12</c:v>
                </c:pt>
                <c:pt idx="123">
                  <c:v>3.4911917965477528E-12</c:v>
                </c:pt>
                <c:pt idx="124">
                  <c:v>3.4911917965477528E-12</c:v>
                </c:pt>
                <c:pt idx="125">
                  <c:v>3.4911917965477528E-12</c:v>
                </c:pt>
                <c:pt idx="126">
                  <c:v>3.4911917965477528E-12</c:v>
                </c:pt>
                <c:pt idx="127">
                  <c:v>3.4911917965477528E-12</c:v>
                </c:pt>
                <c:pt idx="128">
                  <c:v>3.4911917965477528E-12</c:v>
                </c:pt>
                <c:pt idx="129">
                  <c:v>3.4911917965477528E-12</c:v>
                </c:pt>
                <c:pt idx="130">
                  <c:v>3.4911917965477528E-12</c:v>
                </c:pt>
                <c:pt idx="131">
                  <c:v>3.4911917965477528E-12</c:v>
                </c:pt>
                <c:pt idx="132">
                  <c:v>3.4911917965477528E-12</c:v>
                </c:pt>
                <c:pt idx="133">
                  <c:v>3.4911917965477528E-12</c:v>
                </c:pt>
                <c:pt idx="134">
                  <c:v>3.4911917965477528E-12</c:v>
                </c:pt>
                <c:pt idx="135">
                  <c:v>3.4911917965477528E-12</c:v>
                </c:pt>
                <c:pt idx="136">
                  <c:v>3.4911917965477528E-12</c:v>
                </c:pt>
                <c:pt idx="137">
                  <c:v>3.4911917965477528E-12</c:v>
                </c:pt>
                <c:pt idx="138">
                  <c:v>3.4911917965477528E-12</c:v>
                </c:pt>
                <c:pt idx="139">
                  <c:v>3.4911917965477528E-12</c:v>
                </c:pt>
                <c:pt idx="140">
                  <c:v>3.4911917965477528E-12</c:v>
                </c:pt>
                <c:pt idx="141">
                  <c:v>3.4911917965477528E-12</c:v>
                </c:pt>
                <c:pt idx="142">
                  <c:v>3.4911917965477528E-12</c:v>
                </c:pt>
                <c:pt idx="143">
                  <c:v>3.4911917965477528E-12</c:v>
                </c:pt>
                <c:pt idx="144">
                  <c:v>3.4911917965477528E-12</c:v>
                </c:pt>
                <c:pt idx="145">
                  <c:v>3.4911917965477528E-12</c:v>
                </c:pt>
                <c:pt idx="146">
                  <c:v>3.4911917965477528E-12</c:v>
                </c:pt>
                <c:pt idx="147">
                  <c:v>3.4911917965477528E-12</c:v>
                </c:pt>
                <c:pt idx="148">
                  <c:v>3.4911917965477528E-12</c:v>
                </c:pt>
                <c:pt idx="149">
                  <c:v>3.4911917965477528E-12</c:v>
                </c:pt>
                <c:pt idx="150">
                  <c:v>3.4911917965477528E-12</c:v>
                </c:pt>
                <c:pt idx="151">
                  <c:v>3.4911917965477528E-12</c:v>
                </c:pt>
                <c:pt idx="152">
                  <c:v>3.4911917965477528E-12</c:v>
                </c:pt>
                <c:pt idx="153">
                  <c:v>3.4911917965477528E-12</c:v>
                </c:pt>
                <c:pt idx="154">
                  <c:v>3.4911917965477528E-12</c:v>
                </c:pt>
                <c:pt idx="155">
                  <c:v>3.4911917965477528E-12</c:v>
                </c:pt>
                <c:pt idx="156">
                  <c:v>3.4911917965477528E-12</c:v>
                </c:pt>
                <c:pt idx="157">
                  <c:v>3.4911917965477528E-12</c:v>
                </c:pt>
                <c:pt idx="158">
                  <c:v>3.4911917965477528E-12</c:v>
                </c:pt>
                <c:pt idx="159">
                  <c:v>3.4911917965477528E-12</c:v>
                </c:pt>
                <c:pt idx="160">
                  <c:v>3.4911917965477528E-12</c:v>
                </c:pt>
                <c:pt idx="161">
                  <c:v>3.4911917965477528E-12</c:v>
                </c:pt>
                <c:pt idx="162">
                  <c:v>3.4911917965477528E-12</c:v>
                </c:pt>
                <c:pt idx="163">
                  <c:v>3.4911917965477528E-12</c:v>
                </c:pt>
                <c:pt idx="164">
                  <c:v>3.4911917965477528E-12</c:v>
                </c:pt>
                <c:pt idx="165">
                  <c:v>3.4911917965477528E-12</c:v>
                </c:pt>
                <c:pt idx="166">
                  <c:v>3.4911917965477528E-12</c:v>
                </c:pt>
                <c:pt idx="167">
                  <c:v>3.4911917965477528E-12</c:v>
                </c:pt>
                <c:pt idx="168">
                  <c:v>3.4911917965477528E-12</c:v>
                </c:pt>
                <c:pt idx="169">
                  <c:v>3.4911917965477528E-12</c:v>
                </c:pt>
                <c:pt idx="170">
                  <c:v>3.4911917965477528E-12</c:v>
                </c:pt>
                <c:pt idx="171">
                  <c:v>3.4911917965477528E-12</c:v>
                </c:pt>
                <c:pt idx="172">
                  <c:v>3.4911917965477528E-12</c:v>
                </c:pt>
                <c:pt idx="173">
                  <c:v>3.4911917965477528E-12</c:v>
                </c:pt>
                <c:pt idx="174">
                  <c:v>3.4911917965477528E-12</c:v>
                </c:pt>
                <c:pt idx="175">
                  <c:v>3.4911917965477528E-12</c:v>
                </c:pt>
                <c:pt idx="176">
                  <c:v>3.4911917965477528E-12</c:v>
                </c:pt>
                <c:pt idx="177">
                  <c:v>3.4911917965477528E-12</c:v>
                </c:pt>
                <c:pt idx="178">
                  <c:v>3.4911917965477528E-12</c:v>
                </c:pt>
                <c:pt idx="179">
                  <c:v>3.4911917965477528E-12</c:v>
                </c:pt>
                <c:pt idx="180">
                  <c:v>3.4911917965477528E-12</c:v>
                </c:pt>
                <c:pt idx="181">
                  <c:v>3.4911917965477528E-12</c:v>
                </c:pt>
                <c:pt idx="182">
                  <c:v>3.4911917965477528E-12</c:v>
                </c:pt>
                <c:pt idx="183">
                  <c:v>3.4911917965477528E-12</c:v>
                </c:pt>
                <c:pt idx="184">
                  <c:v>3.4911917965477528E-12</c:v>
                </c:pt>
                <c:pt idx="185">
                  <c:v>3.4911917965477528E-12</c:v>
                </c:pt>
                <c:pt idx="186">
                  <c:v>3.4911917965477528E-12</c:v>
                </c:pt>
                <c:pt idx="187">
                  <c:v>3.4911917965477528E-12</c:v>
                </c:pt>
                <c:pt idx="188">
                  <c:v>3.4911917965477528E-12</c:v>
                </c:pt>
                <c:pt idx="189">
                  <c:v>3.4911917965477528E-12</c:v>
                </c:pt>
                <c:pt idx="190">
                  <c:v>3.4911917965477528E-12</c:v>
                </c:pt>
                <c:pt idx="191">
                  <c:v>3.4911917965477528E-12</c:v>
                </c:pt>
                <c:pt idx="192">
                  <c:v>3.4911917965477528E-12</c:v>
                </c:pt>
                <c:pt idx="193">
                  <c:v>3.4911917965477528E-12</c:v>
                </c:pt>
                <c:pt idx="194">
                  <c:v>3.4911917965477528E-12</c:v>
                </c:pt>
                <c:pt idx="195">
                  <c:v>3.4911917965477528E-12</c:v>
                </c:pt>
                <c:pt idx="196">
                  <c:v>3.4911917965477528E-12</c:v>
                </c:pt>
                <c:pt idx="197">
                  <c:v>3.4911917965477528E-12</c:v>
                </c:pt>
                <c:pt idx="198">
                  <c:v>3.4911917965477528E-12</c:v>
                </c:pt>
                <c:pt idx="199">
                  <c:v>3.4911917965477528E-12</c:v>
                </c:pt>
                <c:pt idx="200">
                  <c:v>3.4911917965477528E-12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S427"/>
  <sheetViews>
    <sheetView tabSelected="1" topLeftCell="A31" zoomScale="80" zoomScaleNormal="80" workbookViewId="0">
      <selection activeCell="R67" sqref="R67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3.4708999999999999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44</v>
      </c>
      <c r="C9" s="32">
        <v>1</v>
      </c>
      <c r="D9" s="33">
        <f t="shared" ref="D9:D18" si="0">C9*$C$5</f>
        <v>3.4708999999999999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3.4708999999999999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0.05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Robinier faux-acacia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5</v>
      </c>
      <c r="B36" s="60">
        <v>33</v>
      </c>
      <c r="C36" s="60">
        <v>1</v>
      </c>
      <c r="D36" s="60">
        <v>8</v>
      </c>
      <c r="E36" s="51"/>
      <c r="F36" s="51"/>
      <c r="G36" s="51"/>
      <c r="H36" s="51"/>
      <c r="I36" s="49">
        <f>IFERROR(B36/A36,"")</f>
        <v>6.6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10</v>
      </c>
      <c r="B37" s="60">
        <f>84-SUM(D36)</f>
        <v>76</v>
      </c>
      <c r="C37" s="60">
        <v>2</v>
      </c>
      <c r="D37" s="60">
        <v>37</v>
      </c>
      <c r="E37" s="51"/>
      <c r="F37" s="51"/>
      <c r="G37" s="51"/>
      <c r="H37" s="51"/>
      <c r="I37" s="53">
        <f t="shared" ref="I37:I55" si="1">IF(A37&lt;&gt;0,(B37-(B36-D36))/(A37-A36),"")</f>
        <v>10.199999999999999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15</v>
      </c>
      <c r="B38" s="60">
        <f>141-SUM(D36:D37)</f>
        <v>96</v>
      </c>
      <c r="C38" s="60">
        <v>3</v>
      </c>
      <c r="D38" s="60">
        <v>29</v>
      </c>
      <c r="E38" s="87">
        <v>1</v>
      </c>
      <c r="F38" s="51"/>
      <c r="G38" s="51"/>
      <c r="H38" s="51"/>
      <c r="I38" s="53">
        <f t="shared" si="1"/>
        <v>11.4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20</v>
      </c>
      <c r="B39" s="60">
        <f>194-SUM(D36:D38)</f>
        <v>120</v>
      </c>
      <c r="C39" s="60">
        <v>4</v>
      </c>
      <c r="D39" s="60">
        <v>23</v>
      </c>
      <c r="E39" s="87"/>
      <c r="F39" s="51"/>
      <c r="G39" s="51"/>
      <c r="H39" s="51"/>
      <c r="I39" s="49">
        <f t="shared" si="1"/>
        <v>10.6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25</v>
      </c>
      <c r="B40" s="60">
        <f>241-SUM(D36:D39)</f>
        <v>144</v>
      </c>
      <c r="C40" s="60">
        <v>5</v>
      </c>
      <c r="D40" s="60">
        <v>18</v>
      </c>
      <c r="E40" s="87">
        <v>1</v>
      </c>
      <c r="F40" s="51"/>
      <c r="G40" s="51"/>
      <c r="H40" s="51"/>
      <c r="I40" s="49">
        <f t="shared" si="1"/>
        <v>9.4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30</v>
      </c>
      <c r="B41" s="60">
        <f>280-SUM(D36:D40)</f>
        <v>165</v>
      </c>
      <c r="C41" s="60">
        <v>6</v>
      </c>
      <c r="D41" s="60">
        <v>14</v>
      </c>
      <c r="E41" s="87"/>
      <c r="F41" s="51"/>
      <c r="G41" s="51"/>
      <c r="H41" s="51"/>
      <c r="I41" s="53">
        <f t="shared" si="1"/>
        <v>7.8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35</v>
      </c>
      <c r="B42" s="60">
        <f>312-SUM(D36:D41)</f>
        <v>183</v>
      </c>
      <c r="C42" s="60">
        <v>7</v>
      </c>
      <c r="D42" s="60">
        <v>11</v>
      </c>
      <c r="E42" s="87">
        <v>1</v>
      </c>
      <c r="F42" s="51"/>
      <c r="G42" s="51"/>
      <c r="H42" s="51"/>
      <c r="I42" s="53">
        <f t="shared" si="1"/>
        <v>6.4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60">
        <v>40</v>
      </c>
      <c r="B43" s="60">
        <f>341-SUM(D36:D42)</f>
        <v>201</v>
      </c>
      <c r="C43" s="60">
        <v>8</v>
      </c>
      <c r="D43" s="60">
        <v>9</v>
      </c>
      <c r="E43" s="87"/>
      <c r="F43" s="51"/>
      <c r="G43" s="51"/>
      <c r="H43" s="51"/>
      <c r="I43" s="49">
        <f t="shared" si="1"/>
        <v>5.8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60">
        <v>45</v>
      </c>
      <c r="B44" s="60">
        <f>369-SUM(D36:D43)</f>
        <v>220</v>
      </c>
      <c r="C44" s="60">
        <v>9</v>
      </c>
      <c r="D44" s="60">
        <f>B44</f>
        <v>220</v>
      </c>
      <c r="E44" s="87"/>
      <c r="F44" s="51"/>
      <c r="G44" s="51"/>
      <c r="H44" s="51"/>
      <c r="I44" s="49">
        <f t="shared" si="1"/>
        <v>5.6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/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/>
      <c r="B89" s="60"/>
      <c r="C89" s="60"/>
      <c r="D89" s="60"/>
      <c r="E89" s="51"/>
      <c r="F89" s="51"/>
      <c r="G89" s="51"/>
      <c r="H89" s="87"/>
      <c r="I89" s="53" t="str">
        <f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/>
      <c r="B90" s="60"/>
      <c r="C90" s="60"/>
      <c r="D90" s="60"/>
      <c r="E90" s="87"/>
      <c r="F90" s="87"/>
      <c r="G90" s="87"/>
      <c r="H90" s="87"/>
      <c r="I90" s="53" t="str">
        <f>IF(A90&lt;&gt;0,(B90-(B89-D89))/(A90-A89),"")</f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/>
      <c r="B91" s="60"/>
      <c r="C91" s="60"/>
      <c r="D91" s="60"/>
      <c r="E91" s="87"/>
      <c r="F91" s="87"/>
      <c r="G91" s="87"/>
      <c r="H91" s="87"/>
      <c r="I91" s="53" t="str">
        <f t="shared" ref="I91:I107" si="3">IF(A91&lt;&gt;0,(B91-(B90-D90))/(A91-A90),"")</f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8" scale="16" orientation="landscape" r:id="rId1"/>
  <rowBreaks count="2" manualBreakCount="2">
    <brk id="55" max="16383" man="1"/>
    <brk id="107" max="16383" man="1"/>
  </rowBreaks>
  <colBreaks count="1" manualBreakCount="1">
    <brk id="9" max="1048575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>
    <pageSetUpPr fitToPage="1"/>
  </sheetPr>
  <dimension ref="A1:AL163"/>
  <sheetViews>
    <sheetView zoomScaleNormal="100" workbookViewId="0">
      <selection sqref="A1:G19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Robinier faux-acacia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/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268.34407723697916</v>
      </c>
      <c r="T3" s="59">
        <f>IF('Données projet'!E9&gt;30,$R$33-$H$33,LOOKUP('Données projet'!$E$9,$A$3:$A$203,R3:R203)-LOOKUP('Données projet'!$E$9,$A$3:$A$203,$H$3:$H$203))</f>
        <v>382.70172470802061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6.6</v>
      </c>
      <c r="N4" s="13">
        <f>IF('Données projet'!$A$36&gt;35,N3+M4-V3,IF(A4&lt;'Données projet'!$A$36,$K$205^A4,IF(A4='Données projet'!$A$36,'Données projet'!$B$36,N3+M4-V3)))</f>
        <v>2.0123466170855582</v>
      </c>
      <c r="O4" s="13">
        <f>N4*VLOOKUP('Données projet'!$B$9,Paramètres!$A$1:$I$89,3,0)*VLOOKUP('Données projet'!$B$9,Paramètres!$A$1:$I$89,5,0)</f>
        <v>1.8207712191390129</v>
      </c>
      <c r="P4" s="13">
        <f>EXP(-1.0587+0.8836*LN(O4)+0.284)</f>
        <v>0.78255292404605692</v>
      </c>
      <c r="Q4" s="20">
        <f t="shared" ref="Q4:Q34" si="2">(O4+P4)*0.475*44/12</f>
        <v>4.5341228827139961</v>
      </c>
      <c r="R4" s="59">
        <f t="shared" si="0"/>
        <v>172.34655683563784</v>
      </c>
      <c r="S4" s="59">
        <f ca="1">AVERAGE(OFFSET($R$3,0,0,'Données projet'!$E$9+1,1))-AVERAGE(OFFSET($H$3,0,0,'Données projet'!$E$9+1,1))</f>
        <v>268.34407723697916</v>
      </c>
      <c r="T4" s="59">
        <f>$T$3</f>
        <v>382.70172470802061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6.6</v>
      </c>
      <c r="N5" s="13">
        <f>IF('Données projet'!$A$36&gt;35,N4+M5-V4,IF(A5&lt;'Données projet'!$A$36,$K$205^A5,IF(A5='Données projet'!$A$36,'Données projet'!$B$36,N4+M5-V4)))</f>
        <v>4.0495389072956902</v>
      </c>
      <c r="O5" s="13">
        <f>N5*VLOOKUP('Données projet'!$B$9,Paramètres!$A$1:$I$89,3,0)*VLOOKUP('Données projet'!$B$9,Paramètres!$A$1:$I$89,5,0)</f>
        <v>3.6640228033211399</v>
      </c>
      <c r="P5" s="13">
        <f t="shared" ref="P5:P68" si="33">EXP(-1.0587+0.8836*LN(O5)+0.284)</f>
        <v>1.4516619782767888</v>
      </c>
      <c r="Q5" s="20">
        <f t="shared" si="2"/>
        <v>8.9098176612830589</v>
      </c>
      <c r="R5" s="59">
        <f t="shared" si="0"/>
        <v>179.50709894878389</v>
      </c>
      <c r="S5" s="59">
        <f ca="1">AVERAGE(OFFSET($R$3,0,0,'Données projet'!$E$9+1,1))-AVERAGE(OFFSET($H$3,0,0,'Données projet'!$E$9+1,1))</f>
        <v>268.34407723697916</v>
      </c>
      <c r="T5" s="59">
        <f t="shared" ref="T5:T68" si="34">$T$3</f>
        <v>382.70172470802061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6.6</v>
      </c>
      <c r="N6" s="13">
        <f>IF('Données projet'!$A$36&gt;35,N5+M6-V5,IF(A6&lt;'Données projet'!$A$36,$K$205^A6,IF(A6='Données projet'!$A$36,'Données projet'!$B$36,N5+M6-V5)))</f>
        <v>8.1490759208528303</v>
      </c>
      <c r="O6" s="13">
        <f>N6*VLOOKUP('Données projet'!$B$9,Paramètres!$A$1:$I$89,3,0)*VLOOKUP('Données projet'!$B$9,Paramètres!$A$1:$I$89,5,0)</f>
        <v>7.3732838931876401</v>
      </c>
      <c r="P6" s="13">
        <f t="shared" si="33"/>
        <v>2.6928817648254739</v>
      </c>
      <c r="Q6" s="20">
        <f t="shared" si="2"/>
        <v>17.531905187706172</v>
      </c>
      <c r="R6" s="59">
        <f t="shared" si="0"/>
        <v>190.88692575759106</v>
      </c>
      <c r="S6" s="59">
        <f ca="1">AVERAGE(OFFSET($R$3,0,0,'Données projet'!$E$9+1,1))-AVERAGE(OFFSET($H$3,0,0,'Données projet'!$E$9+1,1))</f>
        <v>268.34407723697916</v>
      </c>
      <c r="T6" s="59">
        <f t="shared" si="34"/>
        <v>382.70172470802061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6.6</v>
      </c>
      <c r="N7" s="13">
        <f>IF('Données projet'!$A$36&gt;35,N6+M7-V6,IF(A7&lt;'Données projet'!$A$36,$K$205^A7,IF(A7='Données projet'!$A$36,'Données projet'!$B$36,N6+M7-V6)))</f>
        <v>16.398765361701571</v>
      </c>
      <c r="O7" s="13">
        <f>N7*VLOOKUP('Données projet'!$B$9,Paramètres!$A$1:$I$89,3,0)*VLOOKUP('Données projet'!$B$9,Paramètres!$A$1:$I$89,5,0)</f>
        <v>14.837602899267582</v>
      </c>
      <c r="P7" s="13">
        <f t="shared" si="33"/>
        <v>4.9953861903427841</v>
      </c>
      <c r="Q7" s="20">
        <f t="shared" si="2"/>
        <v>34.542455997738053</v>
      </c>
      <c r="R7" s="59">
        <f t="shared" si="0"/>
        <v>210.62857806191499</v>
      </c>
      <c r="S7" s="59">
        <f ca="1">AVERAGE(OFFSET($R$3,0,0,'Données projet'!$E$9+1,1))-AVERAGE(OFFSET($H$3,0,0,'Données projet'!$E$9+1,1))</f>
        <v>268.34407723697916</v>
      </c>
      <c r="T7" s="59">
        <f t="shared" si="34"/>
        <v>382.70172470802061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>
        <f>VLOOKUP(A8,'Données projet'!$A$35:$I$55,2,0)</f>
        <v>33</v>
      </c>
      <c r="L8" s="12">
        <f>VLOOKUP(A8,'Données projet'!$A$35:$I$55,9,0)</f>
        <v>6.6</v>
      </c>
      <c r="M8" s="12">
        <f t="array" ref="M8">INDEX(L:L,MIN(IF(ISNUMBER(L8:L204),ROW(L8:L204),"")))</f>
        <v>6.6</v>
      </c>
      <c r="N8" s="13">
        <f>IF('Données projet'!$A$36&gt;35,N7+M8-V7,IF(A8&lt;'Données projet'!$A$36,$K$205^A8,IF(A8='Données projet'!$A$36,'Données projet'!$B$36,N7+M8-V7)))</f>
        <v>33</v>
      </c>
      <c r="O8" s="13">
        <f>N8*VLOOKUP('Données projet'!$B$9,Paramètres!$A$1:$I$89,3,0)*VLOOKUP('Données projet'!$B$9,Paramètres!$A$1:$I$89,5,0)</f>
        <v>29.858399999999996</v>
      </c>
      <c r="P8" s="13">
        <f t="shared" si="33"/>
        <v>9.2666092944057148</v>
      </c>
      <c r="Q8" s="20">
        <f t="shared" si="2"/>
        <v>68.14272452108996</v>
      </c>
      <c r="R8" s="59">
        <f t="shared" si="0"/>
        <v>246.93377239753733</v>
      </c>
      <c r="S8" s="59">
        <f ca="1">AVERAGE(OFFSET($R$3,0,0,'Données projet'!$E$9+1,1))-AVERAGE(OFFSET($H$3,0,0,'Données projet'!$E$9+1,1))</f>
        <v>268.34407723697916</v>
      </c>
      <c r="T8" s="59">
        <f t="shared" si="34"/>
        <v>382.70172470802061</v>
      </c>
      <c r="U8" s="15">
        <f>IF(ISNA(VLOOKUP(A8,'Données projet'!$A$35:$I$55,3,0)),0,VLOOKUP(A8,'Données projet'!$A$35:$I$55,3,0))</f>
        <v>1</v>
      </c>
      <c r="V8" s="15">
        <f>IF(ISNA(VLOOKUP(A8,'Données projet'!$A$35:$I$55,4,0)),0,VLOOKUP(A8,'Données projet'!$A$35:$I$55,4,0))</f>
        <v>8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10.199999999999999</v>
      </c>
      <c r="N9" s="13">
        <f>IF('Données projet'!$A$36&gt;35,N8+M9-V8,IF(A9&lt;'Données projet'!$A$36,$K$205^A9,IF(A9='Données projet'!$A$36,'Données projet'!$B$36,N8+M9-V8)))</f>
        <v>35.200000000000003</v>
      </c>
      <c r="O9" s="13">
        <f>N9*VLOOKUP('Données projet'!$B$9,Paramètres!$A$1:$I$89,3,0)*VLOOKUP('Données projet'!$B$9,Paramètres!$A$1:$I$89,5,0)</f>
        <v>31.848960000000002</v>
      </c>
      <c r="P9" s="13">
        <f t="shared" si="33"/>
        <v>9.8104071671827455</v>
      </c>
      <c r="Q9" s="20">
        <f t="shared" si="2"/>
        <v>72.556731149509957</v>
      </c>
      <c r="R9" s="59">
        <f t="shared" si="0"/>
        <v>254.02698324576892</v>
      </c>
      <c r="S9" s="59">
        <f ca="1">AVERAGE(OFFSET($R$3,0,0,'Données projet'!$E$9+1,1))-AVERAGE(OFFSET($H$3,0,0,'Données projet'!$E$9+1,1))</f>
        <v>268.34407723697916</v>
      </c>
      <c r="T9" s="59">
        <f t="shared" si="34"/>
        <v>382.70172470802061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10.199999999999999</v>
      </c>
      <c r="N10" s="13">
        <f>IF('Données projet'!$A$36&gt;35,N9+M10-V9,IF(A10&lt;'Données projet'!$A$36,$K$205^A10,IF(A10='Données projet'!$A$36,'Données projet'!$B$36,N9+M10-V9)))</f>
        <v>45.400000000000006</v>
      </c>
      <c r="O10" s="13">
        <f>N10*VLOOKUP('Données projet'!$B$9,Paramètres!$A$1:$I$89,3,0)*VLOOKUP('Données projet'!$B$9,Paramètres!$A$1:$I$89,5,0)</f>
        <v>41.077920000000006</v>
      </c>
      <c r="P10" s="13">
        <f t="shared" si="33"/>
        <v>12.283906063230113</v>
      </c>
      <c r="Q10" s="20">
        <f t="shared" si="2"/>
        <v>92.938513726792451</v>
      </c>
      <c r="R10" s="59">
        <f t="shared" si="0"/>
        <v>277.06269466252866</v>
      </c>
      <c r="S10" s="59">
        <f ca="1">AVERAGE(OFFSET($R$3,0,0,'Données projet'!$E$9+1,1))-AVERAGE(OFFSET($H$3,0,0,'Données projet'!$E$9+1,1))</f>
        <v>268.34407723697916</v>
      </c>
      <c r="T10" s="59">
        <f t="shared" si="34"/>
        <v>382.70172470802061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10.199999999999999</v>
      </c>
      <c r="N11" s="13">
        <f>IF('Données projet'!$A$36&gt;35,N10+M11-V10,IF(A11&lt;'Données projet'!$A$36,$K$205^A11,IF(A11='Données projet'!$A$36,'Données projet'!$B$36,N10+M11-V10)))</f>
        <v>55.600000000000009</v>
      </c>
      <c r="O11" s="13">
        <f>N11*VLOOKUP('Données projet'!$B$9,Paramètres!$A$1:$I$89,3,0)*VLOOKUP('Données projet'!$B$9,Paramètres!$A$1:$I$89,5,0)</f>
        <v>50.306880000000007</v>
      </c>
      <c r="P11" s="13">
        <f t="shared" si="33"/>
        <v>14.692984516272311</v>
      </c>
      <c r="Q11" s="20">
        <f t="shared" si="2"/>
        <v>113.20809736584094</v>
      </c>
      <c r="R11" s="59">
        <f t="shared" si="0"/>
        <v>299.96137023206148</v>
      </c>
      <c r="S11" s="59">
        <f ca="1">AVERAGE(OFFSET($R$3,0,0,'Données projet'!$E$9+1,1))-AVERAGE(OFFSET($H$3,0,0,'Données projet'!$E$9+1,1))</f>
        <v>268.34407723697916</v>
      </c>
      <c r="T11" s="59">
        <f t="shared" si="34"/>
        <v>382.70172470802061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10.199999999999999</v>
      </c>
      <c r="N12" s="13">
        <f>IF('Données projet'!$A$36&gt;35,N11+M12-V11,IF(A12&lt;'Données projet'!$A$36,$K$205^A12,IF(A12='Données projet'!$A$36,'Données projet'!$B$36,N11+M12-V11)))</f>
        <v>65.800000000000011</v>
      </c>
      <c r="O12" s="13">
        <f>N12*VLOOKUP('Données projet'!$B$9,Paramètres!$A$1:$I$89,3,0)*VLOOKUP('Données projet'!$B$9,Paramètres!$A$1:$I$89,5,0)</f>
        <v>59.535840000000007</v>
      </c>
      <c r="P12" s="13">
        <f t="shared" si="33"/>
        <v>17.050861811750952</v>
      </c>
      <c r="Q12" s="20">
        <f t="shared" si="2"/>
        <v>133.38850565546625</v>
      </c>
      <c r="R12" s="59">
        <f t="shared" si="0"/>
        <v>322.74646440802235</v>
      </c>
      <c r="S12" s="59">
        <f ca="1">AVERAGE(OFFSET($R$3,0,0,'Données projet'!$E$9+1,1))-AVERAGE(OFFSET($H$3,0,0,'Données projet'!$E$9+1,1))</f>
        <v>268.34407723697916</v>
      </c>
      <c r="T12" s="59">
        <f t="shared" si="34"/>
        <v>382.70172470802061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76</v>
      </c>
      <c r="L13" s="12">
        <f>VLOOKUP(A13,'Données projet'!$A$35:$I$55,9,0)</f>
        <v>10.199999999999999</v>
      </c>
      <c r="M13" s="12">
        <f t="array" ref="M13">INDEX(L:L,MIN(IF(ISNUMBER(L13:L209),ROW(L13:L209),"")))</f>
        <v>10.199999999999999</v>
      </c>
      <c r="N13" s="13">
        <f>IF('Données projet'!$A$36&gt;35,N12+M13-V12,IF(A13&lt;'Données projet'!$A$36,$K$205^A13,IF(A13='Données projet'!$A$36,'Données projet'!$B$36,N12+M13-V12)))</f>
        <v>76.000000000000014</v>
      </c>
      <c r="O13" s="13">
        <f>N13*VLOOKUP('Données projet'!$B$9,Paramètres!$A$1:$I$89,3,0)*VLOOKUP('Données projet'!$B$9,Paramètres!$A$1:$I$89,5,0)</f>
        <v>68.764800000000008</v>
      </c>
      <c r="P13" s="13">
        <f t="shared" si="33"/>
        <v>19.366396769521369</v>
      </c>
      <c r="Q13" s="20">
        <f t="shared" si="2"/>
        <v>153.49516770691642</v>
      </c>
      <c r="R13" s="59">
        <f t="shared" si="0"/>
        <v>345.43382969196131</v>
      </c>
      <c r="S13" s="59">
        <f ca="1">AVERAGE(OFFSET($R$3,0,0,'Données projet'!$E$9+1,1))-AVERAGE(OFFSET($H$3,0,0,'Données projet'!$E$9+1,1))</f>
        <v>268.34407723697916</v>
      </c>
      <c r="T13" s="59">
        <f t="shared" si="34"/>
        <v>382.70172470802061</v>
      </c>
      <c r="U13" s="15">
        <f>IF(ISNA(VLOOKUP(A13,'Données projet'!$A$35:$I$55,3,0)),0,VLOOKUP(A13,'Données projet'!$A$35:$I$55,3,0))</f>
        <v>2</v>
      </c>
      <c r="V13" s="15">
        <f>IF(ISNA(VLOOKUP(A13,'Données projet'!$A$35:$I$55,4,0)),0,VLOOKUP(A13,'Données projet'!$A$35:$I$55,4,0))</f>
        <v>37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11.4</v>
      </c>
      <c r="N14" s="13">
        <f>IF('Données projet'!$A$36&gt;35,N13+M14-V13,IF(A14&lt;'Données projet'!$A$36,$K$205^A14,IF(A14='Données projet'!$A$36,'Données projet'!$B$36,N13+M14-V13)))</f>
        <v>50.40000000000002</v>
      </c>
      <c r="O14" s="13">
        <f>N14*VLOOKUP('Données projet'!$B$9,Paramètres!$A$1:$I$89,3,0)*VLOOKUP('Données projet'!$B$9,Paramètres!$A$1:$I$89,5,0)</f>
        <v>45.601920000000014</v>
      </c>
      <c r="P14" s="13">
        <f t="shared" si="33"/>
        <v>13.471921919810917</v>
      </c>
      <c r="Q14" s="20">
        <f t="shared" si="2"/>
        <v>102.8869413436707</v>
      </c>
      <c r="R14" s="59">
        <f t="shared" si="0"/>
        <v>297.38273995278485</v>
      </c>
      <c r="S14" s="59">
        <f ca="1">AVERAGE(OFFSET($R$3,0,0,'Données projet'!$E$9+1,1))-AVERAGE(OFFSET($H$3,0,0,'Données projet'!$E$9+1,1))</f>
        <v>268.34407723697916</v>
      </c>
      <c r="T14" s="59">
        <f t="shared" si="34"/>
        <v>382.70172470802061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11.4</v>
      </c>
      <c r="N15" s="13">
        <f>IF('Données projet'!$A$36&gt;35,N14+M15-V14,IF(A15&lt;'Données projet'!$A$36,$K$205^A15,IF(A15='Données projet'!$A$36,'Données projet'!$B$36,N14+M15-V14)))</f>
        <v>61.800000000000018</v>
      </c>
      <c r="O15" s="13">
        <f>N15*VLOOKUP('Données projet'!$B$9,Paramètres!$A$1:$I$89,3,0)*VLOOKUP('Données projet'!$B$9,Paramètres!$A$1:$I$89,5,0)</f>
        <v>55.916640000000015</v>
      </c>
      <c r="P15" s="13">
        <f t="shared" si="33"/>
        <v>16.131670834339534</v>
      </c>
      <c r="Q15" s="20">
        <f t="shared" si="2"/>
        <v>125.48414136980803</v>
      </c>
      <c r="R15" s="59">
        <f t="shared" si="0"/>
        <v>322.51391882254092</v>
      </c>
      <c r="S15" s="59">
        <f ca="1">AVERAGE(OFFSET($R$3,0,0,'Données projet'!$E$9+1,1))-AVERAGE(OFFSET($H$3,0,0,'Données projet'!$E$9+1,1))</f>
        <v>268.34407723697916</v>
      </c>
      <c r="T15" s="59">
        <f t="shared" si="34"/>
        <v>382.70172470802061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11.4</v>
      </c>
      <c r="N16" s="13">
        <f>IF('Données projet'!$A$36&gt;35,N15+M16-V15,IF(A16&lt;'Données projet'!$A$36,$K$205^A16,IF(A16='Données projet'!$A$36,'Données projet'!$B$36,N15+M16-V15)))</f>
        <v>73.200000000000017</v>
      </c>
      <c r="O16" s="13">
        <f>N16*VLOOKUP('Données projet'!$B$9,Paramètres!$A$1:$I$89,3,0)*VLOOKUP('Données projet'!$B$9,Paramètres!$A$1:$I$89,5,0)</f>
        <v>66.231360000000024</v>
      </c>
      <c r="P16" s="13">
        <f t="shared" si="33"/>
        <v>18.734578489112593</v>
      </c>
      <c r="Q16" s="20">
        <f t="shared" si="2"/>
        <v>147.98234286853781</v>
      </c>
      <c r="R16" s="59">
        <f t="shared" si="0"/>
        <v>347.5233431201566</v>
      </c>
      <c r="S16" s="59">
        <f ca="1">AVERAGE(OFFSET($R$3,0,0,'Données projet'!$E$9+1,1))-AVERAGE(OFFSET($H$3,0,0,'Données projet'!$E$9+1,1))</f>
        <v>268.34407723697916</v>
      </c>
      <c r="T16" s="59">
        <f t="shared" si="34"/>
        <v>382.70172470802061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11.4</v>
      </c>
      <c r="N17" s="13">
        <f>IF('Données projet'!$A$36&gt;35,N16+M17-V16,IF(A17&lt;'Données projet'!$A$36,$K$205^A17,IF(A17='Données projet'!$A$36,'Données projet'!$B$36,N16+M17-V16)))</f>
        <v>84.600000000000023</v>
      </c>
      <c r="O17" s="13">
        <f>N17*VLOOKUP('Données projet'!$B$9,Paramètres!$A$1:$I$89,3,0)*VLOOKUP('Données projet'!$B$9,Paramètres!$A$1:$I$89,5,0)</f>
        <v>76.546080000000018</v>
      </c>
      <c r="P17" s="13">
        <f t="shared" si="33"/>
        <v>21.290525837973497</v>
      </c>
      <c r="Q17" s="20">
        <f t="shared" si="2"/>
        <v>170.39875516780384</v>
      </c>
      <c r="R17" s="59">
        <f t="shared" si="0"/>
        <v>372.42861694007706</v>
      </c>
      <c r="S17" s="59">
        <f ca="1">AVERAGE(OFFSET($R$3,0,0,'Données projet'!$E$9+1,1))-AVERAGE(OFFSET($H$3,0,0,'Données projet'!$E$9+1,1))</f>
        <v>268.34407723697916</v>
      </c>
      <c r="T17" s="59">
        <f t="shared" si="34"/>
        <v>382.70172470802061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96</v>
      </c>
      <c r="L18" s="12">
        <f>VLOOKUP(A18,'Données projet'!$A$35:$I$55,9,0)</f>
        <v>11.4</v>
      </c>
      <c r="M18" s="12">
        <f t="array" ref="M18">INDEX(L:L,MIN(IF(ISNUMBER(L18:L214),ROW(L18:L214),"")))</f>
        <v>11.4</v>
      </c>
      <c r="N18" s="13">
        <f>IF('Données projet'!$A$36&gt;35,N17+M18-V17,IF(A18&lt;'Données projet'!$A$36,$K$205^A18,IF(A18='Données projet'!$A$36,'Données projet'!$B$36,N17+M18-V17)))</f>
        <v>96.000000000000028</v>
      </c>
      <c r="O18" s="13">
        <f>N18*VLOOKUP('Données projet'!$B$9,Paramètres!$A$1:$I$89,3,0)*VLOOKUP('Données projet'!$B$9,Paramètres!$A$1:$I$89,5,0)</f>
        <v>86.860800000000026</v>
      </c>
      <c r="P18" s="13">
        <f t="shared" si="33"/>
        <v>23.806568296036296</v>
      </c>
      <c r="Q18" s="20">
        <f t="shared" si="2"/>
        <v>192.74566644892991</v>
      </c>
      <c r="R18" s="59">
        <f t="shared" si="0"/>
        <v>397.24241638181093</v>
      </c>
      <c r="S18" s="59">
        <f ca="1">AVERAGE(OFFSET($R$3,0,0,'Données projet'!$E$9+1,1))-AVERAGE(OFFSET($H$3,0,0,'Données projet'!$E$9+1,1))</f>
        <v>268.34407723697916</v>
      </c>
      <c r="T18" s="59">
        <f t="shared" si="34"/>
        <v>382.70172470802061</v>
      </c>
      <c r="U18" s="15">
        <f>IF(ISNA(VLOOKUP(A18,'Données projet'!$A$35:$I$55,3,0)),0,VLOOKUP(A18,'Données projet'!$A$35:$I$55,3,0))</f>
        <v>3</v>
      </c>
      <c r="V18" s="15">
        <f>IF(ISNA(VLOOKUP(A18,'Données projet'!$A$35:$I$55,4,0)),0,VLOOKUP(A18,'Données projet'!$A$35:$I$55,4,0))</f>
        <v>29</v>
      </c>
      <c r="W18" s="16">
        <f>IF(ISNA(VLOOKUP(A18,'Données projet'!$A$35:$I$55,5,0)),0%,VLOOKUP(A18,'Données projet'!$A$35:$I$55,5,0)*VLOOKUP('Données projet'!$B$9,Paramètres!$A$1:$I$89,7,0))</f>
        <v>0.3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8.7019975147922946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8.7019975147922946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10.6</v>
      </c>
      <c r="N19" s="13">
        <f>IF('Données projet'!$A$36&gt;35,N18+M19-V18,IF(A19&lt;'Données projet'!$A$36,$K$205^A19,IF(A19='Données projet'!$A$36,'Données projet'!$B$36,N18+M19-V18)))</f>
        <v>77.600000000000023</v>
      </c>
      <c r="O19" s="13">
        <f>N19*VLOOKUP('Données projet'!$B$9,Paramètres!$A$1:$I$89,3,0)*VLOOKUP('Données projet'!$B$9,Paramètres!$A$1:$I$89,5,0)</f>
        <v>70.212480000000014</v>
      </c>
      <c r="P19" s="13">
        <f t="shared" si="33"/>
        <v>19.726214532836028</v>
      </c>
      <c r="Q19" s="20">
        <f t="shared" si="2"/>
        <v>156.64322631135607</v>
      </c>
      <c r="R19" s="59">
        <f t="shared" si="0"/>
        <v>363.58527223347016</v>
      </c>
      <c r="S19" s="59">
        <f ca="1">AVERAGE(OFFSET($R$3,0,0,'Données projet'!$E$9+1,1))-AVERAGE(OFFSET($H$3,0,0,'Données projet'!$E$9+1,1))</f>
        <v>268.34407723697916</v>
      </c>
      <c r="T19" s="59">
        <f t="shared" si="34"/>
        <v>382.70172470802061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8.5313566512216106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8.5313566512216106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10.6</v>
      </c>
      <c r="N20" s="13">
        <f>IF('Données projet'!$A$36&gt;35,N19+M20-V19,IF(A20&lt;'Données projet'!$A$36,$K$205^A20,IF(A20='Données projet'!$A$36,'Données projet'!$B$36,N19+M20-V19)))</f>
        <v>88.200000000000017</v>
      </c>
      <c r="O20" s="13">
        <f>N20*VLOOKUP('Données projet'!$B$9,Paramètres!$A$1:$I$89,3,0)*VLOOKUP('Données projet'!$B$9,Paramètres!$A$1:$I$89,5,0)</f>
        <v>79.803360000000012</v>
      </c>
      <c r="P20" s="13">
        <f t="shared" si="33"/>
        <v>22.089097742047148</v>
      </c>
      <c r="Q20" s="20">
        <f t="shared" si="2"/>
        <v>177.46269723406544</v>
      </c>
      <c r="R20" s="59">
        <f t="shared" si="0"/>
        <v>386.8288215499382</v>
      </c>
      <c r="S20" s="59">
        <f ca="1">AVERAGE(OFFSET($R$3,0,0,'Données projet'!$E$9+1,1))-AVERAGE(OFFSET($H$3,0,0,'Données projet'!$E$9+1,1))</f>
        <v>268.34407723697916</v>
      </c>
      <c r="T20" s="59">
        <f t="shared" si="34"/>
        <v>382.70172470802061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8.3640619509048975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8.3640619509048975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10.6</v>
      </c>
      <c r="N21" s="13">
        <f>IF('Données projet'!$A$36&gt;35,N20+M21-V20,IF(A21&lt;'Données projet'!$A$36,$K$205^A21,IF(A21='Données projet'!$A$36,'Données projet'!$B$36,N20+M21-V20)))</f>
        <v>98.800000000000011</v>
      </c>
      <c r="O21" s="13">
        <f>N21*VLOOKUP('Données projet'!$B$9,Paramètres!$A$1:$I$89,3,0)*VLOOKUP('Données projet'!$B$9,Paramètres!$A$1:$I$89,5,0)</f>
        <v>89.394240000000011</v>
      </c>
      <c r="P21" s="13">
        <f t="shared" si="33"/>
        <v>24.419072895797868</v>
      </c>
      <c r="Q21" s="20">
        <f t="shared" si="2"/>
        <v>198.2248532935146</v>
      </c>
      <c r="R21" s="59">
        <f t="shared" si="0"/>
        <v>409.99420648551768</v>
      </c>
      <c r="S21" s="59">
        <f ca="1">AVERAGE(OFFSET($R$3,0,0,'Données projet'!$E$9+1,1))-AVERAGE(OFFSET($H$3,0,0,'Données projet'!$E$9+1,1))</f>
        <v>268.34407723697916</v>
      </c>
      <c r="T21" s="59">
        <f t="shared" si="34"/>
        <v>382.70172470802061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8.2000477976217034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8.2000477976217034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10.6</v>
      </c>
      <c r="N22" s="13">
        <f>IF('Données projet'!$A$36&gt;35,N21+M22-V21,IF(A22&lt;'Données projet'!$A$36,$K$205^A22,IF(A22='Données projet'!$A$36,'Données projet'!$B$36,N21+M22-V21)))</f>
        <v>109.4</v>
      </c>
      <c r="O22" s="13">
        <f>N22*VLOOKUP('Données projet'!$B$9,Paramètres!$A$1:$I$89,3,0)*VLOOKUP('Données projet'!$B$9,Paramètres!$A$1:$I$89,5,0)</f>
        <v>98.985119999999995</v>
      </c>
      <c r="P22" s="13">
        <f t="shared" si="33"/>
        <v>26.720073030434214</v>
      </c>
      <c r="Q22" s="20">
        <f t="shared" si="2"/>
        <v>218.93654452800624</v>
      </c>
      <c r="R22" s="59">
        <f t="shared" si="0"/>
        <v>433.08863877102976</v>
      </c>
      <c r="S22" s="59">
        <f ca="1">AVERAGE(OFFSET($R$3,0,0,'Données projet'!$E$9+1,1))-AVERAGE(OFFSET($H$3,0,0,'Données projet'!$E$9+1,1))</f>
        <v>268.34407723697916</v>
      </c>
      <c r="T22" s="59">
        <f t="shared" si="34"/>
        <v>382.70172470802061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8.0392498618456383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8.0392498618456383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120</v>
      </c>
      <c r="L23" s="12">
        <f>VLOOKUP(A23,'Données projet'!$A$35:$I$55,9,0)</f>
        <v>10.6</v>
      </c>
      <c r="M23" s="12">
        <f t="array" ref="M23">INDEX(L:L,MIN(IF(ISNUMBER(L23:L219),ROW(L23:L219),"")))</f>
        <v>10.6</v>
      </c>
      <c r="N23" s="13">
        <f>IF('Données projet'!$A$36&gt;35,N22+M23-V22,IF(A23&lt;'Données projet'!$A$36,$K$205^A23,IF(A23='Données projet'!$A$36,'Données projet'!$B$36,N22+M23-V22)))</f>
        <v>120</v>
      </c>
      <c r="O23" s="13">
        <f>N23*VLOOKUP('Données projet'!$B$9,Paramètres!$A$1:$I$89,3,0)*VLOOKUP('Données projet'!$B$9,Paramètres!$A$1:$I$89,5,0)</f>
        <v>108.57599999999999</v>
      </c>
      <c r="P23" s="13">
        <f t="shared" si="33"/>
        <v>28.995225061228002</v>
      </c>
      <c r="Q23" s="20">
        <f t="shared" si="2"/>
        <v>239.60321698163875</v>
      </c>
      <c r="R23" s="59">
        <f t="shared" si="0"/>
        <v>456.1179198685345</v>
      </c>
      <c r="S23" s="59">
        <f ca="1">AVERAGE(OFFSET($R$3,0,0,'Données projet'!$E$9+1,1))-AVERAGE(OFFSET($H$3,0,0,'Données projet'!$E$9+1,1))</f>
        <v>268.34407723697916</v>
      </c>
      <c r="T23" s="59">
        <f t="shared" si="34"/>
        <v>382.70172470802061</v>
      </c>
      <c r="U23" s="15">
        <f>IF(ISNA(VLOOKUP(A23,'Données projet'!$A$35:$I$55,3,0)),0,VLOOKUP(A23,'Données projet'!$A$35:$I$55,3,0))</f>
        <v>4</v>
      </c>
      <c r="V23" s="15">
        <f>IF(ISNA(VLOOKUP(A23,'Données projet'!$A$35:$I$55,4,0)),0,VLOOKUP(A23,'Données projet'!$A$35:$I$55,4,0))</f>
        <v>23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7.8816050755130851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7.8816050755130851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9.4</v>
      </c>
      <c r="N24" s="13">
        <f>IF('Données projet'!$A$36&gt;35,N23+M24-V23,IF(A24&lt;'Données projet'!$A$36,$K$205^A24,IF(A24='Données projet'!$A$36,'Données projet'!$B$36,N23+M24-V23)))</f>
        <v>106.4</v>
      </c>
      <c r="O24" s="13">
        <f>N24*VLOOKUP('Données projet'!$B$9,Paramètres!$A$1:$I$89,3,0)*VLOOKUP('Données projet'!$B$9,Paramètres!$A$1:$I$89,5,0)</f>
        <v>96.270719999999997</v>
      </c>
      <c r="P24" s="13">
        <f t="shared" si="33"/>
        <v>26.071592384845928</v>
      </c>
      <c r="Q24" s="20">
        <f t="shared" si="2"/>
        <v>213.07952740360665</v>
      </c>
      <c r="R24" s="59">
        <f t="shared" si="0"/>
        <v>431.93705577948106</v>
      </c>
      <c r="S24" s="59">
        <f ca="1">AVERAGE(OFFSET($R$3,0,0,'Données projet'!$E$9+1,1))-AVERAGE(OFFSET($H$3,0,0,'Données projet'!$E$9+1,1))</f>
        <v>268.34407723697916</v>
      </c>
      <c r="T24" s="59">
        <f t="shared" si="34"/>
        <v>382.70172470802061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7.7270516072866879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7.7270516072866879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9.4</v>
      </c>
      <c r="N25" s="13">
        <f>IF('Données projet'!$A$36&gt;35,N24+M25-V24,IF(A25&lt;'Données projet'!$A$36,$K$205^A25,IF(A25='Données projet'!$A$36,'Données projet'!$B$36,N24+M25-V24)))</f>
        <v>115.80000000000001</v>
      </c>
      <c r="O25" s="13">
        <f>N25*VLOOKUP('Données projet'!$B$9,Paramètres!$A$1:$I$89,3,0)*VLOOKUP('Données projet'!$B$9,Paramètres!$A$1:$I$89,5,0)</f>
        <v>104.77584</v>
      </c>
      <c r="P25" s="13">
        <f t="shared" si="33"/>
        <v>28.096667899037026</v>
      </c>
      <c r="Q25" s="20">
        <f t="shared" si="2"/>
        <v>231.41961792415614</v>
      </c>
      <c r="R25" s="59">
        <f t="shared" si="0"/>
        <v>452.60053182762454</v>
      </c>
      <c r="S25" s="59">
        <f ca="1">AVERAGE(OFFSET($R$3,0,0,'Données projet'!$E$9+1,1))-AVERAGE(OFFSET($H$3,0,0,'Données projet'!$E$9+1,1))</f>
        <v>268.34407723697916</v>
      </c>
      <c r="T25" s="59">
        <f t="shared" si="34"/>
        <v>382.70172470802061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7.575528838303903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7.575528838303903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9.4</v>
      </c>
      <c r="N26" s="13">
        <f>IF('Données projet'!$A$36&gt;35,N25+M26-V25,IF(A26&lt;'Données projet'!$A$36,$K$205^A26,IF(A26='Données projet'!$A$36,'Données projet'!$B$36,N25+M26-V25)))</f>
        <v>125.20000000000002</v>
      </c>
      <c r="O26" s="13">
        <f>N26*VLOOKUP('Données projet'!$B$9,Paramètres!$A$1:$I$89,3,0)*VLOOKUP('Données projet'!$B$9,Paramètres!$A$1:$I$89,5,0)</f>
        <v>113.28096000000001</v>
      </c>
      <c r="P26" s="13">
        <f t="shared" si="33"/>
        <v>30.102677097724484</v>
      </c>
      <c r="Q26" s="20">
        <f t="shared" si="2"/>
        <v>249.7265012785368</v>
      </c>
      <c r="R26" s="59">
        <f t="shared" si="0"/>
        <v>473.2116979880833</v>
      </c>
      <c r="S26" s="59">
        <f ca="1">AVERAGE(OFFSET($R$3,0,0,'Données projet'!$E$9+1,1))-AVERAGE(OFFSET($H$3,0,0,'Données projet'!$E$9+1,1))</f>
        <v>268.34407723697916</v>
      </c>
      <c r="T26" s="59">
        <f t="shared" si="34"/>
        <v>382.70172470802061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7.4269773384011071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7.4269773384011071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9.4</v>
      </c>
      <c r="N27" s="13">
        <f>IF('Données projet'!$A$36&gt;35,N26+M27-V26,IF(A27&lt;'Données projet'!$A$36,$K$205^A27,IF(A27='Données projet'!$A$36,'Données projet'!$B$36,N26+M27-V26)))</f>
        <v>134.60000000000002</v>
      </c>
      <c r="O27" s="13">
        <f>N27*VLOOKUP('Données projet'!$B$9,Paramètres!$A$1:$I$89,3,0)*VLOOKUP('Données projet'!$B$9,Paramètres!$A$1:$I$89,5,0)</f>
        <v>121.78608000000003</v>
      </c>
      <c r="P27" s="13">
        <f t="shared" si="33"/>
        <v>32.091214249908539</v>
      </c>
      <c r="Q27" s="20">
        <f t="shared" si="2"/>
        <v>268.00295415192409</v>
      </c>
      <c r="R27" s="59">
        <f t="shared" si="0"/>
        <v>493.77366233554392</v>
      </c>
      <c r="S27" s="59">
        <f ca="1">AVERAGE(OFFSET($R$3,0,0,'Données projet'!$E$9+1,1))-AVERAGE(OFFSET($H$3,0,0,'Données projet'!$E$9+1,1))</f>
        <v>268.34407723697916</v>
      </c>
      <c r="T27" s="59">
        <f t="shared" si="34"/>
        <v>382.70172470802061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7.2813388428039367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7.2813388428039367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144</v>
      </c>
      <c r="L28" s="12">
        <f>VLOOKUP(A28,'Données projet'!$A$35:$I$55,9,0)</f>
        <v>9.4</v>
      </c>
      <c r="M28" s="12">
        <f t="array" ref="M28">INDEX(L:L,MIN(IF(ISNUMBER(L28:L224),ROW(L28:L224),"")))</f>
        <v>9.4</v>
      </c>
      <c r="N28" s="13">
        <f>IF('Données projet'!$A$36&gt;35,N27+M28-V27,IF(A28&lt;'Données projet'!$A$36,$K$205^A28,IF(A28='Données projet'!$A$36,'Données projet'!$B$36,N27+M28-V27)))</f>
        <v>144.00000000000003</v>
      </c>
      <c r="O28" s="13">
        <f>N28*VLOOKUP('Données projet'!$B$9,Paramètres!$A$1:$I$89,3,0)*VLOOKUP('Données projet'!$B$9,Paramètres!$A$1:$I$89,5,0)</f>
        <v>130.29120000000003</v>
      </c>
      <c r="P28" s="13">
        <f t="shared" si="33"/>
        <v>34.063638337638949</v>
      </c>
      <c r="Q28" s="20">
        <f t="shared" si="2"/>
        <v>286.25134343805456</v>
      </c>
      <c r="R28" s="59">
        <f t="shared" si="0"/>
        <v>514.28911740438662</v>
      </c>
      <c r="S28" s="59">
        <f ca="1">AVERAGE(OFFSET($R$3,0,0,'Données projet'!$E$9+1,1))-AVERAGE(OFFSET($H$3,0,0,'Données projet'!$E$9+1,1))</f>
        <v>268.34407723697916</v>
      </c>
      <c r="T28" s="59">
        <f t="shared" si="34"/>
        <v>382.70172470802061</v>
      </c>
      <c r="U28" s="15">
        <f>IF(ISNA(VLOOKUP(A28,'Données projet'!$A$35:$I$55,3,0)),0,VLOOKUP(A28,'Données projet'!$A$35:$I$55,3,0))</f>
        <v>5</v>
      </c>
      <c r="V28" s="15">
        <f>IF(ISNA(VLOOKUP(A28,'Données projet'!$A$35:$I$55,4,0)),0,VLOOKUP(A28,'Données projet'!$A$35:$I$55,4,0))</f>
        <v>18</v>
      </c>
      <c r="W28" s="16">
        <f>IF(ISNA(VLOOKUP(A28,'Données projet'!$A$35:$I$55,5,0)),0%,VLOOKUP(A28,'Données projet'!$A$35:$I$55,5,0)*VLOOKUP('Données projet'!$B$9,Paramètres!$A$1:$I$89,7,0))</f>
        <v>0.3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12.539796066042346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12.539796066042346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7.8</v>
      </c>
      <c r="N29" s="13">
        <f>IF('Données projet'!$A$36&gt;35,N28+M29-V28,IF(A29&lt;'Données projet'!$A$36,$K$205^A29,IF(A29='Données projet'!$A$36,'Données projet'!$B$36,N28+M29-V28)))</f>
        <v>133.80000000000004</v>
      </c>
      <c r="O29" s="13">
        <f>N29*VLOOKUP('Données projet'!$B$9,Paramètres!$A$1:$I$89,3,0)*VLOOKUP('Données projet'!$B$9,Paramètres!$A$1:$I$89,5,0)</f>
        <v>121.06224000000003</v>
      </c>
      <c r="P29" s="13">
        <f t="shared" si="33"/>
        <v>31.922622111207954</v>
      </c>
      <c r="Q29" s="20">
        <f t="shared" si="2"/>
        <v>266.44863484368722</v>
      </c>
      <c r="R29" s="59">
        <f t="shared" si="0"/>
        <v>496.73534889287737</v>
      </c>
      <c r="S29" s="59">
        <f ca="1">AVERAGE(OFFSET($R$3,0,0,'Données projet'!$E$9+1,1))-AVERAGE(OFFSET($H$3,0,0,'Données projet'!$E$9+1,1))</f>
        <v>268.34407723697916</v>
      </c>
      <c r="T29" s="59">
        <f t="shared" si="34"/>
        <v>382.70172470802061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12.293898313707627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12.293898313707627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7.8</v>
      </c>
      <c r="N30" s="13">
        <f>IF('Données projet'!$A$36&gt;35,N29+M30-V29,IF(A30&lt;'Données projet'!$A$36,$K$205^A30,IF(A30='Données projet'!$A$36,'Données projet'!$B$36,N29+M30-V29)))</f>
        <v>141.60000000000005</v>
      </c>
      <c r="O30" s="13">
        <f>N30*VLOOKUP('Données projet'!$B$9,Paramètres!$A$1:$I$89,3,0)*VLOOKUP('Données projet'!$B$9,Paramètres!$A$1:$I$89,5,0)</f>
        <v>128.11968000000005</v>
      </c>
      <c r="P30" s="13">
        <f t="shared" si="33"/>
        <v>33.561504850994325</v>
      </c>
      <c r="Q30" s="20">
        <f t="shared" si="2"/>
        <v>281.59473028214853</v>
      </c>
      <c r="R30" s="59">
        <f t="shared" si="0"/>
        <v>514.11257315471198</v>
      </c>
      <c r="S30" s="59">
        <f ca="1">AVERAGE(OFFSET($R$3,0,0,'Données projet'!$E$9+1,1))-AVERAGE(OFFSET($H$3,0,0,'Données projet'!$E$9+1,1))</f>
        <v>268.34407723697916</v>
      </c>
      <c r="T30" s="59">
        <f t="shared" si="34"/>
        <v>382.70172470802061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12.052822466313373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12.052822466313373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7.8</v>
      </c>
      <c r="N31" s="13">
        <f>IF('Données projet'!$A$36&gt;35,N30+M31-V30,IF(A31&lt;'Données projet'!$A$36,$K$205^A31,IF(A31='Données projet'!$A$36,'Données projet'!$B$36,N30+M31-V30)))</f>
        <v>149.40000000000006</v>
      </c>
      <c r="O31" s="13">
        <f>N31*VLOOKUP('Données projet'!$B$9,Paramètres!$A$1:$I$89,3,0)*VLOOKUP('Données projet'!$B$9,Paramètres!$A$1:$I$89,5,0)</f>
        <v>135.17712000000006</v>
      </c>
      <c r="P31" s="13">
        <f t="shared" si="33"/>
        <v>35.189907319143813</v>
      </c>
      <c r="Q31" s="20">
        <f t="shared" si="2"/>
        <v>296.72257258084227</v>
      </c>
      <c r="R31" s="59">
        <f t="shared" si="0"/>
        <v>531.45404200282633</v>
      </c>
      <c r="S31" s="59">
        <f ca="1">AVERAGE(OFFSET($R$3,0,0,'Données projet'!$E$9+1,1))-AVERAGE(OFFSET($H$3,0,0,'Données projet'!$E$9+1,1))</f>
        <v>268.34407723697916</v>
      </c>
      <c r="T31" s="59">
        <f t="shared" si="34"/>
        <v>382.70172470802061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11.816473969244772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11.816473969244772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7.8</v>
      </c>
      <c r="N32" s="13">
        <f>IF('Données projet'!$A$36&gt;35,N31+M32-V31,IF(A32&lt;'Données projet'!$A$36,$K$205^A32,IF(A32='Données projet'!$A$36,'Données projet'!$B$36,N31+M32-V31)))</f>
        <v>157.20000000000007</v>
      </c>
      <c r="O32" s="13">
        <f>N32*VLOOKUP('Données projet'!$B$9,Paramètres!$A$1:$I$89,3,0)*VLOOKUP('Données projet'!$B$9,Paramètres!$A$1:$I$89,5,0)</f>
        <v>142.23456000000004</v>
      </c>
      <c r="P32" s="13">
        <f t="shared" si="33"/>
        <v>36.808439083663039</v>
      </c>
      <c r="Q32" s="20">
        <f t="shared" si="2"/>
        <v>311.83322340404652</v>
      </c>
      <c r="R32" s="59">
        <f t="shared" si="0"/>
        <v>548.76112072682236</v>
      </c>
      <c r="S32" s="59">
        <f ca="1">AVERAGE(OFFSET($R$3,0,0,'Données projet'!$E$9+1,1))-AVERAGE(OFFSET($H$3,0,0,'Données projet'!$E$9+1,1))</f>
        <v>268.34407723697916</v>
      </c>
      <c r="T32" s="59">
        <f t="shared" si="34"/>
        <v>382.70172470802061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11.584760122045338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11.584760122045338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165</v>
      </c>
      <c r="L33" s="12">
        <f>VLOOKUP(A33,'Données projet'!$A$35:$I$55,9,0)</f>
        <v>7.8</v>
      </c>
      <c r="M33" s="12">
        <f t="array" ref="M33">INDEX(L:L,MIN(IF(ISNUMBER(L33:L229),ROW(L33:L229),"")))</f>
        <v>7.8</v>
      </c>
      <c r="N33" s="13">
        <f>IF('Données projet'!$A$36&gt;35,N32+M33-V32,IF(A33&lt;'Données projet'!$A$36,$K$205^A33,IF(A33='Données projet'!$A$36,'Données projet'!$B$36,N32+M33-V32)))</f>
        <v>165.00000000000009</v>
      </c>
      <c r="O33" s="13">
        <f>N33*VLOOKUP('Données projet'!$B$9,Paramètres!$A$1:$I$89,3,0)*VLOOKUP('Données projet'!$B$9,Paramètres!$A$1:$I$89,5,0)</f>
        <v>149.29200000000009</v>
      </c>
      <c r="P33" s="13">
        <f t="shared" si="33"/>
        <v>38.417645803815446</v>
      </c>
      <c r="Q33" s="20">
        <f t="shared" si="2"/>
        <v>326.92763310831202</v>
      </c>
      <c r="R33" s="59">
        <f t="shared" si="0"/>
        <v>566.03505804135398</v>
      </c>
      <c r="S33" s="59">
        <f ca="1">AVERAGE(OFFSET($R$3,0,0,'Données projet'!$E$9+1,1))-AVERAGE(OFFSET($H$3,0,0,'Données projet'!$E$9+1,1))</f>
        <v>268.34407723697916</v>
      </c>
      <c r="T33" s="59">
        <f t="shared" si="34"/>
        <v>382.70172470802061</v>
      </c>
      <c r="U33" s="15">
        <f>IF(ISNA(VLOOKUP(A33,'Données projet'!$A$35:$I$55,3,0)),0,VLOOKUP(A33,'Données projet'!$A$35:$I$55,3,0))</f>
        <v>6</v>
      </c>
      <c r="V33" s="15">
        <f>IF(ISNA(VLOOKUP(A33,'Données projet'!$A$35:$I$55,4,0)),0,VLOOKUP(A33,'Données projet'!$A$35:$I$55,4,0))</f>
        <v>14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11.357590042057994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11.357590042057994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6.4</v>
      </c>
      <c r="N34" s="13">
        <f>IF('Données projet'!$A$36&gt;35,N33+M34-V33,IF(A34&lt;'Données projet'!$A$36,$K$205^A34,IF(A34='Données projet'!$A$36,'Données projet'!$B$36,N33+M34-V33)))</f>
        <v>157.40000000000009</v>
      </c>
      <c r="O34" s="13">
        <f>N34*VLOOKUP('Données projet'!$B$9,Paramètres!$A$1:$I$89,3,0)*VLOOKUP('Données projet'!$B$9,Paramètres!$A$1:$I$89,5,0)</f>
        <v>142.41552000000007</v>
      </c>
      <c r="P34" s="13">
        <f t="shared" si="33"/>
        <v>36.849815075587692</v>
      </c>
      <c r="Q34" s="20">
        <f t="shared" si="2"/>
        <v>312.220458589982</v>
      </c>
      <c r="R34" s="59">
        <f t="shared" si="0"/>
        <v>552.26858180279953</v>
      </c>
      <c r="S34" s="59">
        <f ca="1">AVERAGE(OFFSET($R$3,0,0,'Données projet'!$E$9+1,1))-AVERAGE(OFFSET($H$3,0,0,'Données projet'!$E$9+1,1))</f>
        <v>268.34407723697916</v>
      </c>
      <c r="T34" s="59">
        <f t="shared" si="34"/>
        <v>382.70172470802061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11.134874628779134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11.134874628779134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6.4</v>
      </c>
      <c r="N35" s="13">
        <f>IF('Données projet'!$A$36&gt;35,N34+M35-V34,IF(A35&lt;'Données projet'!$A$36,$K$205^A35,IF(A35='Données projet'!$A$36,'Données projet'!$B$36,N34+M35-V34)))</f>
        <v>163.8000000000001</v>
      </c>
      <c r="O35" s="13">
        <f>N35*VLOOKUP('Données projet'!$B$9,Paramètres!$A$1:$I$89,3,0)*VLOOKUP('Données projet'!$B$9,Paramètres!$A$1:$I$89,5,0)</f>
        <v>148.20624000000007</v>
      </c>
      <c r="P35" s="13">
        <f t="shared" si="33"/>
        <v>38.170662245893794</v>
      </c>
      <c r="Q35" s="20">
        <f t="shared" ref="Q35:Q66" si="53">(O35+P35)*0.475*44/12</f>
        <v>324.60643807826517</v>
      </c>
      <c r="R35" s="59">
        <f t="shared" si="0"/>
        <v>565.57894055879046</v>
      </c>
      <c r="S35" s="59">
        <f ca="1">AVERAGE(OFFSET($R$3,0,0,'Données projet'!$E$9+1,1))-AVERAGE(OFFSET($H$3,0,0,'Données projet'!$E$9+1,1))</f>
        <v>268.34407723697916</v>
      </c>
      <c r="T35" s="59">
        <f t="shared" si="34"/>
        <v>382.70172470802061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10.916526528911684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10.916526528911684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6.4</v>
      </c>
      <c r="N36" s="13">
        <f>IF('Données projet'!$A$36&gt;35,N35+M36-V35,IF(A36&lt;'Données projet'!$A$36,$K$205^A36,IF(A36='Données projet'!$A$36,'Données projet'!$B$36,N35+M36-V35)))</f>
        <v>170.2000000000001</v>
      </c>
      <c r="O36" s="13">
        <f>N36*VLOOKUP('Données projet'!$B$9,Paramètres!$A$1:$I$89,3,0)*VLOOKUP('Données projet'!$B$9,Paramètres!$A$1:$I$89,5,0)</f>
        <v>153.99696000000009</v>
      </c>
      <c r="P36" s="13">
        <f t="shared" si="33"/>
        <v>39.485514251150697</v>
      </c>
      <c r="Q36" s="20">
        <f t="shared" si="53"/>
        <v>336.98197598742092</v>
      </c>
      <c r="R36" s="59">
        <f t="shared" si="0"/>
        <v>578.86282182196169</v>
      </c>
      <c r="S36" s="59">
        <f ca="1">AVERAGE(OFFSET($R$3,0,0,'Données projet'!$E$9+1,1))-AVERAGE(OFFSET($H$3,0,0,'Données projet'!$E$9+1,1))</f>
        <v>268.34407723697916</v>
      </c>
      <c r="T36" s="59">
        <f t="shared" si="34"/>
        <v>382.70172470802061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10.702460102103442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10.702460102103442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6.4</v>
      </c>
      <c r="N37" s="13">
        <f>IF('Données projet'!$A$36&gt;35,N36+M37-V36,IF(A37&lt;'Données projet'!$A$36,$K$205^A37,IF(A37='Données projet'!$A$36,'Données projet'!$B$36,N36+M37-V36)))</f>
        <v>176.60000000000011</v>
      </c>
      <c r="O37" s="13">
        <f>N37*VLOOKUP('Données projet'!$B$9,Paramètres!$A$1:$I$89,3,0)*VLOOKUP('Données projet'!$B$9,Paramètres!$A$1:$I$89,5,0)</f>
        <v>159.78768000000008</v>
      </c>
      <c r="P37" s="13">
        <f t="shared" si="33"/>
        <v>40.79462233764923</v>
      </c>
      <c r="Q37" s="20">
        <f t="shared" si="53"/>
        <v>349.34750990473918</v>
      </c>
      <c r="R37" s="59">
        <f t="shared" si="0"/>
        <v>592.12094136685482</v>
      </c>
      <c r="S37" s="59">
        <f ca="1">AVERAGE(OFFSET($R$3,0,0,'Données projet'!$E$9+1,1))-AVERAGE(OFFSET($H$3,0,0,'Données projet'!$E$9+1,1))</f>
        <v>268.34407723697916</v>
      </c>
      <c r="T37" s="59">
        <f t="shared" si="34"/>
        <v>382.70172470802061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10.492591387357283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10.492591387357283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183</v>
      </c>
      <c r="L38" s="12">
        <f>VLOOKUP(A38,'Données projet'!$A$35:$I$55,9,0)</f>
        <v>6.4</v>
      </c>
      <c r="M38" s="12">
        <f t="array" ref="M38">INDEX(L:L,MIN(IF(ISNUMBER(L38:L234),ROW(L38:L234),"")))</f>
        <v>6.4</v>
      </c>
      <c r="N38" s="13">
        <f>IF('Données projet'!$A$36&gt;35,N37+M38-V37,IF(A38&lt;'Données projet'!$A$36,$K$205^A38,IF(A38='Données projet'!$A$36,'Données projet'!$B$36,N37+M38-V37)))</f>
        <v>183.00000000000011</v>
      </c>
      <c r="O38" s="13">
        <f>N38*VLOOKUP('Données projet'!$B$9,Paramètres!$A$1:$I$89,3,0)*VLOOKUP('Données projet'!$B$9,Paramètres!$A$1:$I$89,5,0)</f>
        <v>165.5784000000001</v>
      </c>
      <c r="P38" s="13">
        <f t="shared" si="33"/>
        <v>42.098218509199697</v>
      </c>
      <c r="Q38" s="20">
        <f t="shared" si="53"/>
        <v>361.70344390352301</v>
      </c>
      <c r="R38" s="59">
        <f t="shared" si="0"/>
        <v>605.35397662809748</v>
      </c>
      <c r="S38" s="59">
        <f ca="1">AVERAGE(OFFSET($R$3,0,0,'Données projet'!$E$9+1,1))-AVERAGE(OFFSET($H$3,0,0,'Données projet'!$E$9+1,1))</f>
        <v>268.34407723697916</v>
      </c>
      <c r="T38" s="59">
        <f t="shared" si="34"/>
        <v>382.70172470802061</v>
      </c>
      <c r="U38" s="15">
        <f>IF(ISNA(VLOOKUP(A38,'Données projet'!$A$35:$I$55,3,0)),0,VLOOKUP(A38,'Données projet'!$A$35:$I$55,3,0))</f>
        <v>7</v>
      </c>
      <c r="V38" s="15">
        <f>IF(ISNA(VLOOKUP(A38,'Données projet'!$A$35:$I$55,4,0)),0,VLOOKUP(A38,'Données projet'!$A$35:$I$55,4,0))</f>
        <v>11</v>
      </c>
      <c r="W38" s="16">
        <f>IF(ISNA(VLOOKUP(A38,'Données projet'!$A$35:$I$55,5,0)),0%,VLOOKUP(A38,'Données projet'!$A$35:$I$55,5,0)*VLOOKUP('Données projet'!$B$9,Paramètres!$A$1:$I$89,7,0))</f>
        <v>0.3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13.587595748124684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13.587595748124684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5.8</v>
      </c>
      <c r="N39" s="13">
        <f>IF('Données projet'!$A$36&gt;35,N38+M39-V38,IF(A39&lt;'Données projet'!$A$36,$K$205^A39,IF(A39='Données projet'!$A$36,'Données projet'!$B$36,N38+M39-V38)))</f>
        <v>177.80000000000013</v>
      </c>
      <c r="O39" s="13">
        <f>N39*VLOOKUP('Données projet'!$B$9,Paramètres!$A$1:$I$89,3,0)*VLOOKUP('Données projet'!$B$9,Paramètres!$A$1:$I$89,5,0)</f>
        <v>160.8734400000001</v>
      </c>
      <c r="P39" s="13">
        <f t="shared" si="33"/>
        <v>41.039459771757258</v>
      </c>
      <c r="Q39" s="20">
        <f t="shared" si="53"/>
        <v>351.66496710247742</v>
      </c>
      <c r="R39" s="59">
        <f t="shared" si="0"/>
        <v>596.17738534351179</v>
      </c>
      <c r="S39" s="59">
        <f ca="1">AVERAGE(OFFSET($R$3,0,0,'Données projet'!$E$9+1,1))-AVERAGE(OFFSET($H$3,0,0,'Données projet'!$E$9+1,1))</f>
        <v>268.34407723697916</v>
      </c>
      <c r="T39" s="59">
        <f t="shared" si="34"/>
        <v>382.70172470802061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13.321151283119031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13.321151283119031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5.8</v>
      </c>
      <c r="N40" s="13">
        <f>IF('Données projet'!$A$36&gt;35,N39+M40-V39,IF(A40&lt;'Données projet'!$A$36,$K$205^A40,IF(A40='Données projet'!$A$36,'Données projet'!$B$36,N39+M40-V39)))</f>
        <v>183.60000000000014</v>
      </c>
      <c r="O40" s="13">
        <f>N40*VLOOKUP('Données projet'!$B$9,Paramètres!$A$1:$I$89,3,0)*VLOOKUP('Données projet'!$B$9,Paramètres!$A$1:$I$89,5,0)</f>
        <v>166.12128000000013</v>
      </c>
      <c r="P40" s="13">
        <f t="shared" si="33"/>
        <v>42.220155874487354</v>
      </c>
      <c r="Q40" s="20">
        <f t="shared" si="53"/>
        <v>362.86133414806568</v>
      </c>
      <c r="R40" s="59">
        <f t="shared" si="0"/>
        <v>608.22068611873681</v>
      </c>
      <c r="S40" s="59">
        <f ca="1">AVERAGE(OFFSET($R$3,0,0,'Données projet'!$E$9+1,1))-AVERAGE(OFFSET($H$3,0,0,'Données projet'!$E$9+1,1))</f>
        <v>268.34407723697916</v>
      </c>
      <c r="T40" s="59">
        <f t="shared" si="34"/>
        <v>382.70172470802061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13.059931631557061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13.059931631557061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5.8</v>
      </c>
      <c r="N41" s="13">
        <f>IF('Données projet'!$A$36&gt;35,N40+M41-V40,IF(A41&lt;'Données projet'!$A$36,$K$205^A41,IF(A41='Données projet'!$A$36,'Données projet'!$B$36,N40+M41-V40)))</f>
        <v>189.40000000000015</v>
      </c>
      <c r="O41" s="13">
        <f>N41*VLOOKUP('Données projet'!$B$9,Paramètres!$A$1:$I$89,3,0)*VLOOKUP('Données projet'!$B$9,Paramètres!$A$1:$I$89,5,0)</f>
        <v>171.36912000000012</v>
      </c>
      <c r="P41" s="13">
        <f t="shared" si="33"/>
        <v>43.396517621834931</v>
      </c>
      <c r="Q41" s="20">
        <f t="shared" si="53"/>
        <v>374.05015219136271</v>
      </c>
      <c r="R41" s="59">
        <f t="shared" si="0"/>
        <v>620.24174548492147</v>
      </c>
      <c r="S41" s="59">
        <f ca="1">AVERAGE(OFFSET($R$3,0,0,'Données projet'!$E$9+1,1))-AVERAGE(OFFSET($H$3,0,0,'Données projet'!$E$9+1,1))</f>
        <v>268.34407723697916</v>
      </c>
      <c r="T41" s="59">
        <f t="shared" si="34"/>
        <v>382.70172470802061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12.803834338033969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12.803834338033969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5.8</v>
      </c>
      <c r="N42" s="13">
        <f>IF('Données projet'!$A$36&gt;35,N41+M42-V41,IF(A42&lt;'Données projet'!$A$36,$K$205^A42,IF(A42='Données projet'!$A$36,'Données projet'!$B$36,N41+M42-V41)))</f>
        <v>195.20000000000016</v>
      </c>
      <c r="O42" s="13">
        <f>N42*VLOOKUP('Données projet'!$B$9,Paramètres!$A$1:$I$89,3,0)*VLOOKUP('Données projet'!$B$9,Paramètres!$A$1:$I$89,5,0)</f>
        <v>176.61696000000012</v>
      </c>
      <c r="P42" s="13">
        <f t="shared" si="33"/>
        <v>44.568692977873603</v>
      </c>
      <c r="Q42" s="20">
        <f t="shared" si="53"/>
        <v>385.23167893646342</v>
      </c>
      <c r="R42" s="59">
        <f t="shared" si="0"/>
        <v>632.24107602657057</v>
      </c>
      <c r="S42" s="59">
        <f ca="1">AVERAGE(OFFSET($R$3,0,0,'Données projet'!$E$9+1,1))-AVERAGE(OFFSET($H$3,0,0,'Données projet'!$E$9+1,1))</f>
        <v>268.34407723697916</v>
      </c>
      <c r="T42" s="59">
        <f t="shared" si="34"/>
        <v>382.70172470802061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12.552758956232939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12.552758956232939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201</v>
      </c>
      <c r="L43" s="12">
        <f>VLOOKUP(A43,'Données projet'!$A$35:$I$55,9,0)</f>
        <v>5.8</v>
      </c>
      <c r="M43" s="12">
        <f t="array" ref="M43">INDEX(L:L,MIN(IF(ISNUMBER(L43:L239),ROW(L43:L239),"")))</f>
        <v>5.8</v>
      </c>
      <c r="N43" s="13">
        <f>IF('Données projet'!$A$36&gt;35,N42+M43-V42,IF(A43&lt;'Données projet'!$A$36,$K$205^A43,IF(A43='Données projet'!$A$36,'Données projet'!$B$36,N42+M43-V42)))</f>
        <v>201.00000000000017</v>
      </c>
      <c r="O43" s="13">
        <f>N43*VLOOKUP('Données projet'!$B$9,Paramètres!$A$1:$I$89,3,0)*VLOOKUP('Données projet'!$B$9,Paramètres!$A$1:$I$89,5,0)</f>
        <v>181.86480000000014</v>
      </c>
      <c r="P43" s="13">
        <f t="shared" si="33"/>
        <v>45.73682061391029</v>
      </c>
      <c r="Q43" s="20">
        <f t="shared" si="53"/>
        <v>396.40615590256067</v>
      </c>
      <c r="R43" s="59">
        <f t="shared" si="0"/>
        <v>644.21916972168151</v>
      </c>
      <c r="S43" s="59">
        <f ca="1">AVERAGE(OFFSET($R$3,0,0,'Données projet'!$E$9+1,1))-AVERAGE(OFFSET($H$3,0,0,'Données projet'!$E$9+1,1))</f>
        <v>268.34407723697916</v>
      </c>
      <c r="T43" s="59">
        <f t="shared" si="34"/>
        <v>382.70172470802061</v>
      </c>
      <c r="U43" s="15">
        <f>IF(ISNA(VLOOKUP(A43,'Données projet'!$A$35:$I$55,3,0)),0,VLOOKUP(A43,'Données projet'!$A$35:$I$55,3,0))</f>
        <v>8</v>
      </c>
      <c r="V43" s="15">
        <f>IF(ISNA(VLOOKUP(A43,'Données projet'!$A$35:$I$55,4,0)),0,VLOOKUP(A43,'Données projet'!$A$35:$I$55,4,0))</f>
        <v>9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12.306607009528165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12.306607009528165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5.6</v>
      </c>
      <c r="N44" s="13">
        <f>IF('Données projet'!$A$36&gt;35,N43+M44-V43,IF(A44&lt;'Données projet'!$A$36,$K$205^A44,IF(A44='Données projet'!$A$36,'Données projet'!$B$36,N43+M44-V43)))</f>
        <v>197.60000000000016</v>
      </c>
      <c r="O44" s="13">
        <f>N44*VLOOKUP('Données projet'!$B$9,Paramètres!$A$1:$I$89,3,0)*VLOOKUP('Données projet'!$B$9,Paramètres!$A$1:$I$89,5,0)</f>
        <v>178.78848000000013</v>
      </c>
      <c r="P44" s="13">
        <f t="shared" si="33"/>
        <v>45.052539436241481</v>
      </c>
      <c r="Q44" s="20">
        <f t="shared" si="53"/>
        <v>389.85644218478751</v>
      </c>
      <c r="R44" s="59">
        <f t="shared" si="0"/>
        <v>638.45913177929151</v>
      </c>
      <c r="S44" s="59">
        <f ca="1">AVERAGE(OFFSET($R$3,0,0,'Données projet'!$E$9+1,1))-AVERAGE(OFFSET($H$3,0,0,'Données projet'!$E$9+1,1))</f>
        <v>268.34407723697916</v>
      </c>
      <c r="T44" s="59">
        <f t="shared" si="34"/>
        <v>382.70172470802061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12.065281952360408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12.065281952360408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5.6</v>
      </c>
      <c r="N45" s="13">
        <f>IF('Données projet'!$A$36&gt;35,N44+M45-V44,IF(A45&lt;'Données projet'!$A$36,$K$205^A45,IF(A45='Données projet'!$A$36,'Données projet'!$B$36,N44+M45-V44)))</f>
        <v>203.20000000000016</v>
      </c>
      <c r="O45" s="13">
        <f>N45*VLOOKUP('Données projet'!$B$9,Paramètres!$A$1:$I$89,3,0)*VLOOKUP('Données projet'!$B$9,Paramètres!$A$1:$I$89,5,0)</f>
        <v>183.85536000000013</v>
      </c>
      <c r="P45" s="13">
        <f t="shared" si="33"/>
        <v>46.178871924875288</v>
      </c>
      <c r="Q45" s="20">
        <f t="shared" si="53"/>
        <v>400.64295393582466</v>
      </c>
      <c r="R45" s="59">
        <f t="shared" si="0"/>
        <v>650.02162019645937</v>
      </c>
      <c r="S45" s="59">
        <f ca="1">AVERAGE(OFFSET($R$3,0,0,'Données projet'!$E$9+1,1))-AVERAGE(OFFSET($H$3,0,0,'Données projet'!$E$9+1,1))</f>
        <v>268.34407723697916</v>
      </c>
      <c r="T45" s="59">
        <f t="shared" si="34"/>
        <v>382.70172470802061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11.828689132369961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11.828689132369961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5.6</v>
      </c>
      <c r="N46" s="13">
        <f>IF('Données projet'!$A$36&gt;35,N45+M46-V45,IF(A46&lt;'Données projet'!$A$36,$K$205^A46,IF(A46='Données projet'!$A$36,'Données projet'!$B$36,N45+M46-V45)))</f>
        <v>208.80000000000015</v>
      </c>
      <c r="O46" s="13">
        <f>N46*VLOOKUP('Données projet'!$B$9,Paramètres!$A$1:$I$89,3,0)*VLOOKUP('Données projet'!$B$9,Paramètres!$A$1:$I$89,5,0)</f>
        <v>188.92224000000013</v>
      </c>
      <c r="P46" s="13">
        <f t="shared" si="33"/>
        <v>47.30159658724606</v>
      </c>
      <c r="Q46" s="20">
        <f t="shared" si="53"/>
        <v>411.42318205612042</v>
      </c>
      <c r="R46" s="59">
        <f t="shared" si="0"/>
        <v>661.56436352255241</v>
      </c>
      <c r="S46" s="59">
        <f ca="1">AVERAGE(OFFSET($R$3,0,0,'Données projet'!$E$9+1,1))-AVERAGE(OFFSET($H$3,0,0,'Données projet'!$E$9+1,1))</f>
        <v>268.34407723697916</v>
      </c>
      <c r="T46" s="59">
        <f t="shared" si="34"/>
        <v>382.70172470802061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11.596735753272156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11.596735753272156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5.6</v>
      </c>
      <c r="N47" s="13">
        <f>IF('Données projet'!$A$36&gt;35,N46+M47-V46,IF(A47&lt;'Données projet'!$A$36,$K$205^A47,IF(A47='Données projet'!$A$36,'Données projet'!$B$36,N46+M47-V46)))</f>
        <v>214.40000000000015</v>
      </c>
      <c r="O47" s="13">
        <f>N47*VLOOKUP('Données projet'!$B$9,Paramètres!$A$1:$I$89,3,0)*VLOOKUP('Données projet'!$B$9,Paramètres!$A$1:$I$89,5,0)</f>
        <v>193.98912000000013</v>
      </c>
      <c r="P47" s="13">
        <f t="shared" si="33"/>
        <v>48.420821305775476</v>
      </c>
      <c r="Q47" s="20">
        <f t="shared" si="53"/>
        <v>422.19731444089251</v>
      </c>
      <c r="R47" s="59">
        <f t="shared" si="0"/>
        <v>673.08778317902988</v>
      </c>
      <c r="S47" s="59">
        <f ca="1">AVERAGE(OFFSET($R$3,0,0,'Données projet'!$E$9+1,1))-AVERAGE(OFFSET($H$3,0,0,'Données projet'!$E$9+1,1))</f>
        <v>268.34407723697916</v>
      </c>
      <c r="T47" s="59">
        <f t="shared" si="34"/>
        <v>382.70172470802061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11.369330838460868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11.369330838460868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220</v>
      </c>
      <c r="L48" s="12">
        <f>VLOOKUP(A48,'Données projet'!$A$35:$I$55,9,0)</f>
        <v>5.6</v>
      </c>
      <c r="M48" s="12">
        <f t="array" ref="M48">INDEX(L:L,MIN(IF(ISNUMBER(L48:L244),ROW(L48:L244),"")))</f>
        <v>5.6</v>
      </c>
      <c r="N48" s="13">
        <f>IF('Données projet'!$A$36&gt;35,N47+M48-V47,IF(A48&lt;'Données projet'!$A$36,$K$205^A48,IF(A48='Données projet'!$A$36,'Données projet'!$B$36,N47+M48-V47)))</f>
        <v>220.00000000000014</v>
      </c>
      <c r="O48" s="13">
        <f>N48*VLOOKUP('Données projet'!$B$9,Paramètres!$A$1:$I$89,3,0)*VLOOKUP('Données projet'!$B$9,Paramètres!$A$1:$I$89,5,0)</f>
        <v>199.05600000000013</v>
      </c>
      <c r="P48" s="13">
        <f t="shared" si="33"/>
        <v>49.536648006253934</v>
      </c>
      <c r="Q48" s="20">
        <f t="shared" si="53"/>
        <v>432.96552861089248</v>
      </c>
      <c r="R48" s="59">
        <f t="shared" si="0"/>
        <v>684.59228616172663</v>
      </c>
      <c r="S48" s="59">
        <f ca="1">AVERAGE(OFFSET($R$3,0,0,'Données projet'!$E$9+1,1))-AVERAGE(OFFSET($H$3,0,0,'Données projet'!$E$9+1,1))</f>
        <v>268.34407723697916</v>
      </c>
      <c r="T48" s="59">
        <f t="shared" si="34"/>
        <v>382.70172470802061</v>
      </c>
      <c r="U48" s="15">
        <f>IF(ISNA(VLOOKUP(A48,'Données projet'!$A$35:$I$55,3,0)),0,VLOOKUP(A48,'Données projet'!$A$35:$I$55,3,0))</f>
        <v>9</v>
      </c>
      <c r="V48" s="15">
        <f>IF(ISNA(VLOOKUP(A48,'Données projet'!$A$35:$I$55,4,0)),0,VLOOKUP(A48,'Données projet'!$A$35:$I$55,4,0))</f>
        <v>220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11.146385195325728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11.146385195325728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1.4210854715202004E-13</v>
      </c>
      <c r="O49" s="13">
        <f>N49*VLOOKUP('Données projet'!$B$9,Paramètres!$A$1:$I$89,3,0)*VLOOKUP('Données projet'!$B$9,Paramètres!$A$1:$I$89,5,0)</f>
        <v>1.2857981346314773E-13</v>
      </c>
      <c r="P49" s="13">
        <f t="shared" si="33"/>
        <v>1.875932222832213E-12</v>
      </c>
      <c r="Q49" s="20">
        <f t="shared" si="53"/>
        <v>3.4911917965477528E-12</v>
      </c>
      <c r="R49" s="59">
        <f t="shared" si="0"/>
        <v>252.35027339872914</v>
      </c>
      <c r="S49" s="59">
        <f ca="1">AVERAGE(OFFSET($R$3,0,0,'Données projet'!$E$9+1,1))-AVERAGE(OFFSET($H$3,0,0,'Données projet'!$E$9+1,1))</f>
        <v>268.34407723697916</v>
      </c>
      <c r="T49" s="59">
        <f t="shared" si="34"/>
        <v>382.70172470802061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10.92781138026905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10.92781138026905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1.4210854715202004E-13</v>
      </c>
      <c r="O50" s="13">
        <f>N50*VLOOKUP('Données projet'!$B$9,Paramètres!$A$1:$I$89,3,0)*VLOOKUP('Données projet'!$B$9,Paramètres!$A$1:$I$89,5,0)</f>
        <v>1.2857981346314773E-13</v>
      </c>
      <c r="P50" s="13">
        <f t="shared" si="33"/>
        <v>1.875932222832213E-12</v>
      </c>
      <c r="Q50" s="20">
        <f t="shared" si="53"/>
        <v>3.4911917965477528E-12</v>
      </c>
      <c r="R50" s="59">
        <f t="shared" si="0"/>
        <v>253.06123786419889</v>
      </c>
      <c r="S50" s="59">
        <f ca="1">AVERAGE(OFFSET($R$3,0,0,'Données projet'!$E$9+1,1))-AVERAGE(OFFSET($H$3,0,0,'Données projet'!$E$9+1,1))</f>
        <v>268.34407723697916</v>
      </c>
      <c r="T50" s="59">
        <f t="shared" si="34"/>
        <v>382.70172470802061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10.713523664408772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10.713523664408772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1.4210854715202004E-13</v>
      </c>
      <c r="O51" s="13">
        <f>N51*VLOOKUP('Données projet'!$B$9,Paramètres!$A$1:$I$89,3,0)*VLOOKUP('Données projet'!$B$9,Paramètres!$A$1:$I$89,5,0)</f>
        <v>1.2857981346314773E-13</v>
      </c>
      <c r="P51" s="13">
        <f t="shared" si="33"/>
        <v>1.875932222832213E-12</v>
      </c>
      <c r="Q51" s="20">
        <f t="shared" si="53"/>
        <v>3.4911917965477528E-12</v>
      </c>
      <c r="R51" s="59">
        <f t="shared" si="0"/>
        <v>253.75986868567119</v>
      </c>
      <c r="S51" s="59">
        <f ca="1">AVERAGE(OFFSET($R$3,0,0,'Données projet'!$E$9+1,1))-AVERAGE(OFFSET($H$3,0,0,'Données projet'!$E$9+1,1))</f>
        <v>268.34407723697916</v>
      </c>
      <c r="T51" s="59">
        <f t="shared" si="34"/>
        <v>382.70172470802061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10.503437999953913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10.503437999953913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1.4210854715202004E-13</v>
      </c>
      <c r="O52" s="13">
        <f>N52*VLOOKUP('Données projet'!$B$9,Paramètres!$A$1:$I$89,3,0)*VLOOKUP('Données projet'!$B$9,Paramètres!$A$1:$I$89,5,0)</f>
        <v>1.2857981346314773E-13</v>
      </c>
      <c r="P52" s="13">
        <f t="shared" si="33"/>
        <v>1.875932222832213E-12</v>
      </c>
      <c r="Q52" s="20">
        <f t="shared" si="53"/>
        <v>3.4911917965477528E-12</v>
      </c>
      <c r="R52" s="59">
        <f t="shared" si="0"/>
        <v>254.44637982429546</v>
      </c>
      <c r="S52" s="59">
        <f ca="1">AVERAGE(OFFSET($R$3,0,0,'Données projet'!$E$9+1,1))-AVERAGE(OFFSET($H$3,0,0,'Données projet'!$E$9+1,1))</f>
        <v>268.34407723697916</v>
      </c>
      <c r="T52" s="59">
        <f t="shared" si="34"/>
        <v>382.70172470802061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10.297471987239412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10.297471987239412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1.4210854715202004E-13</v>
      </c>
      <c r="O53" s="13">
        <f>N53*VLOOKUP('Données projet'!$B$9,Paramètres!$A$1:$I$89,3,0)*VLOOKUP('Données projet'!$B$9,Paramètres!$A$1:$I$89,5,0)</f>
        <v>1.2857981346314773E-13</v>
      </c>
      <c r="P53" s="13">
        <f t="shared" si="33"/>
        <v>1.875932222832213E-12</v>
      </c>
      <c r="Q53" s="20">
        <f t="shared" si="53"/>
        <v>3.4911917965477528E-12</v>
      </c>
      <c r="R53" s="59">
        <f t="shared" si="0"/>
        <v>255.1209815294736</v>
      </c>
      <c r="S53" s="59">
        <f ca="1">AVERAGE(OFFSET($R$3,0,0,'Données projet'!$E$9+1,1))-AVERAGE(OFFSET($H$3,0,0,'Données projet'!$E$9+1,1))</f>
        <v>268.34407723697916</v>
      </c>
      <c r="T53" s="59">
        <f t="shared" si="34"/>
        <v>382.70172470802061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10.095544842407378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10.095544842407378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1.4210854715202004E-13</v>
      </c>
      <c r="O54" s="13">
        <f>N54*VLOOKUP('Données projet'!$B$9,Paramètres!$A$1:$I$89,3,0)*VLOOKUP('Données projet'!$B$9,Paramètres!$A$1:$I$89,5,0)</f>
        <v>1.2857981346314773E-13</v>
      </c>
      <c r="P54" s="13">
        <f t="shared" si="33"/>
        <v>1.875932222832213E-12</v>
      </c>
      <c r="Q54" s="20">
        <f t="shared" si="53"/>
        <v>3.4911917965477528E-12</v>
      </c>
      <c r="R54" s="59">
        <f t="shared" si="0"/>
        <v>255.78388040325032</v>
      </c>
      <c r="S54" s="59">
        <f ca="1">AVERAGE(OFFSET($R$3,0,0,'Données projet'!$E$9+1,1))-AVERAGE(OFFSET($H$3,0,0,'Données projet'!$E$9+1,1))</f>
        <v>268.34407723697916</v>
      </c>
      <c r="T54" s="59">
        <f t="shared" si="34"/>
        <v>382.70172470802061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9.8975773657221033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9.8975773657221033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1.4210854715202004E-13</v>
      </c>
      <c r="O55" s="13">
        <f>N55*VLOOKUP('Données projet'!$B$9,Paramètres!$A$1:$I$89,3,0)*VLOOKUP('Données projet'!$B$9,Paramètres!$A$1:$I$89,5,0)</f>
        <v>1.2857981346314773E-13</v>
      </c>
      <c r="P55" s="13">
        <f t="shared" si="33"/>
        <v>1.875932222832213E-12</v>
      </c>
      <c r="Q55" s="20">
        <f t="shared" si="53"/>
        <v>3.4911917965477528E-12</v>
      </c>
      <c r="R55" s="59">
        <f t="shared" si="0"/>
        <v>256.43527946358682</v>
      </c>
      <c r="S55" s="59">
        <f ca="1">AVERAGE(OFFSET($R$3,0,0,'Données projet'!$E$9+1,1))-AVERAGE(OFFSET($H$3,0,0,'Données projet'!$E$9+1,1))</f>
        <v>268.34407723697916</v>
      </c>
      <c r="T55" s="59">
        <f t="shared" si="34"/>
        <v>382.70172470802061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9.7034919105063899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9.7034919105063899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1.4210854715202004E-13</v>
      </c>
      <c r="O56" s="13">
        <f>N56*VLOOKUP('Données projet'!$B$9,Paramètres!$A$1:$I$89,3,0)*VLOOKUP('Données projet'!$B$9,Paramètres!$A$1:$I$89,5,0)</f>
        <v>1.2857981346314773E-13</v>
      </c>
      <c r="P56" s="13">
        <f t="shared" si="33"/>
        <v>1.875932222832213E-12</v>
      </c>
      <c r="Q56" s="20">
        <f t="shared" si="53"/>
        <v>3.4911917965477528E-12</v>
      </c>
      <c r="R56" s="59">
        <f t="shared" si="0"/>
        <v>257.0753782065367</v>
      </c>
      <c r="S56" s="59">
        <f ca="1">AVERAGE(OFFSET($R$3,0,0,'Données projet'!$E$9+1,1))-AVERAGE(OFFSET($H$3,0,0,'Données projet'!$E$9+1,1))</f>
        <v>268.34407723697916</v>
      </c>
      <c r="T56" s="59">
        <f t="shared" si="34"/>
        <v>382.70172470802061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9.5132123526870167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9.5132123526870167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1.4210854715202004E-13</v>
      </c>
      <c r="O57" s="13">
        <f>N57*VLOOKUP('Données projet'!$B$9,Paramètres!$A$1:$I$89,3,0)*VLOOKUP('Données projet'!$B$9,Paramètres!$A$1:$I$89,5,0)</f>
        <v>1.2857981346314773E-13</v>
      </c>
      <c r="P57" s="13">
        <f t="shared" si="33"/>
        <v>1.875932222832213E-12</v>
      </c>
      <c r="Q57" s="20">
        <f t="shared" si="53"/>
        <v>3.4911917965477528E-12</v>
      </c>
      <c r="R57" s="59">
        <f t="shared" si="0"/>
        <v>257.7043726673428</v>
      </c>
      <c r="S57" s="59">
        <f ca="1">AVERAGE(OFFSET($R$3,0,0,'Données projet'!$E$9+1,1))-AVERAGE(OFFSET($H$3,0,0,'Données projet'!$E$9+1,1))</f>
        <v>268.34407723697916</v>
      </c>
      <c r="T57" s="59">
        <f t="shared" si="34"/>
        <v>382.70172470802061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9.3266640609374107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9.3266640609374107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1.4210854715202004E-13</v>
      </c>
      <c r="O58" s="13">
        <f>N58*VLOOKUP('Données projet'!$B$9,Paramètres!$A$1:$I$89,3,0)*VLOOKUP('Données projet'!$B$9,Paramètres!$A$1:$I$89,5,0)</f>
        <v>1.2857981346314773E-13</v>
      </c>
      <c r="P58" s="13">
        <f t="shared" si="33"/>
        <v>1.875932222832213E-12</v>
      </c>
      <c r="Q58" s="20">
        <f t="shared" si="53"/>
        <v>3.4911917965477528E-12</v>
      </c>
      <c r="R58" s="59">
        <f t="shared" si="0"/>
        <v>258.32245548047484</v>
      </c>
      <c r="S58" s="59">
        <f ca="1">AVERAGE(OFFSET($R$3,0,0,'Données projet'!$E$9+1,1))-AVERAGE(OFFSET($H$3,0,0,'Données projet'!$E$9+1,1))</f>
        <v>268.34407723697916</v>
      </c>
      <c r="T58" s="59">
        <f t="shared" si="34"/>
        <v>382.70172470802061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9.1437738674057929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9.1437738674057929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1.4210854715202004E-13</v>
      </c>
      <c r="O59" s="13">
        <f>N59*VLOOKUP('Données projet'!$B$9,Paramètres!$A$1:$I$89,3,0)*VLOOKUP('Données projet'!$B$9,Paramètres!$A$1:$I$89,5,0)</f>
        <v>1.2857981346314773E-13</v>
      </c>
      <c r="P59" s="13">
        <f t="shared" si="33"/>
        <v>1.875932222832213E-12</v>
      </c>
      <c r="Q59" s="20">
        <f t="shared" si="53"/>
        <v>3.4911917965477528E-12</v>
      </c>
      <c r="R59" s="59">
        <f t="shared" si="0"/>
        <v>258.92981593862521</v>
      </c>
      <c r="S59" s="59">
        <f ca="1">AVERAGE(OFFSET($R$3,0,0,'Données projet'!$E$9+1,1))-AVERAGE(OFFSET($H$3,0,0,'Données projet'!$E$9+1,1))</f>
        <v>268.34407723697916</v>
      </c>
      <c r="T59" s="59">
        <f t="shared" si="34"/>
        <v>382.70172470802061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8.9644700390173266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8.9644700390173266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1.4210854715202004E-13</v>
      </c>
      <c r="O60" s="13">
        <f>N60*VLOOKUP('Données projet'!$B$9,Paramètres!$A$1:$I$89,3,0)*VLOOKUP('Données projet'!$B$9,Paramètres!$A$1:$I$89,5,0)</f>
        <v>1.2857981346314773E-13</v>
      </c>
      <c r="P60" s="13">
        <f t="shared" si="33"/>
        <v>1.875932222832213E-12</v>
      </c>
      <c r="Q60" s="20">
        <f t="shared" si="53"/>
        <v>3.4911917965477528E-12</v>
      </c>
      <c r="R60" s="59">
        <f t="shared" si="0"/>
        <v>259.52664005068118</v>
      </c>
      <c r="S60" s="59">
        <f ca="1">AVERAGE(OFFSET($R$3,0,0,'Données projet'!$E$9+1,1))-AVERAGE(OFFSET($H$3,0,0,'Données projet'!$E$9+1,1))</f>
        <v>268.34407723697916</v>
      </c>
      <c r="T60" s="59">
        <f t="shared" si="34"/>
        <v>382.70172470802061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8.788682249339022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8.788682249339022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1.4210854715202004E-13</v>
      </c>
      <c r="O61" s="13">
        <f>N61*VLOOKUP('Données projet'!$B$9,Paramètres!$A$1:$I$89,3,0)*VLOOKUP('Données projet'!$B$9,Paramètres!$A$1:$I$89,5,0)</f>
        <v>1.2857981346314773E-13</v>
      </c>
      <c r="P61" s="13">
        <f t="shared" si="33"/>
        <v>1.875932222832213E-12</v>
      </c>
      <c r="Q61" s="20">
        <f t="shared" si="53"/>
        <v>3.4911917965477528E-12</v>
      </c>
      <c r="R61" s="59">
        <f t="shared" si="0"/>
        <v>260.11311059869189</v>
      </c>
      <c r="S61" s="59">
        <f ca="1">AVERAGE(OFFSET($R$3,0,0,'Données projet'!$E$9+1,1))-AVERAGE(OFFSET($H$3,0,0,'Données projet'!$E$9+1,1))</f>
        <v>268.34407723697916</v>
      </c>
      <c r="T61" s="59">
        <f t="shared" si="34"/>
        <v>382.70172470802061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8.6163415509963439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8.6163415509963439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1.4210854715202004E-13</v>
      </c>
      <c r="O62" s="13">
        <f>N62*VLOOKUP('Données projet'!$B$9,Paramètres!$A$1:$I$89,3,0)*VLOOKUP('Données projet'!$B$9,Paramètres!$A$1:$I$89,5,0)</f>
        <v>1.2857981346314773E-13</v>
      </c>
      <c r="P62" s="13">
        <f t="shared" si="33"/>
        <v>1.875932222832213E-12</v>
      </c>
      <c r="Q62" s="20">
        <f t="shared" si="53"/>
        <v>3.4911917965477528E-12</v>
      </c>
      <c r="R62" s="59">
        <f t="shared" si="0"/>
        <v>260.68940719384625</v>
      </c>
      <c r="S62" s="59">
        <f ca="1">AVERAGE(OFFSET($R$3,0,0,'Données projet'!$E$9+1,1))-AVERAGE(OFFSET($H$3,0,0,'Données projet'!$E$9+1,1))</f>
        <v>268.34407723697916</v>
      </c>
      <c r="T62" s="59">
        <f t="shared" si="34"/>
        <v>382.70172470802061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8.4473803486307197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8.4473803486307197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1.4210854715202004E-13</v>
      </c>
      <c r="O63" s="13">
        <f>N63*VLOOKUP('Données projet'!$B$9,Paramètres!$A$1:$I$89,3,0)*VLOOKUP('Données projet'!$B$9,Paramètres!$A$1:$I$89,5,0)</f>
        <v>1.2857981346314773E-13</v>
      </c>
      <c r="P63" s="13">
        <f t="shared" si="33"/>
        <v>1.875932222832213E-12</v>
      </c>
      <c r="Q63" s="20">
        <f t="shared" si="53"/>
        <v>3.4911917965477528E-12</v>
      </c>
      <c r="R63" s="59">
        <f t="shared" si="0"/>
        <v>261.25570633148095</v>
      </c>
      <c r="S63" s="59">
        <f ca="1">AVERAGE(OFFSET($R$3,0,0,'Données projet'!$E$9+1,1))-AVERAGE(OFFSET($H$3,0,0,'Données projet'!$E$9+1,1))</f>
        <v>268.34407723697916</v>
      </c>
      <c r="T63" s="59">
        <f t="shared" si="34"/>
        <v>382.70172470802061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8.281732372387328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8.281732372387328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1.4210854715202004E-13</v>
      </c>
      <c r="O64" s="13">
        <f>N64*VLOOKUP('Données projet'!$B$9,Paramètres!$A$1:$I$89,3,0)*VLOOKUP('Données projet'!$B$9,Paramètres!$A$1:$I$89,5,0)</f>
        <v>1.2857981346314773E-13</v>
      </c>
      <c r="P64" s="13">
        <f t="shared" si="33"/>
        <v>1.875932222832213E-12</v>
      </c>
      <c r="Q64" s="20">
        <f t="shared" si="53"/>
        <v>3.4911917965477528E-12</v>
      </c>
      <c r="R64" s="59">
        <f t="shared" si="0"/>
        <v>261.81218144513281</v>
      </c>
      <c r="S64" s="59">
        <f ca="1">AVERAGE(OFFSET($R$3,0,0,'Données projet'!$E$9+1,1))-AVERAGE(OFFSET($H$3,0,0,'Données projet'!$E$9+1,1))</f>
        <v>268.34407723697916</v>
      </c>
      <c r="T64" s="59">
        <f t="shared" si="34"/>
        <v>382.70172470802061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8.1193326519227789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8.1193326519227789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1.4210854715202004E-13</v>
      </c>
      <c r="O65" s="13">
        <f>N65*VLOOKUP('Données projet'!$B$9,Paramètres!$A$1:$I$89,3,0)*VLOOKUP('Données projet'!$B$9,Paramètres!$A$1:$I$89,5,0)</f>
        <v>1.2857981346314773E-13</v>
      </c>
      <c r="P65" s="13">
        <f t="shared" si="33"/>
        <v>1.875932222832213E-12</v>
      </c>
      <c r="Q65" s="20">
        <f t="shared" si="53"/>
        <v>3.4911917965477528E-12</v>
      </c>
      <c r="R65" s="59">
        <f t="shared" si="0"/>
        <v>262.35900295965479</v>
      </c>
      <c r="S65" s="59">
        <f ca="1">AVERAGE(OFFSET($R$3,0,0,'Données projet'!$E$9+1,1))-AVERAGE(OFFSET($H$3,0,0,'Données projet'!$E$9+1,1))</f>
        <v>268.34407723697916</v>
      </c>
      <c r="T65" s="59">
        <f t="shared" si="34"/>
        <v>382.70172470802061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7.9601174909224914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7.9601174909224914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1.4210854715202004E-13</v>
      </c>
      <c r="O66" s="13">
        <f>N66*VLOOKUP('Données projet'!$B$9,Paramètres!$A$1:$I$89,3,0)*VLOOKUP('Données projet'!$B$9,Paramètres!$A$1:$I$89,5,0)</f>
        <v>1.2857981346314773E-13</v>
      </c>
      <c r="P66" s="13">
        <f t="shared" si="33"/>
        <v>1.875932222832213E-12</v>
      </c>
      <c r="Q66" s="20">
        <f t="shared" si="53"/>
        <v>3.4911917965477528E-12</v>
      </c>
      <c r="R66" s="59">
        <f t="shared" si="0"/>
        <v>262.89633834340958</v>
      </c>
      <c r="S66" s="59">
        <f ca="1">AVERAGE(OFFSET($R$3,0,0,'Données projet'!$E$9+1,1))-AVERAGE(OFFSET($H$3,0,0,'Données projet'!$E$9+1,1))</f>
        <v>268.34407723697916</v>
      </c>
      <c r="T66" s="59">
        <f t="shared" si="34"/>
        <v>382.70172470802061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7.8040244421177603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7.8040244421177603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1.4210854715202004E-13</v>
      </c>
      <c r="O67" s="13">
        <f>N67*VLOOKUP('Données projet'!$B$9,Paramètres!$A$1:$I$89,3,0)*VLOOKUP('Données projet'!$B$9,Paramètres!$A$1:$I$89,5,0)</f>
        <v>1.2857981346314773E-13</v>
      </c>
      <c r="P67" s="13">
        <f t="shared" si="33"/>
        <v>1.875932222832213E-12</v>
      </c>
      <c r="Q67" s="20">
        <f t="shared" ref="Q67:Q98" si="54">(O67+P67)*0.475*44/12</f>
        <v>3.4911917965477528E-12</v>
      </c>
      <c r="R67" s="59">
        <f t="shared" ref="R67:R130" si="55">Q67+(I67+J67)*44/12</f>
        <v>263.42435215955823</v>
      </c>
      <c r="S67" s="59">
        <f ca="1">AVERAGE(OFFSET($R$3,0,0,'Données projet'!$E$9+1,1))-AVERAGE(OFFSET($H$3,0,0,'Données projet'!$E$9+1,1))</f>
        <v>268.34407723697916</v>
      </c>
      <c r="T67" s="59">
        <f t="shared" si="34"/>
        <v>382.70172470802061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7.650992282792731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7.650992282792731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1.4210854715202004E-13</v>
      </c>
      <c r="O68" s="13">
        <f>N68*VLOOKUP('Données projet'!$B$9,Paramètres!$A$1:$I$89,3,0)*VLOOKUP('Données projet'!$B$9,Paramètres!$A$1:$I$89,5,0)</f>
        <v>1.2857981346314773E-13</v>
      </c>
      <c r="P68" s="13">
        <f t="shared" si="33"/>
        <v>1.875932222832213E-12</v>
      </c>
      <c r="Q68" s="20">
        <f t="shared" si="54"/>
        <v>3.4911917965477528E-12</v>
      </c>
      <c r="R68" s="59">
        <f t="shared" si="55"/>
        <v>263.94320611645867</v>
      </c>
      <c r="S68" s="59">
        <f ca="1">AVERAGE(OFFSET($R$3,0,0,'Données projet'!$E$9+1,1))-AVERAGE(OFFSET($H$3,0,0,'Données projet'!$E$9+1,1))</f>
        <v>268.34407723697916</v>
      </c>
      <c r="T68" s="59">
        <f t="shared" si="34"/>
        <v>382.70172470802061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7.5009609907716648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7.5009609907716648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1.4210854715202004E-13</v>
      </c>
      <c r="O69" s="13">
        <f>N69*VLOOKUP('Données projet'!$B$9,Paramètres!$A$1:$I$89,3,0)*VLOOKUP('Données projet'!$B$9,Paramètres!$A$1:$I$89,5,0)</f>
        <v>1.2857981346314773E-13</v>
      </c>
      <c r="P69" s="13">
        <f t="shared" ref="P69:P132" si="87">EXP(-1.0587+0.8836*LN(O69)+0.284)</f>
        <v>1.875932222832213E-12</v>
      </c>
      <c r="Q69" s="20">
        <f t="shared" si="54"/>
        <v>3.4911917965477528E-12</v>
      </c>
      <c r="R69" s="59">
        <f t="shared" si="55"/>
        <v>264.45305911719055</v>
      </c>
      <c r="S69" s="59">
        <f ca="1">AVERAGE(OFFSET($R$3,0,0,'Données projet'!$E$9+1,1))-AVERAGE(OFFSET($H$3,0,0,'Données projet'!$E$9+1,1))</f>
        <v>268.34407723697916</v>
      </c>
      <c r="T69" s="59">
        <f t="shared" ref="T69:T132" si="88">$T$3</f>
        <v>382.70172470802061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7.3538717208770796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7.3538717208770796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1.4210854715202004E-13</v>
      </c>
      <c r="O70" s="13">
        <f>N70*VLOOKUP('Données projet'!$B$9,Paramètres!$A$1:$I$89,3,0)*VLOOKUP('Données projet'!$B$9,Paramètres!$A$1:$I$89,5,0)</f>
        <v>1.2857981346314773E-13</v>
      </c>
      <c r="P70" s="13">
        <f t="shared" si="87"/>
        <v>1.875932222832213E-12</v>
      </c>
      <c r="Q70" s="20">
        <f t="shared" si="54"/>
        <v>3.4911917965477528E-12</v>
      </c>
      <c r="R70" s="59">
        <f t="shared" si="55"/>
        <v>264.95406730822037</v>
      </c>
      <c r="S70" s="59">
        <f ca="1">AVERAGE(OFFSET($R$3,0,0,'Données projet'!$E$9+1,1))-AVERAGE(OFFSET($H$3,0,0,'Données projet'!$E$9+1,1))</f>
        <v>268.34407723697916</v>
      </c>
      <c r="T70" s="59">
        <f t="shared" si="88"/>
        <v>382.70172470802061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7.2096667818495312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7.2096667818495312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1.4210854715202004E-13</v>
      </c>
      <c r="O71" s="13">
        <f>N71*VLOOKUP('Données projet'!$B$9,Paramètres!$A$1:$I$89,3,0)*VLOOKUP('Données projet'!$B$9,Paramètres!$A$1:$I$89,5,0)</f>
        <v>1.2857981346314773E-13</v>
      </c>
      <c r="P71" s="13">
        <f t="shared" si="87"/>
        <v>1.875932222832213E-12</v>
      </c>
      <c r="Q71" s="20">
        <f t="shared" si="54"/>
        <v>3.4911917965477528E-12</v>
      </c>
      <c r="R71" s="59">
        <f t="shared" si="55"/>
        <v>265.4463841272223</v>
      </c>
      <c r="S71" s="59">
        <f ca="1">AVERAGE(OFFSET($R$3,0,0,'Données projet'!$E$9+1,1))-AVERAGE(OFFSET($H$3,0,0,'Données projet'!$E$9+1,1))</f>
        <v>268.34407723697916</v>
      </c>
      <c r="T71" s="59">
        <f t="shared" si="88"/>
        <v>382.70172470802061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7.0682896137199851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7.0682896137199851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1.4210854715202004E-13</v>
      </c>
      <c r="O72" s="13">
        <f>N72*VLOOKUP('Données projet'!$B$9,Paramètres!$A$1:$I$89,3,0)*VLOOKUP('Données projet'!$B$9,Paramètres!$A$1:$I$89,5,0)</f>
        <v>1.2857981346314773E-13</v>
      </c>
      <c r="P72" s="13">
        <f t="shared" si="87"/>
        <v>1.875932222832213E-12</v>
      </c>
      <c r="Q72" s="20">
        <f t="shared" si="54"/>
        <v>3.4911917965477528E-12</v>
      </c>
      <c r="R72" s="59">
        <f t="shared" si="55"/>
        <v>265.93016035007003</v>
      </c>
      <c r="S72" s="59">
        <f ca="1">AVERAGE(OFFSET($R$3,0,0,'Données projet'!$E$9+1,1))-AVERAGE(OFFSET($H$3,0,0,'Données projet'!$E$9+1,1))</f>
        <v>268.34407723697916</v>
      </c>
      <c r="T72" s="59">
        <f t="shared" si="88"/>
        <v>382.70172470802061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6.9296847656259022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6.9296847656259022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1.4210854715202004E-13</v>
      </c>
      <c r="O73" s="13">
        <f>N73*VLOOKUP('Données projet'!$B$9,Paramètres!$A$1:$I$89,3,0)*VLOOKUP('Données projet'!$B$9,Paramètres!$A$1:$I$89,5,0)</f>
        <v>1.2857981346314773E-13</v>
      </c>
      <c r="P73" s="13">
        <f t="shared" si="87"/>
        <v>1.875932222832213E-12</v>
      </c>
      <c r="Q73" s="20">
        <f t="shared" si="54"/>
        <v>3.4911917965477528E-12</v>
      </c>
      <c r="R73" s="59">
        <f t="shared" si="55"/>
        <v>266.40554413701295</v>
      </c>
      <c r="S73" s="59">
        <f ca="1">AVERAGE(OFFSET($R$3,0,0,'Données projet'!$E$9+1,1))-AVERAGE(OFFSET($H$3,0,0,'Données projet'!$E$9+1,1))</f>
        <v>268.34407723697916</v>
      </c>
      <c r="T73" s="59">
        <f t="shared" si="88"/>
        <v>382.70172470802061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6.7937978740623342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6.7937978740623342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1.4210854715202004E-13</v>
      </c>
      <c r="O74" s="13">
        <f>N74*VLOOKUP('Données projet'!$B$9,Paramètres!$A$1:$I$89,3,0)*VLOOKUP('Données projet'!$B$9,Paramètres!$A$1:$I$89,5,0)</f>
        <v>1.2857981346314773E-13</v>
      </c>
      <c r="P74" s="13">
        <f t="shared" si="87"/>
        <v>1.875932222832213E-12</v>
      </c>
      <c r="Q74" s="20">
        <f t="shared" si="54"/>
        <v>3.4911917965477528E-12</v>
      </c>
      <c r="R74" s="59">
        <f t="shared" si="55"/>
        <v>266.87268107805141</v>
      </c>
      <c r="S74" s="59">
        <f ca="1">AVERAGE(OFFSET($R$3,0,0,'Données projet'!$E$9+1,1))-AVERAGE(OFFSET($H$3,0,0,'Données projet'!$E$9+1,1))</f>
        <v>268.34407723697916</v>
      </c>
      <c r="T74" s="59">
        <f t="shared" si="88"/>
        <v>382.70172470802061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6.6605756415595083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6.6605756415595083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1.4210854715202004E-13</v>
      </c>
      <c r="O75" s="13">
        <f>N75*VLOOKUP('Données projet'!$B$9,Paramètres!$A$1:$I$89,3,0)*VLOOKUP('Données projet'!$B$9,Paramètres!$A$1:$I$89,5,0)</f>
        <v>1.2857981346314773E-13</v>
      </c>
      <c r="P75" s="13">
        <f t="shared" si="87"/>
        <v>1.875932222832213E-12</v>
      </c>
      <c r="Q75" s="20">
        <f t="shared" si="54"/>
        <v>3.4911917965477528E-12</v>
      </c>
      <c r="R75" s="59">
        <f t="shared" si="55"/>
        <v>267.33171423752458</v>
      </c>
      <c r="S75" s="59">
        <f ca="1">AVERAGE(OFFSET($R$3,0,0,'Données projet'!$E$9+1,1))-AVERAGE(OFFSET($H$3,0,0,'Données projet'!$E$9+1,1))</f>
        <v>268.34407723697916</v>
      </c>
      <c r="T75" s="59">
        <f t="shared" si="88"/>
        <v>382.70172470802061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6.5299658157785245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6.5299658157785245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1.4210854715202004E-13</v>
      </c>
      <c r="O76" s="13">
        <f>N76*VLOOKUP('Données projet'!$B$9,Paramètres!$A$1:$I$89,3,0)*VLOOKUP('Données projet'!$B$9,Paramètres!$A$1:$I$89,5,0)</f>
        <v>1.2857981346314773E-13</v>
      </c>
      <c r="P76" s="13">
        <f t="shared" si="87"/>
        <v>1.875932222832213E-12</v>
      </c>
      <c r="Q76" s="20">
        <f t="shared" si="54"/>
        <v>3.4911917965477528E-12</v>
      </c>
      <c r="R76" s="59">
        <f t="shared" si="55"/>
        <v>267.78278419792525</v>
      </c>
      <c r="S76" s="59">
        <f ca="1">AVERAGE(OFFSET($R$3,0,0,'Données projet'!$E$9+1,1))-AVERAGE(OFFSET($H$3,0,0,'Données projet'!$E$9+1,1))</f>
        <v>268.34407723697916</v>
      </c>
      <c r="T76" s="59">
        <f t="shared" si="88"/>
        <v>382.70172470802061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6.4019171690169783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6.4019171690169783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1.4210854715202004E-13</v>
      </c>
      <c r="O77" s="13">
        <f>N77*VLOOKUP('Données projet'!$B$9,Paramètres!$A$1:$I$89,3,0)*VLOOKUP('Données projet'!$B$9,Paramètres!$A$1:$I$89,5,0)</f>
        <v>1.2857981346314773E-13</v>
      </c>
      <c r="P77" s="13">
        <f t="shared" si="87"/>
        <v>1.875932222832213E-12</v>
      </c>
      <c r="Q77" s="20">
        <f t="shared" si="54"/>
        <v>3.4911917965477528E-12</v>
      </c>
      <c r="R77" s="59">
        <f t="shared" si="55"/>
        <v>268.22602910295433</v>
      </c>
      <c r="S77" s="59">
        <f ca="1">AVERAGE(OFFSET($R$3,0,0,'Données projet'!$E$9+1,1))-AVERAGE(OFFSET($H$3,0,0,'Données projet'!$E$9+1,1))</f>
        <v>268.34407723697916</v>
      </c>
      <c r="T77" s="59">
        <f t="shared" si="88"/>
        <v>382.70172470802061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6.2763794781164632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6.2763794781164632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1.4210854715202004E-13</v>
      </c>
      <c r="O78" s="13">
        <f>N78*VLOOKUP('Données projet'!$B$9,Paramètres!$A$1:$I$89,3,0)*VLOOKUP('Données projet'!$B$9,Paramètres!$A$1:$I$89,5,0)</f>
        <v>1.2857981346314773E-13</v>
      </c>
      <c r="P78" s="13">
        <f t="shared" si="87"/>
        <v>1.875932222832213E-12</v>
      </c>
      <c r="Q78" s="20">
        <f t="shared" si="54"/>
        <v>3.4911917965477528E-12</v>
      </c>
      <c r="R78" s="59">
        <f t="shared" si="55"/>
        <v>268.66158469982827</v>
      </c>
      <c r="S78" s="59">
        <f ca="1">AVERAGE(OFFSET($R$3,0,0,'Données projet'!$E$9+1,1))-AVERAGE(OFFSET($H$3,0,0,'Données projet'!$E$9+1,1))</f>
        <v>268.34407723697916</v>
      </c>
      <c r="T78" s="59">
        <f t="shared" si="88"/>
        <v>382.70172470802061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6.1533035047640761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6.1533035047640761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1.4210854715202004E-13</v>
      </c>
      <c r="O79" s="13">
        <f>N79*VLOOKUP('Données projet'!$B$9,Paramètres!$A$1:$I$89,3,0)*VLOOKUP('Données projet'!$B$9,Paramètres!$A$1:$I$89,5,0)</f>
        <v>1.2857981346314773E-13</v>
      </c>
      <c r="P79" s="13">
        <f t="shared" si="87"/>
        <v>1.875932222832213E-12</v>
      </c>
      <c r="Q79" s="20">
        <f t="shared" si="54"/>
        <v>3.4911917965477528E-12</v>
      </c>
      <c r="R79" s="59">
        <f t="shared" si="55"/>
        <v>269.0895843808529</v>
      </c>
      <c r="S79" s="59">
        <f ca="1">AVERAGE(OFFSET($R$3,0,0,'Données projet'!$E$9+1,1))-AVERAGE(OFFSET($H$3,0,0,'Données projet'!$E$9+1,1))</f>
        <v>268.34407723697916</v>
      </c>
      <c r="T79" s="59">
        <f t="shared" si="88"/>
        <v>382.70172470802061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6.0326409761801978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6.0326409761801978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1.4210854715202004E-13</v>
      </c>
      <c r="O80" s="13">
        <f>N80*VLOOKUP('Données projet'!$B$9,Paramètres!$A$1:$I$89,3,0)*VLOOKUP('Données projet'!$B$9,Paramètres!$A$1:$I$89,5,0)</f>
        <v>1.2857981346314773E-13</v>
      </c>
      <c r="P80" s="13">
        <f t="shared" si="87"/>
        <v>1.875932222832213E-12</v>
      </c>
      <c r="Q80" s="20">
        <f t="shared" si="54"/>
        <v>3.4911917965477528E-12</v>
      </c>
      <c r="R80" s="59">
        <f t="shared" si="55"/>
        <v>269.51015922427575</v>
      </c>
      <c r="S80" s="59">
        <f ca="1">AVERAGE(OFFSET($R$3,0,0,'Données projet'!$E$9+1,1))-AVERAGE(OFFSET($H$3,0,0,'Données projet'!$E$9+1,1))</f>
        <v>268.34407723697916</v>
      </c>
      <c r="T80" s="59">
        <f t="shared" si="88"/>
        <v>382.70172470802061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5.9143445661849743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5.9143445661849743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1.4210854715202004E-13</v>
      </c>
      <c r="O81" s="13">
        <f>N81*VLOOKUP('Données projet'!$B$9,Paramètres!$A$1:$I$89,3,0)*VLOOKUP('Données projet'!$B$9,Paramètres!$A$1:$I$89,5,0)</f>
        <v>1.2857981346314773E-13</v>
      </c>
      <c r="P81" s="13">
        <f t="shared" si="87"/>
        <v>1.875932222832213E-12</v>
      </c>
      <c r="Q81" s="20">
        <f t="shared" si="54"/>
        <v>3.4911917965477528E-12</v>
      </c>
      <c r="R81" s="59">
        <f t="shared" si="55"/>
        <v>269.92343803442969</v>
      </c>
      <c r="S81" s="59">
        <f ca="1">AVERAGE(OFFSET($R$3,0,0,'Données projet'!$E$9+1,1))-AVERAGE(OFFSET($H$3,0,0,'Données projet'!$E$9+1,1))</f>
        <v>268.34407723697916</v>
      </c>
      <c r="T81" s="59">
        <f t="shared" si="88"/>
        <v>382.70172470802061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5.798367876636072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5.798367876636072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1.4210854715202004E-13</v>
      </c>
      <c r="O82" s="13">
        <f>N82*VLOOKUP('Données projet'!$B$9,Paramètres!$A$1:$I$89,3,0)*VLOOKUP('Données projet'!$B$9,Paramètres!$A$1:$I$89,5,0)</f>
        <v>1.2857981346314773E-13</v>
      </c>
      <c r="P82" s="13">
        <f t="shared" si="87"/>
        <v>1.875932222832213E-12</v>
      </c>
      <c r="Q82" s="20">
        <f t="shared" si="54"/>
        <v>3.4911917965477528E-12</v>
      </c>
      <c r="R82" s="59">
        <f t="shared" si="55"/>
        <v>270.32954738118042</v>
      </c>
      <c r="S82" s="59">
        <f ca="1">AVERAGE(OFFSET($R$3,0,0,'Données projet'!$E$9+1,1))-AVERAGE(OFFSET($H$3,0,0,'Données projet'!$E$9+1,1))</f>
        <v>268.34407723697916</v>
      </c>
      <c r="T82" s="59">
        <f t="shared" si="88"/>
        <v>382.70172470802061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5.684665419230428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5.684665419230428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1.4210854715202004E-13</v>
      </c>
      <c r="O83" s="13">
        <f>N83*VLOOKUP('Données projet'!$B$9,Paramètres!$A$1:$I$89,3,0)*VLOOKUP('Données projet'!$B$9,Paramètres!$A$1:$I$89,5,0)</f>
        <v>1.2857981346314773E-13</v>
      </c>
      <c r="P83" s="13">
        <f t="shared" si="87"/>
        <v>1.875932222832213E-12</v>
      </c>
      <c r="Q83" s="20">
        <f t="shared" si="54"/>
        <v>3.4911917965477528E-12</v>
      </c>
      <c r="R83" s="59">
        <f t="shared" si="55"/>
        <v>270.72861163868959</v>
      </c>
      <c r="S83" s="59">
        <f ca="1">AVERAGE(OFFSET($R$3,0,0,'Données projet'!$E$9+1,1))-AVERAGE(OFFSET($H$3,0,0,'Données projet'!$E$9+1,1))</f>
        <v>268.34407723697916</v>
      </c>
      <c r="T83" s="59">
        <f t="shared" si="88"/>
        <v>382.70172470802061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5.5731925976628576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5.5731925976628576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1.4210854715202004E-13</v>
      </c>
      <c r="O84" s="13">
        <f>N84*VLOOKUP('Données projet'!$B$9,Paramètres!$A$1:$I$89,3,0)*VLOOKUP('Données projet'!$B$9,Paramètres!$A$1:$I$89,5,0)</f>
        <v>1.2857981346314773E-13</v>
      </c>
      <c r="P84" s="13">
        <f t="shared" si="87"/>
        <v>1.875932222832213E-12</v>
      </c>
      <c r="Q84" s="20">
        <f t="shared" si="54"/>
        <v>3.4911917965477528E-12</v>
      </c>
      <c r="R84" s="59">
        <f t="shared" si="55"/>
        <v>271.1207530235049</v>
      </c>
      <c r="S84" s="59">
        <f ca="1">AVERAGE(OFFSET($R$3,0,0,'Données projet'!$E$9+1,1))-AVERAGE(OFFSET($H$3,0,0,'Données projet'!$E$9+1,1))</f>
        <v>268.34407723697916</v>
      </c>
      <c r="T84" s="59">
        <f t="shared" si="88"/>
        <v>382.70172470802061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5.4639056901345198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5.4639056901345198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1.4210854715202004E-13</v>
      </c>
      <c r="O85" s="13">
        <f>N85*VLOOKUP('Données projet'!$B$9,Paramètres!$A$1:$I$89,3,0)*VLOOKUP('Données projet'!$B$9,Paramètres!$A$1:$I$89,5,0)</f>
        <v>1.2857981346314773E-13</v>
      </c>
      <c r="P85" s="13">
        <f t="shared" si="87"/>
        <v>1.875932222832213E-12</v>
      </c>
      <c r="Q85" s="20">
        <f t="shared" si="54"/>
        <v>3.4911917965477528E-12</v>
      </c>
      <c r="R85" s="59">
        <f t="shared" si="55"/>
        <v>271.5060916319905</v>
      </c>
      <c r="S85" s="59">
        <f ca="1">AVERAGE(OFFSET($R$3,0,0,'Données projet'!$E$9+1,1))-AVERAGE(OFFSET($H$3,0,0,'Données projet'!$E$9+1,1))</f>
        <v>268.34407723697916</v>
      </c>
      <c r="T85" s="59">
        <f t="shared" si="88"/>
        <v>382.70172470802061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5.3567618322043806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5.3567618322043806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1.4210854715202004E-13</v>
      </c>
      <c r="O86" s="13">
        <f>N86*VLOOKUP('Données projet'!$B$9,Paramètres!$A$1:$I$89,3,0)*VLOOKUP('Données projet'!$B$9,Paramètres!$A$1:$I$89,5,0)</f>
        <v>1.2857981346314773E-13</v>
      </c>
      <c r="P86" s="13">
        <f t="shared" si="87"/>
        <v>1.875932222832213E-12</v>
      </c>
      <c r="Q86" s="20">
        <f t="shared" si="54"/>
        <v>3.4911917965477528E-12</v>
      </c>
      <c r="R86" s="59">
        <f t="shared" si="55"/>
        <v>271.88474547710695</v>
      </c>
      <c r="S86" s="59">
        <f ca="1">AVERAGE(OFFSET($R$3,0,0,'Données projet'!$E$9+1,1))-AVERAGE(OFFSET($H$3,0,0,'Données projet'!$E$9+1,1))</f>
        <v>268.34407723697916</v>
      </c>
      <c r="T86" s="59">
        <f t="shared" si="88"/>
        <v>382.70172470802061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5.2517189999769514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5.2517189999769514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1.4210854715202004E-13</v>
      </c>
      <c r="O87" s="13">
        <f>N87*VLOOKUP('Données projet'!$B$9,Paramètres!$A$1:$I$89,3,0)*VLOOKUP('Données projet'!$B$9,Paramètres!$A$1:$I$89,5,0)</f>
        <v>1.2857981346314773E-13</v>
      </c>
      <c r="P87" s="13">
        <f t="shared" si="87"/>
        <v>1.875932222832213E-12</v>
      </c>
      <c r="Q87" s="20">
        <f t="shared" si="54"/>
        <v>3.4911917965477528E-12</v>
      </c>
      <c r="R87" s="59">
        <f t="shared" si="55"/>
        <v>272.25683052455378</v>
      </c>
      <c r="S87" s="59">
        <f ca="1">AVERAGE(OFFSET($R$3,0,0,'Données projet'!$E$9+1,1))-AVERAGE(OFFSET($H$3,0,0,'Données projet'!$E$9+1,1))</f>
        <v>268.34407723697916</v>
      </c>
      <c r="T87" s="59">
        <f t="shared" si="88"/>
        <v>382.70172470802061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5.1487359936197006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5.1487359936197006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1.4210854715202004E-13</v>
      </c>
      <c r="O88" s="13">
        <f>N88*VLOOKUP('Données projet'!$B$9,Paramètres!$A$1:$I$89,3,0)*VLOOKUP('Données projet'!$B$9,Paramètres!$A$1:$I$89,5,0)</f>
        <v>1.2857981346314773E-13</v>
      </c>
      <c r="P88" s="13">
        <f t="shared" si="87"/>
        <v>1.875932222832213E-12</v>
      </c>
      <c r="Q88" s="20">
        <f t="shared" si="54"/>
        <v>3.4911917965477528E-12</v>
      </c>
      <c r="R88" s="59">
        <f t="shared" si="55"/>
        <v>272.62246072828498</v>
      </c>
      <c r="S88" s="59">
        <f ca="1">AVERAGE(OFFSET($R$3,0,0,'Données projet'!$E$9+1,1))-AVERAGE(OFFSET($H$3,0,0,'Données projet'!$E$9+1,1))</f>
        <v>268.34407723697916</v>
      </c>
      <c r="T88" s="59">
        <f t="shared" si="88"/>
        <v>382.70172470802061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5.0477724212036836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5.0477724212036836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1.4210854715202004E-13</v>
      </c>
      <c r="O89" s="13">
        <f>N89*VLOOKUP('Données projet'!$B$9,Paramètres!$A$1:$I$89,3,0)*VLOOKUP('Données projet'!$B$9,Paramètres!$A$1:$I$89,5,0)</f>
        <v>1.2857981346314773E-13</v>
      </c>
      <c r="P89" s="13">
        <f t="shared" si="87"/>
        <v>1.875932222832213E-12</v>
      </c>
      <c r="Q89" s="20">
        <f t="shared" si="54"/>
        <v>3.4911917965477528E-12</v>
      </c>
      <c r="R89" s="59">
        <f t="shared" si="55"/>
        <v>272.98174806540817</v>
      </c>
      <c r="S89" s="59">
        <f ca="1">AVERAGE(OFFSET($R$3,0,0,'Données projet'!$E$9+1,1))-AVERAGE(OFFSET($H$3,0,0,'Données projet'!$E$9+1,1))</f>
        <v>268.34407723697916</v>
      </c>
      <c r="T89" s="59">
        <f t="shared" si="88"/>
        <v>382.70172470802061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4.9487886828610463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4.9487886828610463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1.4210854715202004E-13</v>
      </c>
      <c r="O90" s="13">
        <f>N90*VLOOKUP('Données projet'!$B$9,Paramètres!$A$1:$I$89,3,0)*VLOOKUP('Données projet'!$B$9,Paramètres!$A$1:$I$89,5,0)</f>
        <v>1.2857981346314773E-13</v>
      </c>
      <c r="P90" s="13">
        <f t="shared" si="87"/>
        <v>1.875932222832213E-12</v>
      </c>
      <c r="Q90" s="20">
        <f t="shared" si="54"/>
        <v>3.4911917965477528E-12</v>
      </c>
      <c r="R90" s="59">
        <f t="shared" si="55"/>
        <v>273.3348025704783</v>
      </c>
      <c r="S90" s="59">
        <f ca="1">AVERAGE(OFFSET($R$3,0,0,'Données projet'!$E$9+1,1))-AVERAGE(OFFSET($H$3,0,0,'Données projet'!$E$9+1,1))</f>
        <v>268.34407723697916</v>
      </c>
      <c r="T90" s="59">
        <f t="shared" si="88"/>
        <v>382.70172470802061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4.8517459552531896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4.8517459552531896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1.4210854715202004E-13</v>
      </c>
      <c r="O91" s="13">
        <f>N91*VLOOKUP('Données projet'!$B$9,Paramètres!$A$1:$I$89,3,0)*VLOOKUP('Données projet'!$B$9,Paramètres!$A$1:$I$89,5,0)</f>
        <v>1.2857981346314773E-13</v>
      </c>
      <c r="P91" s="13">
        <f t="shared" si="87"/>
        <v>1.875932222832213E-12</v>
      </c>
      <c r="Q91" s="20">
        <f t="shared" si="54"/>
        <v>3.4911917965477528E-12</v>
      </c>
      <c r="R91" s="59">
        <f t="shared" si="55"/>
        <v>273.68173236919716</v>
      </c>
      <c r="S91" s="59">
        <f ca="1">AVERAGE(OFFSET($R$3,0,0,'Données projet'!$E$9+1,1))-AVERAGE(OFFSET($H$3,0,0,'Données projet'!$E$9+1,1))</f>
        <v>268.34407723697916</v>
      </c>
      <c r="T91" s="59">
        <f t="shared" si="88"/>
        <v>382.70172470802061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4.756606176343503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4.756606176343503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1.4210854715202004E-13</v>
      </c>
      <c r="O92" s="13">
        <f>N92*VLOOKUP('Données projet'!$B$9,Paramètres!$A$1:$I$89,3,0)*VLOOKUP('Données projet'!$B$9,Paramètres!$A$1:$I$89,5,0)</f>
        <v>1.2857981346314773E-13</v>
      </c>
      <c r="P92" s="13">
        <f t="shared" si="87"/>
        <v>1.875932222832213E-12</v>
      </c>
      <c r="Q92" s="20">
        <f t="shared" si="54"/>
        <v>3.4911917965477528E-12</v>
      </c>
      <c r="R92" s="59">
        <f t="shared" si="55"/>
        <v>274.02264371152705</v>
      </c>
      <c r="S92" s="59">
        <f ca="1">AVERAGE(OFFSET($R$3,0,0,'Données projet'!$E$9+1,1))-AVERAGE(OFFSET($H$3,0,0,'Données projet'!$E$9+1,1))</f>
        <v>268.34407723697916</v>
      </c>
      <c r="T92" s="59">
        <f t="shared" si="88"/>
        <v>382.70172470802061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4.6633320304687009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4.6633320304687009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1.4210854715202004E-13</v>
      </c>
      <c r="O93" s="13">
        <f>N93*VLOOKUP('Données projet'!$B$9,Paramètres!$A$1:$I$89,3,0)*VLOOKUP('Données projet'!$B$9,Paramètres!$A$1:$I$89,5,0)</f>
        <v>1.2857981346314773E-13</v>
      </c>
      <c r="P93" s="13">
        <f t="shared" si="87"/>
        <v>1.875932222832213E-12</v>
      </c>
      <c r="Q93" s="20">
        <f t="shared" si="54"/>
        <v>3.4911917965477528E-12</v>
      </c>
      <c r="R93" s="59">
        <f t="shared" si="55"/>
        <v>274.35764100423114</v>
      </c>
      <c r="S93" s="59">
        <f ca="1">AVERAGE(OFFSET($R$3,0,0,'Données projet'!$E$9+1,1))-AVERAGE(OFFSET($H$3,0,0,'Données projet'!$E$9+1,1))</f>
        <v>268.34407723697916</v>
      </c>
      <c r="T93" s="59">
        <f t="shared" si="88"/>
        <v>382.70172470802061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4.571886933702892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4.571886933702892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1.4210854715202004E-13</v>
      </c>
      <c r="O94" s="13">
        <f>N94*VLOOKUP('Données projet'!$B$9,Paramètres!$A$1:$I$89,3,0)*VLOOKUP('Données projet'!$B$9,Paramètres!$A$1:$I$89,5,0)</f>
        <v>1.2857981346314773E-13</v>
      </c>
      <c r="P94" s="13">
        <f t="shared" si="87"/>
        <v>1.875932222832213E-12</v>
      </c>
      <c r="Q94" s="20">
        <f t="shared" si="54"/>
        <v>3.4911917965477528E-12</v>
      </c>
      <c r="R94" s="59">
        <f t="shared" si="55"/>
        <v>274.68682684284852</v>
      </c>
      <c r="S94" s="59">
        <f ca="1">AVERAGE(OFFSET($R$3,0,0,'Données projet'!$E$9+1,1))-AVERAGE(OFFSET($H$3,0,0,'Données projet'!$E$9+1,1))</f>
        <v>268.34407723697916</v>
      </c>
      <c r="T94" s="59">
        <f t="shared" si="88"/>
        <v>382.70172470802061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4.4822350195086589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4.4822350195086589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1.4210854715202004E-13</v>
      </c>
      <c r="O95" s="13">
        <f>N95*VLOOKUP('Données projet'!$B$9,Paramètres!$A$1:$I$89,3,0)*VLOOKUP('Données projet'!$B$9,Paramètres!$A$1:$I$89,5,0)</f>
        <v>1.2857981346314773E-13</v>
      </c>
      <c r="P95" s="13">
        <f t="shared" si="87"/>
        <v>1.875932222832213E-12</v>
      </c>
      <c r="Q95" s="20">
        <f t="shared" si="54"/>
        <v>3.4911917965477528E-12</v>
      </c>
      <c r="R95" s="59">
        <f t="shared" si="55"/>
        <v>275.01030204311519</v>
      </c>
      <c r="S95" s="59">
        <f ca="1">AVERAGE(OFFSET($R$3,0,0,'Données projet'!$E$9+1,1))-AVERAGE(OFFSET($H$3,0,0,'Données projet'!$E$9+1,1))</f>
        <v>268.34407723697916</v>
      </c>
      <c r="T95" s="59">
        <f t="shared" si="88"/>
        <v>382.70172470802061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4.3943411246695065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4.3943411246695065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1.4210854715202004E-13</v>
      </c>
      <c r="O96" s="13">
        <f>N96*VLOOKUP('Données projet'!$B$9,Paramètres!$A$1:$I$89,3,0)*VLOOKUP('Données projet'!$B$9,Paramètres!$A$1:$I$89,5,0)</f>
        <v>1.2857981346314773E-13</v>
      </c>
      <c r="P96" s="13">
        <f t="shared" si="87"/>
        <v>1.875932222832213E-12</v>
      </c>
      <c r="Q96" s="20">
        <f t="shared" si="54"/>
        <v>3.4911917965477528E-12</v>
      </c>
      <c r="R96" s="59">
        <f t="shared" si="55"/>
        <v>275.32816567183943</v>
      </c>
      <c r="S96" s="59">
        <f ca="1">AVERAGE(OFFSET($R$3,0,0,'Données projet'!$E$9+1,1))-AVERAGE(OFFSET($H$3,0,0,'Données projet'!$E$9+1,1))</f>
        <v>268.34407723697916</v>
      </c>
      <c r="T96" s="59">
        <f t="shared" si="88"/>
        <v>382.70172470802061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4.3081707754981675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4.3081707754981675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1.4210854715202004E-13</v>
      </c>
      <c r="O97" s="13">
        <f>N97*VLOOKUP('Données projet'!$B$9,Paramètres!$A$1:$I$89,3,0)*VLOOKUP('Données projet'!$B$9,Paramètres!$A$1:$I$89,5,0)</f>
        <v>1.2857981346314773E-13</v>
      </c>
      <c r="P97" s="13">
        <f t="shared" si="87"/>
        <v>1.875932222832213E-12</v>
      </c>
      <c r="Q97" s="20">
        <f t="shared" si="54"/>
        <v>3.4911917965477528E-12</v>
      </c>
      <c r="R97" s="59">
        <f t="shared" si="55"/>
        <v>275.64051507724196</v>
      </c>
      <c r="S97" s="59">
        <f ca="1">AVERAGE(OFFSET($R$3,0,0,'Données projet'!$E$9+1,1))-AVERAGE(OFFSET($H$3,0,0,'Données projet'!$E$9+1,1))</f>
        <v>268.34407723697916</v>
      </c>
      <c r="T97" s="59">
        <f t="shared" si="88"/>
        <v>382.70172470802061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4.2236901743153554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4.2236901743153554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1.4210854715202004E-13</v>
      </c>
      <c r="O98" s="13">
        <f>N98*VLOOKUP('Données projet'!$B$9,Paramètres!$A$1:$I$89,3,0)*VLOOKUP('Données projet'!$B$9,Paramètres!$A$1:$I$89,5,0)</f>
        <v>1.2857981346314773E-13</v>
      </c>
      <c r="P98" s="13">
        <f t="shared" si="87"/>
        <v>1.875932222832213E-12</v>
      </c>
      <c r="Q98" s="20">
        <f t="shared" si="54"/>
        <v>3.4911917965477528E-12</v>
      </c>
      <c r="R98" s="59">
        <f t="shared" si="55"/>
        <v>275.9474459187694</v>
      </c>
      <c r="S98" s="59">
        <f ca="1">AVERAGE(OFFSET($R$3,0,0,'Données projet'!$E$9+1,1))-AVERAGE(OFFSET($H$3,0,0,'Données projet'!$E$9+1,1))</f>
        <v>268.34407723697916</v>
      </c>
      <c r="T98" s="59">
        <f t="shared" si="88"/>
        <v>382.70172470802061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4.1408661861936595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4.1408661861936595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1.4210854715202004E-13</v>
      </c>
      <c r="O99" s="13">
        <f>N99*VLOOKUP('Données projet'!$B$9,Paramètres!$A$1:$I$89,3,0)*VLOOKUP('Données projet'!$B$9,Paramètres!$A$1:$I$89,5,0)</f>
        <v>1.2857981346314773E-13</v>
      </c>
      <c r="P99" s="13">
        <f t="shared" si="87"/>
        <v>1.875932222832213E-12</v>
      </c>
      <c r="Q99" s="20">
        <f t="shared" ref="Q99:Q130" si="107">(O99+P99)*0.475*44/12</f>
        <v>3.4911917965477528E-12</v>
      </c>
      <c r="R99" s="59">
        <f t="shared" si="55"/>
        <v>276.24905219639089</v>
      </c>
      <c r="S99" s="59">
        <f ca="1">AVERAGE(OFFSET($R$3,0,0,'Données projet'!$E$9+1,1))-AVERAGE(OFFSET($H$3,0,0,'Données projet'!$E$9+1,1))</f>
        <v>268.34407723697916</v>
      </c>
      <c r="T99" s="59">
        <f t="shared" si="88"/>
        <v>382.70172470802061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4.059666325961385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4.059666325961385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1.4210854715202004E-13</v>
      </c>
      <c r="O100" s="13">
        <f>N100*VLOOKUP('Données projet'!$B$9,Paramètres!$A$1:$I$89,3,0)*VLOOKUP('Données projet'!$B$9,Paramètres!$A$1:$I$89,5,0)</f>
        <v>1.2857981346314773E-13</v>
      </c>
      <c r="P100" s="13">
        <f t="shared" si="87"/>
        <v>1.875932222832213E-12</v>
      </c>
      <c r="Q100" s="20">
        <f t="shared" si="107"/>
        <v>3.4911917965477528E-12</v>
      </c>
      <c r="R100" s="59">
        <f t="shared" si="55"/>
        <v>276.54542627938628</v>
      </c>
      <c r="S100" s="59">
        <f ca="1">AVERAGE(OFFSET($R$3,0,0,'Données projet'!$E$9+1,1))-AVERAGE(OFFSET($H$3,0,0,'Données projet'!$E$9+1,1))</f>
        <v>268.34407723697916</v>
      </c>
      <c r="T100" s="59">
        <f t="shared" si="88"/>
        <v>382.70172470802061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3.9800587454612413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3.9800587454612413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1.4210854715202004E-13</v>
      </c>
      <c r="O101" s="13">
        <f>N101*VLOOKUP('Données projet'!$B$9,Paramètres!$A$1:$I$89,3,0)*VLOOKUP('Données projet'!$B$9,Paramètres!$A$1:$I$89,5,0)</f>
        <v>1.2857981346314773E-13</v>
      </c>
      <c r="P101" s="13">
        <f t="shared" si="87"/>
        <v>1.875932222832213E-12</v>
      </c>
      <c r="Q101" s="20">
        <f t="shared" si="107"/>
        <v>3.4911917965477528E-12</v>
      </c>
      <c r="R101" s="59">
        <f t="shared" si="55"/>
        <v>276.83665893463484</v>
      </c>
      <c r="S101" s="59">
        <f ca="1">AVERAGE(OFFSET($R$3,0,0,'Données projet'!$E$9+1,1))-AVERAGE(OFFSET($H$3,0,0,'Données projet'!$E$9+1,1))</f>
        <v>268.34407723697916</v>
      </c>
      <c r="T101" s="59">
        <f t="shared" si="88"/>
        <v>382.70172470802061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3.9020122210588757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3.9020122210588757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1.4210854715202004E-13</v>
      </c>
      <c r="O102" s="13">
        <f>N102*VLOOKUP('Données projet'!$B$9,Paramètres!$A$1:$I$89,3,0)*VLOOKUP('Données projet'!$B$9,Paramètres!$A$1:$I$89,5,0)</f>
        <v>1.2857981346314773E-13</v>
      </c>
      <c r="P102" s="13">
        <f t="shared" si="87"/>
        <v>1.875932222832213E-12</v>
      </c>
      <c r="Q102" s="20">
        <f t="shared" si="107"/>
        <v>3.4911917965477528E-12</v>
      </c>
      <c r="R102" s="59">
        <f t="shared" si="55"/>
        <v>277.1228393544136</v>
      </c>
      <c r="S102" s="59">
        <f ca="1">AVERAGE(OFFSET($R$3,0,0,'Données projet'!$E$9+1,1))-AVERAGE(OFFSET($H$3,0,0,'Données projet'!$E$9+1,1))</f>
        <v>268.34407723697916</v>
      </c>
      <c r="T102" s="59">
        <f t="shared" si="88"/>
        <v>382.70172470802061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3.8254961413963611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3.8254961413963611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1.4210854715202004E-13</v>
      </c>
      <c r="O103" s="13">
        <f>N103*VLOOKUP('Données projet'!$B$9,Paramètres!$A$1:$I$89,3,0)*VLOOKUP('Données projet'!$B$9,Paramètres!$A$1:$I$89,5,0)</f>
        <v>1.2857981346314773E-13</v>
      </c>
      <c r="P103" s="13">
        <f t="shared" si="87"/>
        <v>1.875932222832213E-12</v>
      </c>
      <c r="Q103" s="20">
        <f t="shared" si="107"/>
        <v>3.4911917965477528E-12</v>
      </c>
      <c r="R103" s="59">
        <f t="shared" si="55"/>
        <v>277.40405518371267</v>
      </c>
      <c r="S103" s="59">
        <f ca="1">AVERAGE(OFFSET($R$3,0,0,'Données projet'!$E$9+1,1))-AVERAGE(OFFSET($H$3,0,0,'Données projet'!$E$9+1,1))</f>
        <v>268.34407723697916</v>
      </c>
      <c r="T103" s="59">
        <f t="shared" si="88"/>
        <v>382.70172470802061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3.7504804953858284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3.7504804953858284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1.4210854715202004E-13</v>
      </c>
      <c r="O104" s="13">
        <f>N104*VLOOKUP('Données projet'!$B$9,Paramètres!$A$1:$I$89,3,0)*VLOOKUP('Données projet'!$B$9,Paramètres!$A$1:$I$89,5,0)</f>
        <v>1.2857981346314773E-13</v>
      </c>
      <c r="P104" s="13">
        <f t="shared" si="87"/>
        <v>1.875932222832213E-12</v>
      </c>
      <c r="Q104" s="20">
        <f t="shared" si="107"/>
        <v>3.4911917965477528E-12</v>
      </c>
      <c r="R104" s="59">
        <f t="shared" si="55"/>
        <v>277.68039254707787</v>
      </c>
      <c r="S104" s="59">
        <f ca="1">AVERAGE(OFFSET($R$3,0,0,'Données projet'!$E$9+1,1))-AVERAGE(OFFSET($H$3,0,0,'Données projet'!$E$9+1,1))</f>
        <v>268.34407723697916</v>
      </c>
      <c r="T104" s="59">
        <f t="shared" si="88"/>
        <v>382.70172470802061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3.6769358604385358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3.6769358604385358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1.4210854715202004E-13</v>
      </c>
      <c r="O105" s="13">
        <f>N105*VLOOKUP('Données projet'!$B$9,Paramètres!$A$1:$I$89,3,0)*VLOOKUP('Données projet'!$B$9,Paramètres!$A$1:$I$89,5,0)</f>
        <v>1.2857981346314773E-13</v>
      </c>
      <c r="P105" s="13">
        <f t="shared" si="87"/>
        <v>1.875932222832213E-12</v>
      </c>
      <c r="Q105" s="20">
        <f t="shared" si="107"/>
        <v>3.4911917965477528E-12</v>
      </c>
      <c r="R105" s="59">
        <f t="shared" si="55"/>
        <v>277.95193607498641</v>
      </c>
      <c r="S105" s="59">
        <f ca="1">AVERAGE(OFFSET($R$3,0,0,'Données projet'!$E$9+1,1))-AVERAGE(OFFSET($H$3,0,0,'Données projet'!$E$9+1,1))</f>
        <v>268.34407723697916</v>
      </c>
      <c r="T105" s="59">
        <f t="shared" si="88"/>
        <v>382.70172470802061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3.6048333909247616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3.6048333909247616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1.4210854715202004E-13</v>
      </c>
      <c r="O106" s="13">
        <f>N106*VLOOKUP('Données projet'!$B$9,Paramètres!$A$1:$I$89,3,0)*VLOOKUP('Données projet'!$B$9,Paramètres!$A$1:$I$89,5,0)</f>
        <v>1.2857981346314773E-13</v>
      </c>
      <c r="P106" s="13">
        <f t="shared" si="87"/>
        <v>1.875932222832213E-12</v>
      </c>
      <c r="Q106" s="20">
        <f t="shared" si="107"/>
        <v>3.4911917965477528E-12</v>
      </c>
      <c r="R106" s="59">
        <f t="shared" si="55"/>
        <v>278.21876892976616</v>
      </c>
      <c r="S106" s="59">
        <f ca="1">AVERAGE(OFFSET($R$3,0,0,'Données projet'!$E$9+1,1))-AVERAGE(OFFSET($H$3,0,0,'Données projet'!$E$9+1,1))</f>
        <v>268.34407723697916</v>
      </c>
      <c r="T106" s="59">
        <f t="shared" si="88"/>
        <v>382.70172470802061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3.534144806859989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3.534144806859989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1.4210854715202004E-13</v>
      </c>
      <c r="O107" s="13">
        <f>N107*VLOOKUP('Données projet'!$B$9,Paramètres!$A$1:$I$89,3,0)*VLOOKUP('Données projet'!$B$9,Paramètres!$A$1:$I$89,5,0)</f>
        <v>1.2857981346314773E-13</v>
      </c>
      <c r="P107" s="13">
        <f t="shared" si="87"/>
        <v>1.875932222832213E-12</v>
      </c>
      <c r="Q107" s="20">
        <f t="shared" si="107"/>
        <v>3.4911917965477528E-12</v>
      </c>
      <c r="R107" s="59">
        <f t="shared" si="55"/>
        <v>278.48097283106438</v>
      </c>
      <c r="S107" s="59">
        <f ca="1">AVERAGE(OFFSET($R$3,0,0,'Données projet'!$E$9+1,1))-AVERAGE(OFFSET($H$3,0,0,'Données projet'!$E$9+1,1))</f>
        <v>268.34407723697916</v>
      </c>
      <c r="T107" s="59">
        <f t="shared" si="88"/>
        <v>382.70172470802061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3.4648423828129475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3.4648423828129475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1.4210854715202004E-13</v>
      </c>
      <c r="O108" s="13">
        <f>N108*VLOOKUP('Données projet'!$B$9,Paramètres!$A$1:$I$89,3,0)*VLOOKUP('Données projet'!$B$9,Paramètres!$A$1:$I$89,5,0)</f>
        <v>1.2857981346314773E-13</v>
      </c>
      <c r="P108" s="13">
        <f t="shared" si="87"/>
        <v>1.875932222832213E-12</v>
      </c>
      <c r="Q108" s="20">
        <f t="shared" si="107"/>
        <v>3.4911917965477528E-12</v>
      </c>
      <c r="R108" s="59">
        <f t="shared" si="55"/>
        <v>278.73862808087523</v>
      </c>
      <c r="S108" s="59">
        <f ca="1">AVERAGE(OFFSET($R$3,0,0,'Données projet'!$E$9+1,1))-AVERAGE(OFFSET($H$3,0,0,'Données projet'!$E$9+1,1))</f>
        <v>268.34407723697916</v>
      </c>
      <c r="T108" s="59">
        <f t="shared" si="88"/>
        <v>382.70172470802061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3.3968989370311635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3.3968989370311635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1.4210854715202004E-13</v>
      </c>
      <c r="O109" s="13">
        <f>N109*VLOOKUP('Données projet'!$B$9,Paramètres!$A$1:$I$89,3,0)*VLOOKUP('Données projet'!$B$9,Paramètres!$A$1:$I$89,5,0)</f>
        <v>1.2857981346314773E-13</v>
      </c>
      <c r="P109" s="13">
        <f t="shared" si="87"/>
        <v>1.875932222832213E-12</v>
      </c>
      <c r="Q109" s="20">
        <f t="shared" si="107"/>
        <v>3.4911917965477528E-12</v>
      </c>
      <c r="R109" s="59">
        <f t="shared" si="55"/>
        <v>278.99181358813257</v>
      </c>
      <c r="S109" s="59">
        <f ca="1">AVERAGE(OFFSET($R$3,0,0,'Données projet'!$E$9+1,1))-AVERAGE(OFFSET($H$3,0,0,'Données projet'!$E$9+1,1))</f>
        <v>268.34407723697916</v>
      </c>
      <c r="T109" s="59">
        <f t="shared" si="88"/>
        <v>382.70172470802061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3.3302878207797506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3.3302878207797506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1.4210854715202004E-13</v>
      </c>
      <c r="O110" s="13">
        <f>N110*VLOOKUP('Données projet'!$B$9,Paramètres!$A$1:$I$89,3,0)*VLOOKUP('Données projet'!$B$9,Paramètres!$A$1:$I$89,5,0)</f>
        <v>1.2857981346314773E-13</v>
      </c>
      <c r="P110" s="13">
        <f t="shared" si="87"/>
        <v>1.875932222832213E-12</v>
      </c>
      <c r="Q110" s="20">
        <f t="shared" si="107"/>
        <v>3.4911917965477528E-12</v>
      </c>
      <c r="R110" s="59">
        <f t="shared" si="55"/>
        <v>279.24060689287711</v>
      </c>
      <c r="S110" s="59">
        <f ca="1">AVERAGE(OFFSET($R$3,0,0,'Données projet'!$E$9+1,1))-AVERAGE(OFFSET($H$3,0,0,'Données projet'!$E$9+1,1))</f>
        <v>268.34407723697916</v>
      </c>
      <c r="T110" s="59">
        <f t="shared" si="88"/>
        <v>382.70172470802061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3.2649829078892587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3.2649829078892587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1.4210854715202004E-13</v>
      </c>
      <c r="O111" s="13">
        <f>N111*VLOOKUP('Données projet'!$B$9,Paramètres!$A$1:$I$89,3,0)*VLOOKUP('Données projet'!$B$9,Paramètres!$A$1:$I$89,5,0)</f>
        <v>1.2857981346314773E-13</v>
      </c>
      <c r="P111" s="13">
        <f t="shared" si="87"/>
        <v>1.875932222832213E-12</v>
      </c>
      <c r="Q111" s="20">
        <f t="shared" si="107"/>
        <v>3.4911917965477528E-12</v>
      </c>
      <c r="R111" s="59">
        <f t="shared" si="55"/>
        <v>279.48508419000279</v>
      </c>
      <c r="S111" s="59">
        <f ca="1">AVERAGE(OFFSET($R$3,0,0,'Données projet'!$E$9+1,1))-AVERAGE(OFFSET($H$3,0,0,'Données projet'!$E$9+1,1))</f>
        <v>268.34407723697916</v>
      </c>
      <c r="T111" s="59">
        <f t="shared" si="88"/>
        <v>382.70172470802061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3.2009585845084856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3.2009585845084856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1.4210854715202004E-13</v>
      </c>
      <c r="O112" s="13">
        <f>N112*VLOOKUP('Données projet'!$B$9,Paramètres!$A$1:$I$89,3,0)*VLOOKUP('Données projet'!$B$9,Paramètres!$A$1:$I$89,5,0)</f>
        <v>1.2857981346314773E-13</v>
      </c>
      <c r="P112" s="13">
        <f t="shared" si="87"/>
        <v>1.875932222832213E-12</v>
      </c>
      <c r="Q112" s="20">
        <f t="shared" si="107"/>
        <v>3.4911917965477528E-12</v>
      </c>
      <c r="R112" s="59">
        <f t="shared" si="55"/>
        <v>279.72532035259275</v>
      </c>
      <c r="S112" s="59">
        <f ca="1">AVERAGE(OFFSET($R$3,0,0,'Données projet'!$E$9+1,1))-AVERAGE(OFFSET($H$3,0,0,'Données projet'!$E$9+1,1))</f>
        <v>268.34407723697916</v>
      </c>
      <c r="T112" s="59">
        <f t="shared" si="88"/>
        <v>382.70172470802061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3.1381897390582281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3.1381897390582281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1.4210854715202004E-13</v>
      </c>
      <c r="O113" s="13">
        <f>N113*VLOOKUP('Données projet'!$B$9,Paramètres!$A$1:$I$89,3,0)*VLOOKUP('Données projet'!$B$9,Paramètres!$A$1:$I$89,5,0)</f>
        <v>1.2857981346314773E-13</v>
      </c>
      <c r="P113" s="13">
        <f t="shared" si="87"/>
        <v>1.875932222832213E-12</v>
      </c>
      <c r="Q113" s="20">
        <f t="shared" si="107"/>
        <v>3.4911917965477528E-12</v>
      </c>
      <c r="R113" s="59">
        <f t="shared" si="55"/>
        <v>279.96138895484933</v>
      </c>
      <c r="S113" s="59">
        <f ca="1">AVERAGE(OFFSET($R$3,0,0,'Données projet'!$E$9+1,1))-AVERAGE(OFFSET($H$3,0,0,'Données projet'!$E$9+1,1))</f>
        <v>268.34407723697916</v>
      </c>
      <c r="T113" s="59">
        <f t="shared" si="88"/>
        <v>382.70172470802061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3.0766517523820345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3.0766517523820345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1.4210854715202004E-13</v>
      </c>
      <c r="O114" s="13">
        <f>N114*VLOOKUP('Données projet'!$B$9,Paramètres!$A$1:$I$89,3,0)*VLOOKUP('Données projet'!$B$9,Paramètres!$A$1:$I$89,5,0)</f>
        <v>1.2857981346314773E-13</v>
      </c>
      <c r="P114" s="13">
        <f t="shared" si="87"/>
        <v>1.875932222832213E-12</v>
      </c>
      <c r="Q114" s="20">
        <f t="shared" si="107"/>
        <v>3.4911917965477528E-12</v>
      </c>
      <c r="R114" s="59">
        <f t="shared" si="55"/>
        <v>280.19336229462704</v>
      </c>
      <c r="S114" s="59">
        <f ca="1">AVERAGE(OFFSET($R$3,0,0,'Données projet'!$E$9+1,1))-AVERAGE(OFFSET($H$3,0,0,'Données projet'!$E$9+1,1))</f>
        <v>268.34407723697916</v>
      </c>
      <c r="T114" s="59">
        <f t="shared" si="88"/>
        <v>382.70172470802061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3.0163204880900958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3.0163204880900958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1.4210854715202004E-13</v>
      </c>
      <c r="O115" s="13">
        <f>N115*VLOOKUP('Données projet'!$B$9,Paramètres!$A$1:$I$89,3,0)*VLOOKUP('Données projet'!$B$9,Paramètres!$A$1:$I$89,5,0)</f>
        <v>1.2857981346314773E-13</v>
      </c>
      <c r="P115" s="13">
        <f t="shared" si="87"/>
        <v>1.875932222832213E-12</v>
      </c>
      <c r="Q115" s="20">
        <f t="shared" si="107"/>
        <v>3.4911917965477528E-12</v>
      </c>
      <c r="R115" s="59">
        <f t="shared" si="55"/>
        <v>280.42131141557434</v>
      </c>
      <c r="S115" s="59">
        <f ca="1">AVERAGE(OFFSET($R$3,0,0,'Données projet'!$E$9+1,1))-AVERAGE(OFFSET($H$3,0,0,'Données projet'!$E$9+1,1))</f>
        <v>268.34407723697916</v>
      </c>
      <c r="T115" s="59">
        <f t="shared" si="88"/>
        <v>382.70172470802061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2.957172283092484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2.957172283092484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1.4210854715202004E-13</v>
      </c>
      <c r="O116" s="13">
        <f>N116*VLOOKUP('Données projet'!$B$9,Paramètres!$A$1:$I$89,3,0)*VLOOKUP('Données projet'!$B$9,Paramètres!$A$1:$I$89,5,0)</f>
        <v>1.2857981346314773E-13</v>
      </c>
      <c r="P116" s="13">
        <f t="shared" si="87"/>
        <v>1.875932222832213E-12</v>
      </c>
      <c r="Q116" s="20">
        <f t="shared" si="107"/>
        <v>3.4911917965477528E-12</v>
      </c>
      <c r="R116" s="59">
        <f t="shared" si="55"/>
        <v>280.64530612889109</v>
      </c>
      <c r="S116" s="59">
        <f ca="1">AVERAGE(OFFSET($R$3,0,0,'Données projet'!$E$9+1,1))-AVERAGE(OFFSET($H$3,0,0,'Données projet'!$E$9+1,1))</f>
        <v>268.34407723697916</v>
      </c>
      <c r="T116" s="59">
        <f t="shared" si="88"/>
        <v>382.70172470802061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2.8991839383180329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2.8991839383180329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1.4210854715202004E-13</v>
      </c>
      <c r="O117" s="13">
        <f>N117*VLOOKUP('Données projet'!$B$9,Paramètres!$A$1:$I$89,3,0)*VLOOKUP('Données projet'!$B$9,Paramètres!$A$1:$I$89,5,0)</f>
        <v>1.2857981346314773E-13</v>
      </c>
      <c r="P117" s="13">
        <f t="shared" si="87"/>
        <v>1.875932222832213E-12</v>
      </c>
      <c r="Q117" s="20">
        <f t="shared" si="107"/>
        <v>3.4911917965477528E-12</v>
      </c>
      <c r="R117" s="59">
        <f t="shared" si="55"/>
        <v>280.86541503470892</v>
      </c>
      <c r="S117" s="59">
        <f ca="1">AVERAGE(OFFSET($R$3,0,0,'Données projet'!$E$9+1,1))-AVERAGE(OFFSET($H$3,0,0,'Données projet'!$E$9+1,1))</f>
        <v>268.34407723697916</v>
      </c>
      <c r="T117" s="59">
        <f t="shared" si="88"/>
        <v>382.70172470802061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2.8423327096152109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2.8423327096152109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1.4210854715202004E-13</v>
      </c>
      <c r="O118" s="13">
        <f>N118*VLOOKUP('Données projet'!$B$9,Paramètres!$A$1:$I$89,3,0)*VLOOKUP('Données projet'!$B$9,Paramètres!$A$1:$I$89,5,0)</f>
        <v>1.2857981346314773E-13</v>
      </c>
      <c r="P118" s="13">
        <f t="shared" si="87"/>
        <v>1.875932222832213E-12</v>
      </c>
      <c r="Q118" s="20">
        <f t="shared" si="107"/>
        <v>3.4911917965477528E-12</v>
      </c>
      <c r="R118" s="59">
        <f t="shared" si="55"/>
        <v>281.08170554310072</v>
      </c>
      <c r="S118" s="59">
        <f ca="1">AVERAGE(OFFSET($R$3,0,0,'Données projet'!$E$9+1,1))-AVERAGE(OFFSET($H$3,0,0,'Données projet'!$E$9+1,1))</f>
        <v>268.34407723697916</v>
      </c>
      <c r="T118" s="59">
        <f t="shared" si="88"/>
        <v>382.70172470802061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2.7865962988314257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2.7865962988314257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1.4210854715202004E-13</v>
      </c>
      <c r="O119" s="13">
        <f>N119*VLOOKUP('Données projet'!$B$9,Paramètres!$A$1:$I$89,3,0)*VLOOKUP('Données projet'!$B$9,Paramètres!$A$1:$I$89,5,0)</f>
        <v>1.2857981346314773E-13</v>
      </c>
      <c r="P119" s="13">
        <f t="shared" si="87"/>
        <v>1.875932222832213E-12</v>
      </c>
      <c r="Q119" s="20">
        <f t="shared" si="107"/>
        <v>3.4911917965477528E-12</v>
      </c>
      <c r="R119" s="59">
        <f t="shared" si="55"/>
        <v>281.29424389472496</v>
      </c>
      <c r="S119" s="59">
        <f ca="1">AVERAGE(OFFSET($R$3,0,0,'Données projet'!$E$9+1,1))-AVERAGE(OFFSET($H$3,0,0,'Données projet'!$E$9+1,1))</f>
        <v>268.34407723697916</v>
      </c>
      <c r="T119" s="59">
        <f t="shared" si="88"/>
        <v>382.70172470802061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2.7319528450672568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2.7319528450672568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1.4210854715202004E-13</v>
      </c>
      <c r="O120" s="13">
        <f>N120*VLOOKUP('Données projet'!$B$9,Paramètres!$A$1:$I$89,3,0)*VLOOKUP('Données projet'!$B$9,Paramètres!$A$1:$I$89,5,0)</f>
        <v>1.2857981346314773E-13</v>
      </c>
      <c r="P120" s="13">
        <f t="shared" si="87"/>
        <v>1.875932222832213E-12</v>
      </c>
      <c r="Q120" s="20">
        <f t="shared" si="107"/>
        <v>3.4911917965477528E-12</v>
      </c>
      <c r="R120" s="59">
        <f t="shared" si="55"/>
        <v>281.50309518111311</v>
      </c>
      <c r="S120" s="59">
        <f ca="1">AVERAGE(OFFSET($R$3,0,0,'Données projet'!$E$9+1,1))-AVERAGE(OFFSET($H$3,0,0,'Données projet'!$E$9+1,1))</f>
        <v>268.34407723697916</v>
      </c>
      <c r="T120" s="59">
        <f t="shared" si="88"/>
        <v>382.70172470802061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2.6783809161021872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2.6783809161021872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1.4210854715202004E-13</v>
      </c>
      <c r="O121" s="13">
        <f>N121*VLOOKUP('Données projet'!$B$9,Paramètres!$A$1:$I$89,3,0)*VLOOKUP('Données projet'!$B$9,Paramètres!$A$1:$I$89,5,0)</f>
        <v>1.2857981346314773E-13</v>
      </c>
      <c r="P121" s="13">
        <f t="shared" si="87"/>
        <v>1.875932222832213E-12</v>
      </c>
      <c r="Q121" s="20">
        <f t="shared" si="107"/>
        <v>3.4911917965477528E-12</v>
      </c>
      <c r="R121" s="59">
        <f t="shared" si="55"/>
        <v>281.70832336460387</v>
      </c>
      <c r="S121" s="59">
        <f ca="1">AVERAGE(OFFSET($R$3,0,0,'Données projet'!$E$9+1,1))-AVERAGE(OFFSET($H$3,0,0,'Données projet'!$E$9+1,1))</f>
        <v>268.34407723697916</v>
      </c>
      <c r="T121" s="59">
        <f t="shared" si="88"/>
        <v>382.70172470802061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2.6258594999884726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2.6258594999884726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1.4210854715202004E-13</v>
      </c>
      <c r="O122" s="13">
        <f>N122*VLOOKUP('Données projet'!$B$9,Paramètres!$A$1:$I$89,3,0)*VLOOKUP('Données projet'!$B$9,Paramètres!$A$1:$I$89,5,0)</f>
        <v>1.2857981346314773E-13</v>
      </c>
      <c r="P122" s="13">
        <f t="shared" si="87"/>
        <v>1.875932222832213E-12</v>
      </c>
      <c r="Q122" s="20">
        <f t="shared" si="107"/>
        <v>3.4911917965477528E-12</v>
      </c>
      <c r="R122" s="59">
        <f t="shared" si="55"/>
        <v>281.90999129793261</v>
      </c>
      <c r="S122" s="59">
        <f ca="1">AVERAGE(OFFSET($R$3,0,0,'Données projet'!$E$9+1,1))-AVERAGE(OFFSET($H$3,0,0,'Données projet'!$E$9+1,1))</f>
        <v>268.34407723697916</v>
      </c>
      <c r="T122" s="59">
        <f t="shared" si="88"/>
        <v>382.70172470802061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2.5743679968098472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2.5743679968098472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1.4210854715202004E-13</v>
      </c>
      <c r="O123" s="13">
        <f>N123*VLOOKUP('Données projet'!$B$9,Paramètres!$A$1:$I$89,3,0)*VLOOKUP('Données projet'!$B$9,Paramètres!$A$1:$I$89,5,0)</f>
        <v>1.2857981346314773E-13</v>
      </c>
      <c r="P123" s="13">
        <f t="shared" si="87"/>
        <v>1.875932222832213E-12</v>
      </c>
      <c r="Q123" s="20">
        <f t="shared" si="107"/>
        <v>3.4911917965477528E-12</v>
      </c>
      <c r="R123" s="59">
        <f t="shared" si="55"/>
        <v>282.10816074348008</v>
      </c>
      <c r="S123" s="59">
        <f ca="1">AVERAGE(OFFSET($R$3,0,0,'Données projet'!$E$9+1,1))-AVERAGE(OFFSET($H$3,0,0,'Données projet'!$E$9+1,1))</f>
        <v>268.34407723697916</v>
      </c>
      <c r="T123" s="59">
        <f t="shared" si="88"/>
        <v>382.70172470802061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2.5238862106018387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2.5238862106018387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1.4210854715202004E-13</v>
      </c>
      <c r="O124" s="13">
        <f>N124*VLOOKUP('Données projet'!$B$9,Paramètres!$A$1:$I$89,3,0)*VLOOKUP('Données projet'!$B$9,Paramètres!$A$1:$I$89,5,0)</f>
        <v>1.2857981346314773E-13</v>
      </c>
      <c r="P124" s="13">
        <f t="shared" si="87"/>
        <v>1.875932222832213E-12</v>
      </c>
      <c r="Q124" s="20">
        <f t="shared" si="107"/>
        <v>3.4911917965477528E-12</v>
      </c>
      <c r="R124" s="59">
        <f t="shared" si="55"/>
        <v>282.30289239218786</v>
      </c>
      <c r="S124" s="59">
        <f ca="1">AVERAGE(OFFSET($R$3,0,0,'Données projet'!$E$9+1,1))-AVERAGE(OFFSET($H$3,0,0,'Données projet'!$E$9+1,1))</f>
        <v>268.34407723697916</v>
      </c>
      <c r="T124" s="59">
        <f t="shared" si="88"/>
        <v>382.70172470802061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2.4743943414305201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2.4743943414305201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1.4210854715202004E-13</v>
      </c>
      <c r="O125" s="13">
        <f>N125*VLOOKUP('Données projet'!$B$9,Paramètres!$A$1:$I$89,3,0)*VLOOKUP('Données projet'!$B$9,Paramètres!$A$1:$I$89,5,0)</f>
        <v>1.2857981346314773E-13</v>
      </c>
      <c r="P125" s="13">
        <f t="shared" si="87"/>
        <v>1.875932222832213E-12</v>
      </c>
      <c r="Q125" s="20">
        <f t="shared" si="107"/>
        <v>3.4911917965477528E-12</v>
      </c>
      <c r="R125" s="59">
        <f t="shared" si="55"/>
        <v>282.49424588214526</v>
      </c>
      <c r="S125" s="59">
        <f ca="1">AVERAGE(OFFSET($R$3,0,0,'Données projet'!$E$9+1,1))-AVERAGE(OFFSET($H$3,0,0,'Données projet'!$E$9+1,1))</f>
        <v>268.34407723697916</v>
      </c>
      <c r="T125" s="59">
        <f t="shared" si="88"/>
        <v>382.70172470802061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2.4258729776265917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2.4258729776265917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1.4210854715202004E-13</v>
      </c>
      <c r="O126" s="13">
        <f>N126*VLOOKUP('Données projet'!$B$9,Paramètres!$A$1:$I$89,3,0)*VLOOKUP('Données projet'!$B$9,Paramètres!$A$1:$I$89,5,0)</f>
        <v>1.2857981346314773E-13</v>
      </c>
      <c r="P126" s="13">
        <f t="shared" si="87"/>
        <v>1.875932222832213E-12</v>
      </c>
      <c r="Q126" s="20">
        <f t="shared" si="107"/>
        <v>3.4911917965477528E-12</v>
      </c>
      <c r="R126" s="59">
        <f t="shared" si="55"/>
        <v>282.68227981685413</v>
      </c>
      <c r="S126" s="59">
        <f ca="1">AVERAGE(OFFSET($R$3,0,0,'Données projet'!$E$9+1,1))-AVERAGE(OFFSET($H$3,0,0,'Données projet'!$E$9+1,1))</f>
        <v>268.34407723697916</v>
      </c>
      <c r="T126" s="59">
        <f t="shared" si="88"/>
        <v>382.70172470802061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2.3783030881717488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2.3783030881717488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1.4210854715202004E-13</v>
      </c>
      <c r="O127" s="13">
        <f>N127*VLOOKUP('Données projet'!$B$9,Paramètres!$A$1:$I$89,3,0)*VLOOKUP('Données projet'!$B$9,Paramètres!$A$1:$I$89,5,0)</f>
        <v>1.2857981346314773E-13</v>
      </c>
      <c r="P127" s="13">
        <f t="shared" si="87"/>
        <v>1.875932222832213E-12</v>
      </c>
      <c r="Q127" s="20">
        <f t="shared" si="107"/>
        <v>3.4911917965477528E-12</v>
      </c>
      <c r="R127" s="59">
        <f t="shared" si="55"/>
        <v>282.86705178317681</v>
      </c>
      <c r="S127" s="59">
        <f ca="1">AVERAGE(OFFSET($R$3,0,0,'Données projet'!$E$9+1,1))-AVERAGE(OFFSET($H$3,0,0,'Données projet'!$E$9+1,1))</f>
        <v>268.34407723697916</v>
      </c>
      <c r="T127" s="59">
        <f t="shared" si="88"/>
        <v>382.70172470802061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2.3316660152343478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2.3316660152343478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1.4210854715202004E-13</v>
      </c>
      <c r="O128" s="13">
        <f>N128*VLOOKUP('Données projet'!$B$9,Paramètres!$A$1:$I$89,3,0)*VLOOKUP('Données projet'!$B$9,Paramètres!$A$1:$I$89,5,0)</f>
        <v>1.2857981346314773E-13</v>
      </c>
      <c r="P128" s="13">
        <f t="shared" si="87"/>
        <v>1.875932222832213E-12</v>
      </c>
      <c r="Q128" s="20">
        <f t="shared" si="107"/>
        <v>3.4911917965477528E-12</v>
      </c>
      <c r="R128" s="59">
        <f t="shared" si="55"/>
        <v>283.04861836897197</v>
      </c>
      <c r="S128" s="59">
        <f ca="1">AVERAGE(OFFSET($R$3,0,0,'Données projet'!$E$9+1,1))-AVERAGE(OFFSET($H$3,0,0,'Données projet'!$E$9+1,1))</f>
        <v>268.34407723697916</v>
      </c>
      <c r="T128" s="59">
        <f t="shared" si="88"/>
        <v>382.70172470802061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2.2859434668514433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2.2859434668514433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1.4210854715202004E-13</v>
      </c>
      <c r="O129" s="13">
        <f>N129*VLOOKUP('Données projet'!$B$9,Paramètres!$A$1:$I$89,3,0)*VLOOKUP('Données projet'!$B$9,Paramètres!$A$1:$I$89,5,0)</f>
        <v>1.2857981346314773E-13</v>
      </c>
      <c r="P129" s="13">
        <f t="shared" si="87"/>
        <v>1.875932222832213E-12</v>
      </c>
      <c r="Q129" s="20">
        <f t="shared" si="107"/>
        <v>3.4911917965477528E-12</v>
      </c>
      <c r="R129" s="59">
        <f t="shared" si="55"/>
        <v>283.22703518042567</v>
      </c>
      <c r="S129" s="59">
        <f ca="1">AVERAGE(OFFSET($R$3,0,0,'Données projet'!$E$9+1,1))-AVERAGE(OFFSET($H$3,0,0,'Données projet'!$E$9+1,1))</f>
        <v>268.34407723697916</v>
      </c>
      <c r="T129" s="59">
        <f t="shared" si="88"/>
        <v>382.70172470802061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2.2411175097543268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2.2411175097543268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1.4210854715202004E-13</v>
      </c>
      <c r="O130" s="13">
        <f>N130*VLOOKUP('Données projet'!$B$9,Paramètres!$A$1:$I$89,3,0)*VLOOKUP('Données projet'!$B$9,Paramètres!$A$1:$I$89,5,0)</f>
        <v>1.2857981346314773E-13</v>
      </c>
      <c r="P130" s="13">
        <f t="shared" si="87"/>
        <v>1.875932222832213E-12</v>
      </c>
      <c r="Q130" s="20">
        <f t="shared" si="107"/>
        <v>3.4911917965477528E-12</v>
      </c>
      <c r="R130" s="59">
        <f t="shared" si="55"/>
        <v>283.4023568590809</v>
      </c>
      <c r="S130" s="59">
        <f ca="1">AVERAGE(OFFSET($R$3,0,0,'Données projet'!$E$9+1,1))-AVERAGE(OFFSET($H$3,0,0,'Données projet'!$E$9+1,1))</f>
        <v>268.34407723697916</v>
      </c>
      <c r="T130" s="59">
        <f t="shared" si="88"/>
        <v>382.70172470802061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2.1971705623347506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2.1971705623347506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1.4210854715202004E-13</v>
      </c>
      <c r="O131" s="13">
        <f>N131*VLOOKUP('Données projet'!$B$9,Paramètres!$A$1:$I$89,3,0)*VLOOKUP('Données projet'!$B$9,Paramètres!$A$1:$I$89,5,0)</f>
        <v>1.2857981346314773E-13</v>
      </c>
      <c r="P131" s="13">
        <f t="shared" si="87"/>
        <v>1.875932222832213E-12</v>
      </c>
      <c r="Q131" s="20">
        <f t="shared" ref="Q131:Q153" si="108">(O131+P131)*0.475*44/12</f>
        <v>3.4911917965477528E-12</v>
      </c>
      <c r="R131" s="59">
        <f t="shared" ref="R131:R194" si="109">Q131+(I131+J131)*44/12</f>
        <v>283.574637098572</v>
      </c>
      <c r="S131" s="59">
        <f ca="1">AVERAGE(OFFSET($R$3,0,0,'Données projet'!$E$9+1,1))-AVERAGE(OFFSET($H$3,0,0,'Données projet'!$E$9+1,1))</f>
        <v>268.34407723697916</v>
      </c>
      <c r="T131" s="59">
        <f t="shared" si="88"/>
        <v>382.70172470802061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2.1540853877490811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2.1540853877490811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1.4210854715202004E-13</v>
      </c>
      <c r="O132" s="13">
        <f>N132*VLOOKUP('Données projet'!$B$9,Paramètres!$A$1:$I$89,3,0)*VLOOKUP('Données projet'!$B$9,Paramètres!$A$1:$I$89,5,0)</f>
        <v>1.2857981346314773E-13</v>
      </c>
      <c r="P132" s="13">
        <f t="shared" si="87"/>
        <v>1.875932222832213E-12</v>
      </c>
      <c r="Q132" s="20">
        <f t="shared" si="108"/>
        <v>3.4911917965477528E-12</v>
      </c>
      <c r="R132" s="59">
        <f t="shared" si="109"/>
        <v>283.74392866106882</v>
      </c>
      <c r="S132" s="59">
        <f ca="1">AVERAGE(OFFSET($R$3,0,0,'Données projet'!$E$9+1,1))-AVERAGE(OFFSET($H$3,0,0,'Données projet'!$E$9+1,1))</f>
        <v>268.34407723697916</v>
      </c>
      <c r="T132" s="59">
        <f t="shared" si="88"/>
        <v>382.70172470802061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2.111845087157675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2.111845087157675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1.4210854715202004E-13</v>
      </c>
      <c r="O133" s="13">
        <f>N133*VLOOKUP('Données projet'!$B$9,Paramètres!$A$1:$I$89,3,0)*VLOOKUP('Données projet'!$B$9,Paramètres!$A$1:$I$89,5,0)</f>
        <v>1.2857981346314773E-13</v>
      </c>
      <c r="P133" s="13">
        <f t="shared" ref="P133:P196" si="141">EXP(-1.0587+0.8836*LN(O133)+0.284)</f>
        <v>1.875932222832213E-12</v>
      </c>
      <c r="Q133" s="20">
        <f t="shared" si="108"/>
        <v>3.4911917965477528E-12</v>
      </c>
      <c r="R133" s="59">
        <f t="shared" si="109"/>
        <v>283.91028339343558</v>
      </c>
      <c r="S133" s="59">
        <f ca="1">AVERAGE(OFFSET($R$3,0,0,'Données projet'!$E$9+1,1))-AVERAGE(OFFSET($H$3,0,0,'Données projet'!$E$9+1,1))</f>
        <v>268.34407723697916</v>
      </c>
      <c r="T133" s="59">
        <f t="shared" ref="T133:T196" si="142">$T$3</f>
        <v>382.70172470802061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2.0704330930968271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2.0704330930968271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1.4210854715202004E-13</v>
      </c>
      <c r="O134" s="13">
        <f>N134*VLOOKUP('Données projet'!$B$9,Paramètres!$A$1:$I$89,3,0)*VLOOKUP('Données projet'!$B$9,Paramètres!$A$1:$I$89,5,0)</f>
        <v>1.2857981346314773E-13</v>
      </c>
      <c r="P134" s="13">
        <f t="shared" si="141"/>
        <v>1.875932222832213E-12</v>
      </c>
      <c r="Q134" s="20">
        <f t="shared" si="108"/>
        <v>3.4911917965477528E-12</v>
      </c>
      <c r="R134" s="59">
        <f t="shared" si="109"/>
        <v>284.0737522431092</v>
      </c>
      <c r="S134" s="59">
        <f ca="1">AVERAGE(OFFSET($R$3,0,0,'Données projet'!$E$9+1,1))-AVERAGE(OFFSET($H$3,0,0,'Données projet'!$E$9+1,1))</f>
        <v>268.34407723697916</v>
      </c>
      <c r="T134" s="59">
        <f t="shared" si="142"/>
        <v>382.70172470802061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2.0298331629806903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2.0298331629806903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1.4210854715202004E-13</v>
      </c>
      <c r="O135" s="13">
        <f>N135*VLOOKUP('Données projet'!$B$9,Paramètres!$A$1:$I$89,3,0)*VLOOKUP('Données projet'!$B$9,Paramètres!$A$1:$I$89,5,0)</f>
        <v>1.2857981346314773E-13</v>
      </c>
      <c r="P135" s="13">
        <f t="shared" si="141"/>
        <v>1.875932222832213E-12</v>
      </c>
      <c r="Q135" s="20">
        <f t="shared" si="108"/>
        <v>3.4911917965477528E-12</v>
      </c>
      <c r="R135" s="59">
        <f t="shared" si="109"/>
        <v>284.23438527370263</v>
      </c>
      <c r="S135" s="59">
        <f ca="1">AVERAGE(OFFSET($R$3,0,0,'Données projet'!$E$9+1,1))-AVERAGE(OFFSET($H$3,0,0,'Données projet'!$E$9+1,1))</f>
        <v>268.34407723697916</v>
      </c>
      <c r="T135" s="59">
        <f t="shared" si="142"/>
        <v>382.70172470802061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1.9900293727306184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1.9900293727306184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1.4210854715202004E-13</v>
      </c>
      <c r="O136" s="13">
        <f>N136*VLOOKUP('Données projet'!$B$9,Paramètres!$A$1:$I$89,3,0)*VLOOKUP('Données projet'!$B$9,Paramètres!$A$1:$I$89,5,0)</f>
        <v>1.2857981346314773E-13</v>
      </c>
      <c r="P136" s="13">
        <f t="shared" si="141"/>
        <v>1.875932222832213E-12</v>
      </c>
      <c r="Q136" s="20">
        <f t="shared" si="108"/>
        <v>3.4911917965477528E-12</v>
      </c>
      <c r="R136" s="59">
        <f t="shared" si="109"/>
        <v>284.39223168033686</v>
      </c>
      <c r="S136" s="59">
        <f ca="1">AVERAGE(OFFSET($R$3,0,0,'Données projet'!$E$9+1,1))-AVERAGE(OFFSET($H$3,0,0,'Données projet'!$E$9+1,1))</f>
        <v>268.34407723697916</v>
      </c>
      <c r="T136" s="59">
        <f t="shared" si="142"/>
        <v>382.70172470802061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1.9510061105294358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1.9510061105294358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1.4210854715202004E-13</v>
      </c>
      <c r="O137" s="13">
        <f>N137*VLOOKUP('Données projet'!$B$9,Paramètres!$A$1:$I$89,3,0)*VLOOKUP('Données projet'!$B$9,Paramètres!$A$1:$I$89,5,0)</f>
        <v>1.2857981346314773E-13</v>
      </c>
      <c r="P137" s="13">
        <f t="shared" si="141"/>
        <v>1.875932222832213E-12</v>
      </c>
      <c r="Q137" s="20">
        <f t="shared" si="108"/>
        <v>3.4911917965477528E-12</v>
      </c>
      <c r="R137" s="59">
        <f t="shared" si="109"/>
        <v>284.54733980470775</v>
      </c>
      <c r="S137" s="59">
        <f ca="1">AVERAGE(OFFSET($R$3,0,0,'Données projet'!$E$9+1,1))-AVERAGE(OFFSET($H$3,0,0,'Données projet'!$E$9+1,1))</f>
        <v>268.34407723697916</v>
      </c>
      <c r="T137" s="59">
        <f t="shared" si="142"/>
        <v>382.70172470802061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1.9127480706981788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1.9127480706981788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1.4210854715202004E-13</v>
      </c>
      <c r="O138" s="13">
        <f>N138*VLOOKUP('Données projet'!$B$9,Paramètres!$A$1:$I$89,3,0)*VLOOKUP('Données projet'!$B$9,Paramètres!$A$1:$I$89,5,0)</f>
        <v>1.2857981346314773E-13</v>
      </c>
      <c r="P138" s="13">
        <f t="shared" si="141"/>
        <v>1.875932222832213E-12</v>
      </c>
      <c r="Q138" s="20">
        <f t="shared" si="108"/>
        <v>3.4911917965477528E-12</v>
      </c>
      <c r="R138" s="59">
        <f t="shared" si="109"/>
        <v>284.69975714989062</v>
      </c>
      <c r="S138" s="59">
        <f ca="1">AVERAGE(OFFSET($R$3,0,0,'Données projet'!$E$9+1,1))-AVERAGE(OFFSET($H$3,0,0,'Données projet'!$E$9+1,1))</f>
        <v>268.34407723697916</v>
      </c>
      <c r="T138" s="59">
        <f t="shared" si="142"/>
        <v>382.70172470802061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1.8752402476929124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1.8752402476929124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1.4210854715202004E-13</v>
      </c>
      <c r="O139" s="13">
        <f>N139*VLOOKUP('Données projet'!$B$9,Paramètres!$A$1:$I$89,3,0)*VLOOKUP('Données projet'!$B$9,Paramètres!$A$1:$I$89,5,0)</f>
        <v>1.2857981346314773E-13</v>
      </c>
      <c r="P139" s="13">
        <f t="shared" si="141"/>
        <v>1.875932222832213E-12</v>
      </c>
      <c r="Q139" s="20">
        <f t="shared" si="108"/>
        <v>3.4911917965477528E-12</v>
      </c>
      <c r="R139" s="59">
        <f t="shared" si="109"/>
        <v>284.84953039488869</v>
      </c>
      <c r="S139" s="59">
        <f ca="1">AVERAGE(OFFSET($R$3,0,0,'Données projet'!$E$9+1,1))-AVERAGE(OFFSET($H$3,0,0,'Données projet'!$E$9+1,1))</f>
        <v>268.34407723697916</v>
      </c>
      <c r="T139" s="59">
        <f t="shared" si="142"/>
        <v>382.70172470802061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1.8384679302192664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1.8384679302192664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1.4210854715202004E-13</v>
      </c>
      <c r="O140" s="13">
        <f>N140*VLOOKUP('Données projet'!$B$9,Paramètres!$A$1:$I$89,3,0)*VLOOKUP('Données projet'!$B$9,Paramètres!$A$1:$I$89,5,0)</f>
        <v>1.2857981346314773E-13</v>
      </c>
      <c r="P140" s="13">
        <f t="shared" si="141"/>
        <v>1.875932222832213E-12</v>
      </c>
      <c r="Q140" s="20">
        <f t="shared" si="108"/>
        <v>3.4911917965477528E-12</v>
      </c>
      <c r="R140" s="59">
        <f t="shared" si="109"/>
        <v>284.99670540892885</v>
      </c>
      <c r="S140" s="59">
        <f ca="1">AVERAGE(OFFSET($R$3,0,0,'Données projet'!$E$9+1,1))-AVERAGE(OFFSET($H$3,0,0,'Données projet'!$E$9+1,1))</f>
        <v>268.34407723697916</v>
      </c>
      <c r="T140" s="59">
        <f t="shared" si="142"/>
        <v>382.70172470802061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1.8024166954623795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1.8024166954623795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1.4210854715202004E-13</v>
      </c>
      <c r="O141" s="13">
        <f>N141*VLOOKUP('Données projet'!$B$9,Paramètres!$A$1:$I$89,3,0)*VLOOKUP('Données projet'!$B$9,Paramètres!$A$1:$I$89,5,0)</f>
        <v>1.2857981346314773E-13</v>
      </c>
      <c r="P141" s="13">
        <f t="shared" si="141"/>
        <v>1.875932222832213E-12</v>
      </c>
      <c r="Q141" s="20">
        <f t="shared" si="108"/>
        <v>3.4911917965477528E-12</v>
      </c>
      <c r="R141" s="59">
        <f t="shared" si="109"/>
        <v>285.1413272655094</v>
      </c>
      <c r="S141" s="59">
        <f ca="1">AVERAGE(OFFSET($R$3,0,0,'Données projet'!$E$9+1,1))-AVERAGE(OFFSET($H$3,0,0,'Données projet'!$E$9+1,1))</f>
        <v>268.34407723697916</v>
      </c>
      <c r="T141" s="59">
        <f t="shared" si="142"/>
        <v>382.70172470802061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1.7670724034299932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1.7670724034299932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1.4210854715202004E-13</v>
      </c>
      <c r="O142" s="13">
        <f>N142*VLOOKUP('Données projet'!$B$9,Paramètres!$A$1:$I$89,3,0)*VLOOKUP('Données projet'!$B$9,Paramètres!$A$1:$I$89,5,0)</f>
        <v>1.2857981346314773E-13</v>
      </c>
      <c r="P142" s="13">
        <f t="shared" si="141"/>
        <v>1.875932222832213E-12</v>
      </c>
      <c r="Q142" s="20">
        <f t="shared" si="108"/>
        <v>3.4911917965477528E-12</v>
      </c>
      <c r="R142" s="59">
        <f t="shared" si="109"/>
        <v>285.28344025620436</v>
      </c>
      <c r="S142" s="59">
        <f ca="1">AVERAGE(OFFSET($R$3,0,0,'Données projet'!$E$9+1,1))-AVERAGE(OFFSET($H$3,0,0,'Données projet'!$E$9+1,1))</f>
        <v>268.34407723697916</v>
      </c>
      <c r="T142" s="59">
        <f t="shared" si="142"/>
        <v>382.70172470802061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1.7324211914064724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1.7324211914064724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1.4210854715202004E-13</v>
      </c>
      <c r="O143" s="13">
        <f>N143*VLOOKUP('Données projet'!$B$9,Paramètres!$A$1:$I$89,3,0)*VLOOKUP('Données projet'!$B$9,Paramètres!$A$1:$I$89,5,0)</f>
        <v>1.2857981346314773E-13</v>
      </c>
      <c r="P143" s="13">
        <f t="shared" si="141"/>
        <v>1.875932222832213E-12</v>
      </c>
      <c r="Q143" s="20">
        <f t="shared" si="108"/>
        <v>3.4911917965477528E-12</v>
      </c>
      <c r="R143" s="59">
        <f t="shared" si="109"/>
        <v>285.42308790422783</v>
      </c>
      <c r="S143" s="59">
        <f ca="1">AVERAGE(OFFSET($R$3,0,0,'Données projet'!$E$9+1,1))-AVERAGE(OFFSET($H$3,0,0,'Données projet'!$E$9+1,1))</f>
        <v>268.34407723697916</v>
      </c>
      <c r="T143" s="59">
        <f t="shared" si="142"/>
        <v>382.70172470802061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1.6984494685155804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1.6984494685155804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1.4210854715202004E-13</v>
      </c>
      <c r="O144" s="13">
        <f>N144*VLOOKUP('Données projet'!$B$9,Paramètres!$A$1:$I$89,3,0)*VLOOKUP('Données projet'!$B$9,Paramètres!$A$1:$I$89,5,0)</f>
        <v>1.2857981346314773E-13</v>
      </c>
      <c r="P144" s="13">
        <f t="shared" si="141"/>
        <v>1.875932222832213E-12</v>
      </c>
      <c r="Q144" s="20">
        <f t="shared" si="108"/>
        <v>3.4911917965477528E-12</v>
      </c>
      <c r="R144" s="59">
        <f t="shared" si="109"/>
        <v>285.56031297776349</v>
      </c>
      <c r="S144" s="59">
        <f ca="1">AVERAGE(OFFSET($R$3,0,0,'Données projet'!$E$9+1,1))-AVERAGE(OFFSET($H$3,0,0,'Données projet'!$E$9+1,1))</f>
        <v>268.34407723697916</v>
      </c>
      <c r="T144" s="59">
        <f t="shared" si="142"/>
        <v>382.70172470802061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1.665143910389874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1.665143910389874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1.4210854715202004E-13</v>
      </c>
      <c r="O145" s="13">
        <f>N145*VLOOKUP('Données projet'!$B$9,Paramètres!$A$1:$I$89,3,0)*VLOOKUP('Données projet'!$B$9,Paramètres!$A$1:$I$89,5,0)</f>
        <v>1.2857981346314773E-13</v>
      </c>
      <c r="P145" s="13">
        <f t="shared" si="141"/>
        <v>1.875932222832213E-12</v>
      </c>
      <c r="Q145" s="20">
        <f t="shared" si="108"/>
        <v>3.4911917965477528E-12</v>
      </c>
      <c r="R145" s="59">
        <f t="shared" si="109"/>
        <v>285.69515750306255</v>
      </c>
      <c r="S145" s="59">
        <f ca="1">AVERAGE(OFFSET($R$3,0,0,'Données projet'!$E$9+1,1))-AVERAGE(OFFSET($H$3,0,0,'Données projet'!$E$9+1,1))</f>
        <v>268.34407723697916</v>
      </c>
      <c r="T145" s="59">
        <f t="shared" si="142"/>
        <v>382.70172470802061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1.632491453944628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1.632491453944628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1.4210854715202004E-13</v>
      </c>
      <c r="O146" s="13">
        <f>N146*VLOOKUP('Données projet'!$B$9,Paramètres!$A$1:$I$89,3,0)*VLOOKUP('Données projet'!$B$9,Paramètres!$A$1:$I$89,5,0)</f>
        <v>1.2857981346314773E-13</v>
      </c>
      <c r="P146" s="13">
        <f t="shared" si="141"/>
        <v>1.875932222832213E-12</v>
      </c>
      <c r="Q146" s="20">
        <f t="shared" si="108"/>
        <v>3.4911917965477528E-12</v>
      </c>
      <c r="R146" s="59">
        <f t="shared" si="109"/>
        <v>285.82766277731491</v>
      </c>
      <c r="S146" s="59">
        <f ca="1">AVERAGE(OFFSET($R$3,0,0,'Données projet'!$E$9+1,1))-AVERAGE(OFFSET($H$3,0,0,'Données projet'!$E$9+1,1))</f>
        <v>268.34407723697916</v>
      </c>
      <c r="T146" s="59">
        <f t="shared" si="142"/>
        <v>382.70172470802061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1.6004792922542415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1.6004792922542415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1.4210854715202004E-13</v>
      </c>
      <c r="O147" s="13">
        <f>N147*VLOOKUP('Données projet'!$B$9,Paramètres!$A$1:$I$89,3,0)*VLOOKUP('Données projet'!$B$9,Paramètres!$A$1:$I$89,5,0)</f>
        <v>1.2857981346314773E-13</v>
      </c>
      <c r="P147" s="13">
        <f t="shared" si="141"/>
        <v>1.875932222832213E-12</v>
      </c>
      <c r="Q147" s="20">
        <f t="shared" si="108"/>
        <v>3.4911917965477528E-12</v>
      </c>
      <c r="R147" s="59">
        <f t="shared" si="109"/>
        <v>285.95786938129635</v>
      </c>
      <c r="S147" s="59">
        <f ca="1">AVERAGE(OFFSET($R$3,0,0,'Données projet'!$E$9+1,1))-AVERAGE(OFFSET($H$3,0,0,'Données projet'!$E$9+1,1))</f>
        <v>268.34407723697916</v>
      </c>
      <c r="T147" s="59">
        <f t="shared" si="142"/>
        <v>382.70172470802061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1.5690948695291127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1.5690948695291127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1.4210854715202004E-13</v>
      </c>
      <c r="O148" s="13">
        <f>N148*VLOOKUP('Données projet'!$B$9,Paramètres!$A$1:$I$89,3,0)*VLOOKUP('Données projet'!$B$9,Paramètres!$A$1:$I$89,5,0)</f>
        <v>1.2857981346314773E-13</v>
      </c>
      <c r="P148" s="13">
        <f t="shared" si="141"/>
        <v>1.875932222832213E-12</v>
      </c>
      <c r="Q148" s="20">
        <f t="shared" si="108"/>
        <v>3.4911917965477528E-12</v>
      </c>
      <c r="R148" s="59">
        <f t="shared" si="109"/>
        <v>286.08581719179705</v>
      </c>
      <c r="S148" s="59">
        <f ca="1">AVERAGE(OFFSET($R$3,0,0,'Données projet'!$E$9+1,1))-AVERAGE(OFFSET($H$3,0,0,'Données projet'!$E$9+1,1))</f>
        <v>268.34407723697916</v>
      </c>
      <c r="T148" s="59">
        <f t="shared" si="142"/>
        <v>382.70172470802061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1.5383258761910161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1.5383258761910161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1.4210854715202004E-13</v>
      </c>
      <c r="O149" s="13">
        <f>N149*VLOOKUP('Données projet'!$B$9,Paramètres!$A$1:$I$89,3,0)*VLOOKUP('Données projet'!$B$9,Paramètres!$A$1:$I$89,5,0)</f>
        <v>1.2857981346314773E-13</v>
      </c>
      <c r="P149" s="13">
        <f t="shared" si="141"/>
        <v>1.875932222832213E-12</v>
      </c>
      <c r="Q149" s="20">
        <f t="shared" si="108"/>
        <v>3.4911917965477528E-12</v>
      </c>
      <c r="R149" s="59">
        <f t="shared" si="109"/>
        <v>286.21154539383411</v>
      </c>
      <c r="S149" s="59">
        <f ca="1">AVERAGE(OFFSET($R$3,0,0,'Données projet'!$E$9+1,1))-AVERAGE(OFFSET($H$3,0,0,'Données projet'!$E$9+1,1))</f>
        <v>268.34407723697916</v>
      </c>
      <c r="T149" s="59">
        <f t="shared" si="142"/>
        <v>382.70172470802061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1.5081602440450468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1.5081602440450468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1.4210854715202004E-13</v>
      </c>
      <c r="O150" s="13">
        <f>N150*VLOOKUP('Données projet'!$B$9,Paramètres!$A$1:$I$89,3,0)*VLOOKUP('Données projet'!$B$9,Paramètres!$A$1:$I$89,5,0)</f>
        <v>1.2857981346314773E-13</v>
      </c>
      <c r="P150" s="13">
        <f t="shared" si="141"/>
        <v>1.875932222832213E-12</v>
      </c>
      <c r="Q150" s="20">
        <f t="shared" si="108"/>
        <v>3.4911917965477528E-12</v>
      </c>
      <c r="R150" s="59">
        <f t="shared" si="109"/>
        <v>286.33509249265188</v>
      </c>
      <c r="S150" s="59">
        <f ca="1">AVERAGE(OFFSET($R$3,0,0,'Données projet'!$E$9+1,1))-AVERAGE(OFFSET($H$3,0,0,'Données projet'!$E$9+1,1))</f>
        <v>268.34407723697916</v>
      </c>
      <c r="T150" s="59">
        <f t="shared" si="142"/>
        <v>382.70172470802061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1.4785861415462409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1.4785861415462409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1.4210854715202004E-13</v>
      </c>
      <c r="O151" s="13">
        <f>N151*VLOOKUP('Données projet'!$B$9,Paramètres!$A$1:$I$89,3,0)*VLOOKUP('Données projet'!$B$9,Paramètres!$A$1:$I$89,5,0)</f>
        <v>1.2857981346314773E-13</v>
      </c>
      <c r="P151" s="13">
        <f t="shared" si="141"/>
        <v>1.875932222832213E-12</v>
      </c>
      <c r="Q151" s="20">
        <f t="shared" si="108"/>
        <v>3.4911917965477528E-12</v>
      </c>
      <c r="R151" s="59">
        <f t="shared" si="109"/>
        <v>286.45649632551516</v>
      </c>
      <c r="S151" s="59">
        <f ca="1">AVERAGE(OFFSET($R$3,0,0,'Données projet'!$E$9+1,1))-AVERAGE(OFFSET($H$3,0,0,'Données projet'!$E$9+1,1))</f>
        <v>268.34407723697916</v>
      </c>
      <c r="T151" s="59">
        <f t="shared" si="142"/>
        <v>382.70172470802061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1.4495919691590153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1.4495919691590153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1.4210854715202004E-13</v>
      </c>
      <c r="O152" s="13">
        <f>N152*VLOOKUP('Données projet'!$B$9,Paramètres!$A$1:$I$89,3,0)*VLOOKUP('Données projet'!$B$9,Paramètres!$A$1:$I$89,5,0)</f>
        <v>1.2857981346314773E-13</v>
      </c>
      <c r="P152" s="13">
        <f t="shared" si="141"/>
        <v>1.875932222832213E-12</v>
      </c>
      <c r="Q152" s="20">
        <f t="shared" si="108"/>
        <v>3.4911917965477528E-12</v>
      </c>
      <c r="R152" s="59">
        <f t="shared" si="109"/>
        <v>286.57579407329655</v>
      </c>
      <c r="S152" s="59">
        <f ca="1">AVERAGE(OFFSET($R$3,0,0,'Données projet'!$E$9+1,1))-AVERAGE(OFFSET($H$3,0,0,'Données projet'!$E$9+1,1))</f>
        <v>268.34407723697916</v>
      </c>
      <c r="T152" s="59">
        <f t="shared" si="142"/>
        <v>382.70172470802061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1.4211663548076043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1.4211663548076043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1.4210854715202004E-13</v>
      </c>
      <c r="O153" s="13">
        <f>N153*VLOOKUP('Données projet'!$B$9,Paramètres!$A$1:$I$89,3,0)*VLOOKUP('Données projet'!$B$9,Paramètres!$A$1:$I$89,5,0)</f>
        <v>1.2857981346314773E-13</v>
      </c>
      <c r="P153" s="13">
        <f t="shared" si="141"/>
        <v>1.875932222832213E-12</v>
      </c>
      <c r="Q153" s="20">
        <f t="shared" si="108"/>
        <v>3.4911917965477528E-12</v>
      </c>
      <c r="R153" s="59">
        <f t="shared" si="109"/>
        <v>286.69302227186381</v>
      </c>
      <c r="S153" s="59">
        <f ca="1">AVERAGE(OFFSET($R$3,0,0,'Données projet'!$E$9+1,1))-AVERAGE(OFFSET($H$3,0,0,'Données projet'!$E$9+1,1))</f>
        <v>268.34407723697916</v>
      </c>
      <c r="T153" s="59">
        <f t="shared" si="142"/>
        <v>382.70172470802061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1.3932981494157117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1.3932981494157117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1.4210854715202004E-13</v>
      </c>
      <c r="O154" s="13">
        <f>N154*VLOOKUP('Données projet'!$B$9,Paramètres!$A$1:$I$89,3,0)*VLOOKUP('Données projet'!$B$9,Paramètres!$A$1:$I$89,5,0)</f>
        <v>1.2857981346314773E-13</v>
      </c>
      <c r="P154" s="13">
        <f t="shared" si="141"/>
        <v>1.875932222832213E-12</v>
      </c>
      <c r="Q154" s="20">
        <f t="shared" ref="Q154:Q203" si="162">(O154+P154)*0.475*44/12</f>
        <v>3.4911917965477528E-12</v>
      </c>
      <c r="R154" s="59">
        <f t="shared" si="109"/>
        <v>286.80821682326882</v>
      </c>
      <c r="S154" s="59">
        <f ca="1">AVERAGE(OFFSET($R$3,0,0,'Données projet'!$E$9+1,1))-AVERAGE(OFFSET($H$3,0,0,'Données projet'!$E$9+1,1))</f>
        <v>268.34407723697916</v>
      </c>
      <c r="T154" s="59">
        <f t="shared" si="142"/>
        <v>382.70172470802061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1.3659764225336273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1.3659764225336273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1.4210854715202004E-13</v>
      </c>
      <c r="O155" s="13">
        <f>N155*VLOOKUP('Données projet'!$B$9,Paramètres!$A$1:$I$89,3,0)*VLOOKUP('Données projet'!$B$9,Paramètres!$A$1:$I$89,5,0)</f>
        <v>1.2857981346314773E-13</v>
      </c>
      <c r="P155" s="13">
        <f t="shared" si="141"/>
        <v>1.875932222832213E-12</v>
      </c>
      <c r="Q155" s="20">
        <f t="shared" si="162"/>
        <v>3.4911917965477528E-12</v>
      </c>
      <c r="R155" s="59">
        <f t="shared" si="109"/>
        <v>286.92141300674336</v>
      </c>
      <c r="S155" s="59">
        <f ca="1">AVERAGE(OFFSET($R$3,0,0,'Données projet'!$E$9+1,1))-AVERAGE(OFFSET($H$3,0,0,'Données projet'!$E$9+1,1))</f>
        <v>268.34407723697916</v>
      </c>
      <c r="T155" s="59">
        <f t="shared" si="142"/>
        <v>382.70172470802061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1.3391904580510925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1.3391904580510925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1.4210854715202004E-13</v>
      </c>
      <c r="O156" s="13">
        <f>N156*VLOOKUP('Données projet'!$B$9,Paramètres!$A$1:$I$89,3,0)*VLOOKUP('Données projet'!$B$9,Paramètres!$A$1:$I$89,5,0)</f>
        <v>1.2857981346314773E-13</v>
      </c>
      <c r="P156" s="13">
        <f t="shared" si="141"/>
        <v>1.875932222832213E-12</v>
      </c>
      <c r="Q156" s="20">
        <f t="shared" si="162"/>
        <v>3.4911917965477528E-12</v>
      </c>
      <c r="R156" s="59">
        <f t="shared" si="109"/>
        <v>287.03264548950347</v>
      </c>
      <c r="S156" s="59">
        <f ca="1">AVERAGE(OFFSET($R$3,0,0,'Données projet'!$E$9+1,1))-AVERAGE(OFFSET($H$3,0,0,'Données projet'!$E$9+1,1))</f>
        <v>268.34407723697916</v>
      </c>
      <c r="T156" s="59">
        <f t="shared" si="142"/>
        <v>382.70172470802061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1.3129297499942352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1.3129297499942352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1.4210854715202004E-13</v>
      </c>
      <c r="O157" s="13">
        <f>N157*VLOOKUP('Données projet'!$B$9,Paramètres!$A$1:$I$89,3,0)*VLOOKUP('Données projet'!$B$9,Paramètres!$A$1:$I$89,5,0)</f>
        <v>1.2857981346314773E-13</v>
      </c>
      <c r="P157" s="13">
        <f t="shared" si="141"/>
        <v>1.875932222832213E-12</v>
      </c>
      <c r="Q157" s="20">
        <f t="shared" si="162"/>
        <v>3.4911917965477528E-12</v>
      </c>
      <c r="R157" s="59">
        <f t="shared" si="109"/>
        <v>287.14194833736622</v>
      </c>
      <c r="S157" s="59">
        <f ca="1">AVERAGE(OFFSET($R$3,0,0,'Données projet'!$E$9+1,1))-AVERAGE(OFFSET($H$3,0,0,'Données projet'!$E$9+1,1))</f>
        <v>268.34407723697916</v>
      </c>
      <c r="T157" s="59">
        <f t="shared" si="142"/>
        <v>382.70172470802061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1.2871839984049225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1.2871839984049225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1.4210854715202004E-13</v>
      </c>
      <c r="O158" s="13">
        <f>N158*VLOOKUP('Données projet'!$B$9,Paramètres!$A$1:$I$89,3,0)*VLOOKUP('Données projet'!$B$9,Paramètres!$A$1:$I$89,5,0)</f>
        <v>1.2857981346314773E-13</v>
      </c>
      <c r="P158" s="13">
        <f t="shared" si="141"/>
        <v>1.875932222832213E-12</v>
      </c>
      <c r="Q158" s="20">
        <f t="shared" si="162"/>
        <v>3.4911917965477528E-12</v>
      </c>
      <c r="R158" s="59">
        <f t="shared" si="109"/>
        <v>287.24935502518315</v>
      </c>
      <c r="S158" s="59">
        <f ca="1">AVERAGE(OFFSET($R$3,0,0,'Données projet'!$E$9+1,1))-AVERAGE(OFFSET($H$3,0,0,'Données projet'!$E$9+1,1))</f>
        <v>268.34407723697916</v>
      </c>
      <c r="T158" s="59">
        <f t="shared" si="142"/>
        <v>382.70172470802061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1.2619431053009182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1.2619431053009182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1.4210854715202004E-13</v>
      </c>
      <c r="O159" s="13">
        <f>N159*VLOOKUP('Données projet'!$B$9,Paramètres!$A$1:$I$89,3,0)*VLOOKUP('Données projet'!$B$9,Paramètres!$A$1:$I$89,5,0)</f>
        <v>1.2857981346314773E-13</v>
      </c>
      <c r="P159" s="13">
        <f t="shared" si="141"/>
        <v>1.875932222832213E-12</v>
      </c>
      <c r="Q159" s="20">
        <f t="shared" si="162"/>
        <v>3.4911917965477528E-12</v>
      </c>
      <c r="R159" s="59">
        <f t="shared" si="109"/>
        <v>287.35489844709178</v>
      </c>
      <c r="S159" s="59">
        <f ca="1">AVERAGE(OFFSET($R$3,0,0,'Données projet'!$E$9+1,1))-AVERAGE(OFFSET($H$3,0,0,'Données projet'!$E$9+1,1))</f>
        <v>268.34407723697916</v>
      </c>
      <c r="T159" s="59">
        <f t="shared" si="142"/>
        <v>382.70172470802061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1.2371971707152589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1.2371971707152589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1.4210854715202004E-13</v>
      </c>
      <c r="O160" s="13">
        <f>N160*VLOOKUP('Données projet'!$B$9,Paramètres!$A$1:$I$89,3,0)*VLOOKUP('Données projet'!$B$9,Paramètres!$A$1:$I$89,5,0)</f>
        <v>1.2857981346314773E-13</v>
      </c>
      <c r="P160" s="13">
        <f t="shared" si="141"/>
        <v>1.875932222832213E-12</v>
      </c>
      <c r="Q160" s="20">
        <f t="shared" si="162"/>
        <v>3.4911917965477528E-12</v>
      </c>
      <c r="R160" s="59">
        <f t="shared" si="109"/>
        <v>287.45861092659004</v>
      </c>
      <c r="S160" s="59">
        <f ca="1">AVERAGE(OFFSET($R$3,0,0,'Données projet'!$E$9+1,1))-AVERAGE(OFFSET($H$3,0,0,'Données projet'!$E$9+1,1))</f>
        <v>268.34407723697916</v>
      </c>
      <c r="T160" s="59">
        <f t="shared" si="142"/>
        <v>382.70172470802061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1.2129364888132947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1.2129364888132947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1.4210854715202004E-13</v>
      </c>
      <c r="O161" s="13">
        <f>N161*VLOOKUP('Données projet'!$B$9,Paramètres!$A$1:$I$89,3,0)*VLOOKUP('Données projet'!$B$9,Paramètres!$A$1:$I$89,5,0)</f>
        <v>1.2857981346314773E-13</v>
      </c>
      <c r="P161" s="13">
        <f t="shared" si="141"/>
        <v>1.875932222832213E-12</v>
      </c>
      <c r="Q161" s="20">
        <f t="shared" si="162"/>
        <v>3.4911917965477528E-12</v>
      </c>
      <c r="R161" s="59">
        <f t="shared" si="109"/>
        <v>287.56052422643546</v>
      </c>
      <c r="S161" s="59">
        <f ca="1">AVERAGE(OFFSET($R$3,0,0,'Données projet'!$E$9+1,1))-AVERAGE(OFFSET($H$3,0,0,'Données projet'!$E$9+1,1))</f>
        <v>268.34407723697916</v>
      </c>
      <c r="T161" s="59">
        <f t="shared" si="142"/>
        <v>382.70172470802061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1.1891515440858733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1.1891515440858733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1.4210854715202004E-13</v>
      </c>
      <c r="O162" s="13">
        <f>N162*VLOOKUP('Données projet'!$B$9,Paramètres!$A$1:$I$89,3,0)*VLOOKUP('Données projet'!$B$9,Paramètres!$A$1:$I$89,5,0)</f>
        <v>1.2857981346314773E-13</v>
      </c>
      <c r="P162" s="13">
        <f t="shared" si="141"/>
        <v>1.875932222832213E-12</v>
      </c>
      <c r="Q162" s="20">
        <f t="shared" si="162"/>
        <v>3.4911917965477528E-12</v>
      </c>
      <c r="R162" s="59">
        <f t="shared" si="109"/>
        <v>287.66066955837243</v>
      </c>
      <c r="S162" s="59">
        <f ca="1">AVERAGE(OFFSET($R$3,0,0,'Données projet'!$E$9+1,1))-AVERAGE(OFFSET($H$3,0,0,'Données projet'!$E$9+1,1))</f>
        <v>268.34407723697916</v>
      </c>
      <c r="T162" s="59">
        <f t="shared" si="142"/>
        <v>382.70172470802061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1.1658330076171728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1.1658330076171728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1.4210854715202004E-13</v>
      </c>
      <c r="O163" s="13">
        <f>N163*VLOOKUP('Données projet'!$B$9,Paramètres!$A$1:$I$89,3,0)*VLOOKUP('Données projet'!$B$9,Paramètres!$A$1:$I$89,5,0)</f>
        <v>1.2857981346314773E-13</v>
      </c>
      <c r="P163" s="13">
        <f t="shared" si="141"/>
        <v>1.875932222832213E-12</v>
      </c>
      <c r="Q163" s="20">
        <f t="shared" si="162"/>
        <v>3.4911917965477528E-12</v>
      </c>
      <c r="R163" s="59">
        <f t="shared" si="109"/>
        <v>287.75907759269182</v>
      </c>
      <c r="S163" s="59">
        <f ca="1">AVERAGE(OFFSET($R$3,0,0,'Données projet'!$E$9+1,1))-AVERAGE(OFFSET($H$3,0,0,'Données projet'!$E$9+1,1))</f>
        <v>268.34407723697916</v>
      </c>
      <c r="T163" s="59">
        <f t="shared" si="142"/>
        <v>382.70172470802061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1.1429717334257206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1.1429717334257206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1.4210854715202004E-13</v>
      </c>
      <c r="O164" s="13">
        <f>N164*VLOOKUP('Données projet'!$B$9,Paramètres!$A$1:$I$89,3,0)*VLOOKUP('Données projet'!$B$9,Paramètres!$A$1:$I$89,5,0)</f>
        <v>1.2857981346314773E-13</v>
      </c>
      <c r="P164" s="13">
        <f t="shared" si="141"/>
        <v>1.875932222832213E-12</v>
      </c>
      <c r="Q164" s="20">
        <f t="shared" si="162"/>
        <v>3.4911917965477528E-12</v>
      </c>
      <c r="R164" s="59">
        <f t="shared" si="109"/>
        <v>287.85577846762317</v>
      </c>
      <c r="S164" s="59">
        <f ca="1">AVERAGE(OFFSET($R$3,0,0,'Données projet'!$E$9+1,1))-AVERAGE(OFFSET($H$3,0,0,'Données projet'!$E$9+1,1))</f>
        <v>268.34407723697916</v>
      </c>
      <c r="T164" s="59">
        <f t="shared" si="142"/>
        <v>382.70172470802061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1.1205587548771623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1.1205587548771623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1.4210854715202004E-13</v>
      </c>
      <c r="O165" s="13">
        <f>N165*VLOOKUP('Données projet'!$B$9,Paramètres!$A$1:$I$89,3,0)*VLOOKUP('Données projet'!$B$9,Paramètres!$A$1:$I$89,5,0)</f>
        <v>1.2857981346314773E-13</v>
      </c>
      <c r="P165" s="13">
        <f t="shared" si="141"/>
        <v>1.875932222832213E-12</v>
      </c>
      <c r="Q165" s="20">
        <f t="shared" si="162"/>
        <v>3.4911917965477528E-12</v>
      </c>
      <c r="R165" s="59">
        <f t="shared" si="109"/>
        <v>287.95080179856518</v>
      </c>
      <c r="S165" s="59">
        <f ca="1">AVERAGE(OFFSET($R$3,0,0,'Données projet'!$E$9+1,1))-AVERAGE(OFFSET($H$3,0,0,'Données projet'!$E$9+1,1))</f>
        <v>268.34407723697916</v>
      </c>
      <c r="T165" s="59">
        <f t="shared" si="142"/>
        <v>382.70172470802061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1.0985852811673742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1.0985852811673742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1.4210854715202004E-13</v>
      </c>
      <c r="O166" s="13">
        <f>N166*VLOOKUP('Données projet'!$B$9,Paramètres!$A$1:$I$89,3,0)*VLOOKUP('Données projet'!$B$9,Paramètres!$A$1:$I$89,5,0)</f>
        <v>1.2857981346314773E-13</v>
      </c>
      <c r="P166" s="13">
        <f t="shared" si="141"/>
        <v>1.875932222832213E-12</v>
      </c>
      <c r="Q166" s="20">
        <f t="shared" si="162"/>
        <v>3.4911917965477528E-12</v>
      </c>
      <c r="R166" s="59">
        <f t="shared" si="109"/>
        <v>288.0441766871557</v>
      </c>
      <c r="S166" s="59">
        <f ca="1">AVERAGE(OFFSET($R$3,0,0,'Données projet'!$E$9+1,1))-AVERAGE(OFFSET($H$3,0,0,'Données projet'!$E$9+1,1))</f>
        <v>268.34407723697916</v>
      </c>
      <c r="T166" s="59">
        <f t="shared" si="142"/>
        <v>382.70172470802061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1.0770426938745394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1.0770426938745394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1.4210854715202004E-13</v>
      </c>
      <c r="O167" s="13">
        <f>N167*VLOOKUP('Données projet'!$B$9,Paramètres!$A$1:$I$89,3,0)*VLOOKUP('Données projet'!$B$9,Paramètres!$A$1:$I$89,5,0)</f>
        <v>1.2857981346314773E-13</v>
      </c>
      <c r="P167" s="13">
        <f t="shared" si="141"/>
        <v>1.875932222832213E-12</v>
      </c>
      <c r="Q167" s="20">
        <f t="shared" si="162"/>
        <v>3.4911917965477528E-12</v>
      </c>
      <c r="R167" s="59">
        <f t="shared" si="109"/>
        <v>288.13593173018415</v>
      </c>
      <c r="S167" s="59">
        <f ca="1">AVERAGE(OFFSET($R$3,0,0,'Données projet'!$E$9+1,1))-AVERAGE(OFFSET($H$3,0,0,'Données projet'!$E$9+1,1))</f>
        <v>268.34407723697916</v>
      </c>
      <c r="T167" s="59">
        <f t="shared" si="142"/>
        <v>382.70172470802061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1.0559225435788364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1.0559225435788364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1.4210854715202004E-13</v>
      </c>
      <c r="O168" s="13">
        <f>N168*VLOOKUP('Données projet'!$B$9,Paramètres!$A$1:$I$89,3,0)*VLOOKUP('Données projet'!$B$9,Paramètres!$A$1:$I$89,5,0)</f>
        <v>1.2857981346314773E-13</v>
      </c>
      <c r="P168" s="13">
        <f t="shared" si="141"/>
        <v>1.875932222832213E-12</v>
      </c>
      <c r="Q168" s="20">
        <f t="shared" si="162"/>
        <v>3.4911917965477528E-12</v>
      </c>
      <c r="R168" s="59">
        <f t="shared" si="109"/>
        <v>288.22609502834962</v>
      </c>
      <c r="S168" s="59">
        <f ca="1">AVERAGE(OFFSET($R$3,0,0,'Données projet'!$E$9+1,1))-AVERAGE(OFFSET($H$3,0,0,'Données projet'!$E$9+1,1))</f>
        <v>268.34407723697916</v>
      </c>
      <c r="T168" s="59">
        <f t="shared" si="142"/>
        <v>382.70172470802061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1.0352165465484124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1.0352165465484124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1.4210854715202004E-13</v>
      </c>
      <c r="O169" s="13">
        <f>N169*VLOOKUP('Données projet'!$B$9,Paramètres!$A$1:$I$89,3,0)*VLOOKUP('Données projet'!$B$9,Paramètres!$A$1:$I$89,5,0)</f>
        <v>1.2857981346314773E-13</v>
      </c>
      <c r="P169" s="13">
        <f t="shared" si="141"/>
        <v>1.875932222832213E-12</v>
      </c>
      <c r="Q169" s="20">
        <f t="shared" si="162"/>
        <v>3.4911917965477528E-12</v>
      </c>
      <c r="R169" s="59">
        <f t="shared" si="109"/>
        <v>288.31469419486689</v>
      </c>
      <c r="S169" s="59">
        <f ca="1">AVERAGE(OFFSET($R$3,0,0,'Données projet'!$E$9+1,1))-AVERAGE(OFFSET($H$3,0,0,'Données projet'!$E$9+1,1))</f>
        <v>268.34407723697916</v>
      </c>
      <c r="T169" s="59">
        <f t="shared" si="142"/>
        <v>382.70172470802061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1.014916581490344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1.014916581490344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1.4210854715202004E-13</v>
      </c>
      <c r="O170" s="13">
        <f>N170*VLOOKUP('Données projet'!$B$9,Paramètres!$A$1:$I$89,3,0)*VLOOKUP('Données projet'!$B$9,Paramètres!$A$1:$I$89,5,0)</f>
        <v>1.2857981346314773E-13</v>
      </c>
      <c r="P170" s="13">
        <f t="shared" si="141"/>
        <v>1.875932222832213E-12</v>
      </c>
      <c r="Q170" s="20">
        <f t="shared" si="162"/>
        <v>3.4911917965477528E-12</v>
      </c>
      <c r="R170" s="59">
        <f t="shared" si="109"/>
        <v>288.40175636392308</v>
      </c>
      <c r="S170" s="59">
        <f ca="1">AVERAGE(OFFSET($R$3,0,0,'Données projet'!$E$9+1,1))-AVERAGE(OFFSET($H$3,0,0,'Données projet'!$E$9+1,1))</f>
        <v>268.34407723697916</v>
      </c>
      <c r="T170" s="59">
        <f t="shared" si="142"/>
        <v>382.70172470802061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0.99501468636530821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0.99501468636530821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1.4210854715202004E-13</v>
      </c>
      <c r="O171" s="13">
        <f>N171*VLOOKUP('Données projet'!$B$9,Paramètres!$A$1:$I$89,3,0)*VLOOKUP('Données projet'!$B$9,Paramètres!$A$1:$I$89,5,0)</f>
        <v>1.2857981346314773E-13</v>
      </c>
      <c r="P171" s="13">
        <f t="shared" si="141"/>
        <v>1.875932222832213E-12</v>
      </c>
      <c r="Q171" s="20">
        <f t="shared" si="162"/>
        <v>3.4911917965477528E-12</v>
      </c>
      <c r="R171" s="59">
        <f t="shared" si="109"/>
        <v>288.48730819898799</v>
      </c>
      <c r="S171" s="59">
        <f ca="1">AVERAGE(OFFSET($R$3,0,0,'Données projet'!$E$9+1,1))-AVERAGE(OFFSET($H$3,0,0,'Données projet'!$E$9+1,1))</f>
        <v>268.34407723697916</v>
      </c>
      <c r="T171" s="59">
        <f t="shared" si="142"/>
        <v>382.70172470802061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0.97550305526471692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0.97550305526471692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1.4210854715202004E-13</v>
      </c>
      <c r="O172" s="13">
        <f>N172*VLOOKUP('Données projet'!$B$9,Paramètres!$A$1:$I$89,3,0)*VLOOKUP('Données projet'!$B$9,Paramètres!$A$1:$I$89,5,0)</f>
        <v>1.2857981346314773E-13</v>
      </c>
      <c r="P172" s="13">
        <f t="shared" si="141"/>
        <v>1.875932222832213E-12</v>
      </c>
      <c r="Q172" s="20">
        <f t="shared" si="162"/>
        <v>3.4911917965477528E-12</v>
      </c>
      <c r="R172" s="59">
        <f t="shared" si="109"/>
        <v>288.57137590097989</v>
      </c>
      <c r="S172" s="59">
        <f ca="1">AVERAGE(OFFSET($R$3,0,0,'Données projet'!$E$9+1,1))-AVERAGE(OFFSET($H$3,0,0,'Données projet'!$E$9+1,1))</f>
        <v>268.34407723697916</v>
      </c>
      <c r="T172" s="59">
        <f t="shared" si="142"/>
        <v>382.70172470802061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0.95637403534908838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0.95637403534908838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1.4210854715202004E-13</v>
      </c>
      <c r="O173" s="13">
        <f>N173*VLOOKUP('Données projet'!$B$9,Paramètres!$A$1:$I$89,3,0)*VLOOKUP('Données projet'!$B$9,Paramètres!$A$1:$I$89,5,0)</f>
        <v>1.2857981346314773E-13</v>
      </c>
      <c r="P173" s="13">
        <f t="shared" si="141"/>
        <v>1.875932222832213E-12</v>
      </c>
      <c r="Q173" s="20">
        <f t="shared" si="162"/>
        <v>3.4911917965477528E-12</v>
      </c>
      <c r="R173" s="59">
        <f t="shared" si="109"/>
        <v>288.65398521628936</v>
      </c>
      <c r="S173" s="59">
        <f ca="1">AVERAGE(OFFSET($R$3,0,0,'Données projet'!$E$9+1,1))-AVERAGE(OFFSET($H$3,0,0,'Données projet'!$E$9+1,1))</f>
        <v>268.34407723697916</v>
      </c>
      <c r="T173" s="59">
        <f t="shared" si="142"/>
        <v>382.70172470802061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0.93762012384645521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0.93762012384645521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1.4210854715202004E-13</v>
      </c>
      <c r="O174" s="13">
        <f>N174*VLOOKUP('Données projet'!$B$9,Paramètres!$A$1:$I$89,3,0)*VLOOKUP('Données projet'!$B$9,Paramètres!$A$1:$I$89,5,0)</f>
        <v>1.2857981346314773E-13</v>
      </c>
      <c r="P174" s="13">
        <f t="shared" si="141"/>
        <v>1.875932222832213E-12</v>
      </c>
      <c r="Q174" s="20">
        <f t="shared" si="162"/>
        <v>3.4911917965477528E-12</v>
      </c>
      <c r="R174" s="59">
        <f t="shared" si="109"/>
        <v>288.73516144466498</v>
      </c>
      <c r="S174" s="59">
        <f ca="1">AVERAGE(OFFSET($R$3,0,0,'Données projet'!$E$9+1,1))-AVERAGE(OFFSET($H$3,0,0,'Données projet'!$E$9+1,1))</f>
        <v>268.34407723697916</v>
      </c>
      <c r="T174" s="59">
        <f t="shared" si="142"/>
        <v>382.70172470802061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0.91923396510963218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0.91923396510963218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1.4210854715202004E-13</v>
      </c>
      <c r="O175" s="13">
        <f>N175*VLOOKUP('Données projet'!$B$9,Paramètres!$A$1:$I$89,3,0)*VLOOKUP('Données projet'!$B$9,Paramètres!$A$1:$I$89,5,0)</f>
        <v>1.2857981346314773E-13</v>
      </c>
      <c r="P175" s="13">
        <f t="shared" si="141"/>
        <v>1.875932222832213E-12</v>
      </c>
      <c r="Q175" s="20">
        <f t="shared" si="162"/>
        <v>3.4911917965477528E-12</v>
      </c>
      <c r="R175" s="59">
        <f t="shared" si="109"/>
        <v>288.81492944696112</v>
      </c>
      <c r="S175" s="59">
        <f ca="1">AVERAGE(OFFSET($R$3,0,0,'Données projet'!$E$9+1,1))-AVERAGE(OFFSET($H$3,0,0,'Données projet'!$E$9+1,1))</f>
        <v>268.34407723697916</v>
      </c>
      <c r="T175" s="59">
        <f t="shared" si="142"/>
        <v>382.70172470802061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0.90120834773118874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0.90120834773118874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1.4210854715202004E-13</v>
      </c>
      <c r="O176" s="13">
        <f>N176*VLOOKUP('Données projet'!$B$9,Paramètres!$A$1:$I$89,3,0)*VLOOKUP('Données projet'!$B$9,Paramètres!$A$1:$I$89,5,0)</f>
        <v>1.2857981346314773E-13</v>
      </c>
      <c r="P176" s="13">
        <f t="shared" si="141"/>
        <v>1.875932222832213E-12</v>
      </c>
      <c r="Q176" s="20">
        <f t="shared" si="162"/>
        <v>3.4911917965477528E-12</v>
      </c>
      <c r="R176" s="59">
        <f t="shared" si="109"/>
        <v>288.89331365275194</v>
      </c>
      <c r="S176" s="59">
        <f ca="1">AVERAGE(OFFSET($R$3,0,0,'Données projet'!$E$9+1,1))-AVERAGE(OFFSET($H$3,0,0,'Données projet'!$E$9+1,1))</f>
        <v>268.34407723697916</v>
      </c>
      <c r="T176" s="59">
        <f t="shared" si="142"/>
        <v>382.70172470802061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0.88353620171499558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0.88353620171499558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1.4210854715202004E-13</v>
      </c>
      <c r="O177" s="13">
        <f>N177*VLOOKUP('Données projet'!$B$9,Paramètres!$A$1:$I$89,3,0)*VLOOKUP('Données projet'!$B$9,Paramètres!$A$1:$I$89,5,0)</f>
        <v>1.2857981346314773E-13</v>
      </c>
      <c r="P177" s="13">
        <f t="shared" si="141"/>
        <v>1.875932222832213E-12</v>
      </c>
      <c r="Q177" s="20">
        <f t="shared" si="162"/>
        <v>3.4911917965477528E-12</v>
      </c>
      <c r="R177" s="59">
        <f t="shared" si="109"/>
        <v>288.9703380678132</v>
      </c>
      <c r="S177" s="59">
        <f ca="1">AVERAGE(OFFSET($R$3,0,0,'Données projet'!$E$9+1,1))-AVERAGE(OFFSET($H$3,0,0,'Données projet'!$E$9+1,1))</f>
        <v>268.34407723697916</v>
      </c>
      <c r="T177" s="59">
        <f t="shared" si="142"/>
        <v>382.70172470802061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0.86621059570323522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0.86621059570323522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1.4210854715202004E-13</v>
      </c>
      <c r="O178" s="13">
        <f>N178*VLOOKUP('Données projet'!$B$9,Paramètres!$A$1:$I$89,3,0)*VLOOKUP('Données projet'!$B$9,Paramètres!$A$1:$I$89,5,0)</f>
        <v>1.2857981346314773E-13</v>
      </c>
      <c r="P178" s="13">
        <f t="shared" si="141"/>
        <v>1.875932222832213E-12</v>
      </c>
      <c r="Q178" s="20">
        <f t="shared" si="162"/>
        <v>3.4911917965477528E-12</v>
      </c>
      <c r="R178" s="59">
        <f t="shared" si="109"/>
        <v>289.04602628147387</v>
      </c>
      <c r="S178" s="59">
        <f ca="1">AVERAGE(OFFSET($R$3,0,0,'Données projet'!$E$9+1,1))-AVERAGE(OFFSET($H$3,0,0,'Données projet'!$E$9+1,1))</f>
        <v>268.34407723697916</v>
      </c>
      <c r="T178" s="59">
        <f t="shared" si="142"/>
        <v>382.70172470802061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0.84922473425778933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0.84922473425778933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1.4210854715202004E-13</v>
      </c>
      <c r="O179" s="13">
        <f>N179*VLOOKUP('Données projet'!$B$9,Paramètres!$A$1:$I$89,3,0)*VLOOKUP('Données projet'!$B$9,Paramètres!$A$1:$I$89,5,0)</f>
        <v>1.2857981346314773E-13</v>
      </c>
      <c r="P179" s="13">
        <f t="shared" si="141"/>
        <v>1.875932222832213E-12</v>
      </c>
      <c r="Q179" s="20">
        <f t="shared" si="162"/>
        <v>3.4911917965477528E-12</v>
      </c>
      <c r="R179" s="59">
        <f t="shared" si="109"/>
        <v>289.12040147384107</v>
      </c>
      <c r="S179" s="59">
        <f ca="1">AVERAGE(OFFSET($R$3,0,0,'Données projet'!$E$9+1,1))-AVERAGE(OFFSET($H$3,0,0,'Données projet'!$E$9+1,1))</f>
        <v>268.34407723697916</v>
      </c>
      <c r="T179" s="59">
        <f t="shared" si="142"/>
        <v>382.70172470802061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0.8325719551949361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0.8325719551949361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1.4210854715202004E-13</v>
      </c>
      <c r="O180" s="13">
        <f>N180*VLOOKUP('Données projet'!$B$9,Paramètres!$A$1:$I$89,3,0)*VLOOKUP('Données projet'!$B$9,Paramètres!$A$1:$I$89,5,0)</f>
        <v>1.2857981346314773E-13</v>
      </c>
      <c r="P180" s="13">
        <f t="shared" si="141"/>
        <v>1.875932222832213E-12</v>
      </c>
      <c r="Q180" s="20">
        <f t="shared" si="162"/>
        <v>3.4911917965477528E-12</v>
      </c>
      <c r="R180" s="59">
        <f t="shared" si="109"/>
        <v>289.19348642289873</v>
      </c>
      <c r="S180" s="59">
        <f ca="1">AVERAGE(OFFSET($R$3,0,0,'Données projet'!$E$9+1,1))-AVERAGE(OFFSET($H$3,0,0,'Données projet'!$E$9+1,1))</f>
        <v>268.34407723697916</v>
      </c>
      <c r="T180" s="59">
        <f t="shared" si="142"/>
        <v>382.70172470802061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0.81624572697231312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0.81624572697231312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1.4210854715202004E-13</v>
      </c>
      <c r="O181" s="13">
        <f>N181*VLOOKUP('Données projet'!$B$9,Paramètres!$A$1:$I$89,3,0)*VLOOKUP('Données projet'!$B$9,Paramètres!$A$1:$I$89,5,0)</f>
        <v>1.2857981346314773E-13</v>
      </c>
      <c r="P181" s="13">
        <f t="shared" si="141"/>
        <v>1.875932222832213E-12</v>
      </c>
      <c r="Q181" s="20">
        <f t="shared" si="162"/>
        <v>3.4911917965477528E-12</v>
      </c>
      <c r="R181" s="59">
        <f t="shared" si="109"/>
        <v>289.26530351148364</v>
      </c>
      <c r="S181" s="59">
        <f ca="1">AVERAGE(OFFSET($R$3,0,0,'Données projet'!$E$9+1,1))-AVERAGE(OFFSET($H$3,0,0,'Données projet'!$E$9+1,1))</f>
        <v>268.34407723697916</v>
      </c>
      <c r="T181" s="59">
        <f t="shared" si="142"/>
        <v>382.70172470802061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0.80023964612711984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0.80023964612711984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1.4210854715202004E-13</v>
      </c>
      <c r="O182" s="13">
        <f>N182*VLOOKUP('Données projet'!$B$9,Paramètres!$A$1:$I$89,3,0)*VLOOKUP('Données projet'!$B$9,Paramètres!$A$1:$I$89,5,0)</f>
        <v>1.2857981346314773E-13</v>
      </c>
      <c r="P182" s="13">
        <f t="shared" si="141"/>
        <v>1.875932222832213E-12</v>
      </c>
      <c r="Q182" s="20">
        <f t="shared" si="162"/>
        <v>3.4911917965477528E-12</v>
      </c>
      <c r="R182" s="59">
        <f t="shared" si="109"/>
        <v>289.33587473414059</v>
      </c>
      <c r="S182" s="59">
        <f ca="1">AVERAGE(OFFSET($R$3,0,0,'Données projet'!$E$9+1,1))-AVERAGE(OFFSET($H$3,0,0,'Données projet'!$E$9+1,1))</f>
        <v>268.34407723697916</v>
      </c>
      <c r="T182" s="59">
        <f t="shared" si="142"/>
        <v>382.70172470802061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0.78454743476455546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0.78454743476455546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1.4210854715202004E-13</v>
      </c>
      <c r="O183" s="13">
        <f>N183*VLOOKUP('Données projet'!$B$9,Paramètres!$A$1:$I$89,3,0)*VLOOKUP('Données projet'!$B$9,Paramètres!$A$1:$I$89,5,0)</f>
        <v>1.2857981346314773E-13</v>
      </c>
      <c r="P183" s="13">
        <f t="shared" si="141"/>
        <v>1.875932222832213E-12</v>
      </c>
      <c r="Q183" s="20">
        <f t="shared" si="162"/>
        <v>3.4911917965477528E-12</v>
      </c>
      <c r="R183" s="59">
        <f t="shared" si="109"/>
        <v>289.4052217038581</v>
      </c>
      <c r="S183" s="59">
        <f ca="1">AVERAGE(OFFSET($R$3,0,0,'Données projet'!$E$9+1,1))-AVERAGE(OFFSET($H$3,0,0,'Données projet'!$E$9+1,1))</f>
        <v>268.34407723697916</v>
      </c>
      <c r="T183" s="59">
        <f t="shared" si="142"/>
        <v>382.70172470802061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0.76916293809550718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0.76916293809550718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1.4210854715202004E-13</v>
      </c>
      <c r="O184" s="13">
        <f>N184*VLOOKUP('Données projet'!$B$9,Paramètres!$A$1:$I$89,3,0)*VLOOKUP('Données projet'!$B$9,Paramètres!$A$1:$I$89,5,0)</f>
        <v>1.2857981346314773E-13</v>
      </c>
      <c r="P184" s="13">
        <f t="shared" si="141"/>
        <v>1.875932222832213E-12</v>
      </c>
      <c r="Q184" s="20">
        <f t="shared" si="162"/>
        <v>3.4911917965477528E-12</v>
      </c>
      <c r="R184" s="59">
        <f t="shared" si="109"/>
        <v>289.47336565868756</v>
      </c>
      <c r="S184" s="59">
        <f ca="1">AVERAGE(OFFSET($R$3,0,0,'Données projet'!$E$9+1,1))-AVERAGE(OFFSET($H$3,0,0,'Données projet'!$E$9+1,1))</f>
        <v>268.34407723697916</v>
      </c>
      <c r="T184" s="59">
        <f t="shared" si="142"/>
        <v>382.70172470802061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0.7540801220225225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0.7540801220225225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1.4210854715202004E-13</v>
      </c>
      <c r="O185" s="13">
        <f>N185*VLOOKUP('Données projet'!$B$9,Paramètres!$A$1:$I$89,3,0)*VLOOKUP('Données projet'!$B$9,Paramètres!$A$1:$I$89,5,0)</f>
        <v>1.2857981346314773E-13</v>
      </c>
      <c r="P185" s="13">
        <f t="shared" si="141"/>
        <v>1.875932222832213E-12</v>
      </c>
      <c r="Q185" s="20">
        <f t="shared" si="162"/>
        <v>3.4911917965477528E-12</v>
      </c>
      <c r="R185" s="59">
        <f t="shared" si="109"/>
        <v>289.54032746824788</v>
      </c>
      <c r="S185" s="59">
        <f ca="1">AVERAGE(OFFSET($R$3,0,0,'Données projet'!$E$9+1,1))-AVERAGE(OFFSET($H$3,0,0,'Données projet'!$E$9+1,1))</f>
        <v>268.34407723697916</v>
      </c>
      <c r="T185" s="59">
        <f t="shared" si="142"/>
        <v>382.70172470802061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0.73929307077311968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0.73929307077311968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1.4210854715202004E-13</v>
      </c>
      <c r="O186" s="13">
        <f>N186*VLOOKUP('Données projet'!$B$9,Paramètres!$A$1:$I$89,3,0)*VLOOKUP('Données projet'!$B$9,Paramètres!$A$1:$I$89,5,0)</f>
        <v>1.2857981346314773E-13</v>
      </c>
      <c r="P186" s="13">
        <f t="shared" si="141"/>
        <v>1.875932222832213E-12</v>
      </c>
      <c r="Q186" s="20">
        <f t="shared" si="162"/>
        <v>3.4911917965477528E-12</v>
      </c>
      <c r="R186" s="59">
        <f t="shared" si="109"/>
        <v>289.60612764011643</v>
      </c>
      <c r="S186" s="59">
        <f ca="1">AVERAGE(OFFSET($R$3,0,0,'Données projet'!$E$9+1,1))-AVERAGE(OFFSET($H$3,0,0,'Données projet'!$E$9+1,1))</f>
        <v>268.34407723697916</v>
      </c>
      <c r="T186" s="59">
        <f t="shared" si="142"/>
        <v>382.70172470802061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0.72479598457950689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0.72479598457950689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1.4210854715202004E-13</v>
      </c>
      <c r="O187" s="13">
        <f>N187*VLOOKUP('Données projet'!$B$9,Paramètres!$A$1:$I$89,3,0)*VLOOKUP('Données projet'!$B$9,Paramètres!$A$1:$I$89,5,0)</f>
        <v>1.2857981346314773E-13</v>
      </c>
      <c r="P187" s="13">
        <f t="shared" si="141"/>
        <v>1.875932222832213E-12</v>
      </c>
      <c r="Q187" s="20">
        <f t="shared" si="162"/>
        <v>3.4911917965477528E-12</v>
      </c>
      <c r="R187" s="59">
        <f t="shared" si="109"/>
        <v>289.6707863261102</v>
      </c>
      <c r="S187" s="59">
        <f ca="1">AVERAGE(OFFSET($R$3,0,0,'Données projet'!$E$9+1,1))-AVERAGE(OFFSET($H$3,0,0,'Données projet'!$E$9+1,1))</f>
        <v>268.34407723697916</v>
      </c>
      <c r="T187" s="59">
        <f t="shared" si="142"/>
        <v>382.70172470802061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0.71058317740380139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0.71058317740380139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1.4210854715202004E-13</v>
      </c>
      <c r="O188" s="13">
        <f>N188*VLOOKUP('Données projet'!$B$9,Paramètres!$A$1:$I$89,3,0)*VLOOKUP('Données projet'!$B$9,Paramètres!$A$1:$I$89,5,0)</f>
        <v>1.2857981346314773E-13</v>
      </c>
      <c r="P188" s="13">
        <f t="shared" si="141"/>
        <v>1.875932222832213E-12</v>
      </c>
      <c r="Q188" s="20">
        <f t="shared" si="162"/>
        <v>3.4911917965477528E-12</v>
      </c>
      <c r="R188" s="59">
        <f t="shared" si="109"/>
        <v>289.73432332845721</v>
      </c>
      <c r="S188" s="59">
        <f ca="1">AVERAGE(OFFSET($R$3,0,0,'Données projet'!$E$9+1,1))-AVERAGE(OFFSET($H$3,0,0,'Données projet'!$E$9+1,1))</f>
        <v>268.34407723697916</v>
      </c>
      <c r="T188" s="59">
        <f t="shared" si="142"/>
        <v>382.70172470802061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0.69664907470785509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0.69664907470785509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1.4210854715202004E-13</v>
      </c>
      <c r="O189" s="13">
        <f>N189*VLOOKUP('Données projet'!$B$9,Paramètres!$A$1:$I$89,3,0)*VLOOKUP('Données projet'!$B$9,Paramètres!$A$1:$I$89,5,0)</f>
        <v>1.2857981346314773E-13</v>
      </c>
      <c r="P189" s="13">
        <f t="shared" si="141"/>
        <v>1.875932222832213E-12</v>
      </c>
      <c r="Q189" s="20">
        <f t="shared" si="162"/>
        <v>3.4911917965477528E-12</v>
      </c>
      <c r="R189" s="59">
        <f t="shared" si="109"/>
        <v>289.79675810586087</v>
      </c>
      <c r="S189" s="59">
        <f ca="1">AVERAGE(OFFSET($R$3,0,0,'Données projet'!$E$9+1,1))-AVERAGE(OFFSET($H$3,0,0,'Données projet'!$E$9+1,1))</f>
        <v>268.34407723697916</v>
      </c>
      <c r="T189" s="59">
        <f t="shared" si="142"/>
        <v>382.70172470802061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0.68298821126681286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0.68298821126681286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1.4210854715202004E-13</v>
      </c>
      <c r="O190" s="13">
        <f>N190*VLOOKUP('Données projet'!$B$9,Paramètres!$A$1:$I$89,3,0)*VLOOKUP('Données projet'!$B$9,Paramètres!$A$1:$I$89,5,0)</f>
        <v>1.2857981346314773E-13</v>
      </c>
      <c r="P190" s="13">
        <f t="shared" si="141"/>
        <v>1.875932222832213E-12</v>
      </c>
      <c r="Q190" s="20">
        <f t="shared" si="162"/>
        <v>3.4911917965477528E-12</v>
      </c>
      <c r="R190" s="59">
        <f t="shared" si="109"/>
        <v>289.85810977945988</v>
      </c>
      <c r="S190" s="59">
        <f ca="1">AVERAGE(OFFSET($R$3,0,0,'Données projet'!$E$9+1,1))-AVERAGE(OFFSET($H$3,0,0,'Données projet'!$E$9+1,1))</f>
        <v>268.34407723697916</v>
      </c>
      <c r="T190" s="59">
        <f t="shared" si="142"/>
        <v>382.70172470802061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0.66959522902554547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0.66959522902554547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1.4210854715202004E-13</v>
      </c>
      <c r="O191" s="13">
        <f>N191*VLOOKUP('Données projet'!$B$9,Paramètres!$A$1:$I$89,3,0)*VLOOKUP('Données projet'!$B$9,Paramètres!$A$1:$I$89,5,0)</f>
        <v>1.2857981346314773E-13</v>
      </c>
      <c r="P191" s="13">
        <f t="shared" si="141"/>
        <v>1.875932222832213E-12</v>
      </c>
      <c r="Q191" s="20">
        <f t="shared" si="162"/>
        <v>3.4911917965477528E-12</v>
      </c>
      <c r="R191" s="59">
        <f t="shared" si="109"/>
        <v>289.9183971386837</v>
      </c>
      <c r="S191" s="59">
        <f ca="1">AVERAGE(OFFSET($R$3,0,0,'Données projet'!$E$9+1,1))-AVERAGE(OFFSET($H$3,0,0,'Données projet'!$E$9+1,1))</f>
        <v>268.34407723697916</v>
      </c>
      <c r="T191" s="59">
        <f t="shared" si="142"/>
        <v>382.70172470802061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0.65646487499711681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0.65646487499711681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1.4210854715202004E-13</v>
      </c>
      <c r="O192" s="13">
        <f>N192*VLOOKUP('Données projet'!$B$9,Paramètres!$A$1:$I$89,3,0)*VLOOKUP('Données projet'!$B$9,Paramètres!$A$1:$I$89,5,0)</f>
        <v>1.2857981346314773E-13</v>
      </c>
      <c r="P192" s="13">
        <f t="shared" si="141"/>
        <v>1.875932222832213E-12</v>
      </c>
      <c r="Q192" s="20">
        <f t="shared" si="162"/>
        <v>3.4911917965477528E-12</v>
      </c>
      <c r="R192" s="59">
        <f t="shared" si="109"/>
        <v>289.97763864700732</v>
      </c>
      <c r="S192" s="59">
        <f ca="1">AVERAGE(OFFSET($R$3,0,0,'Données projet'!$E$9+1,1))-AVERAGE(OFFSET($H$3,0,0,'Données projet'!$E$9+1,1))</f>
        <v>268.34407723697916</v>
      </c>
      <c r="T192" s="59">
        <f t="shared" si="142"/>
        <v>382.70172470802061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0.64359199920246046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0.64359199920246046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1.4210854715202004E-13</v>
      </c>
      <c r="O193" s="13">
        <f>N193*VLOOKUP('Données projet'!$B$9,Paramètres!$A$1:$I$89,3,0)*VLOOKUP('Données projet'!$B$9,Paramètres!$A$1:$I$89,5,0)</f>
        <v>1.2857981346314773E-13</v>
      </c>
      <c r="P193" s="13">
        <f t="shared" si="141"/>
        <v>1.875932222832213E-12</v>
      </c>
      <c r="Q193" s="20">
        <f t="shared" si="162"/>
        <v>3.4911917965477528E-12</v>
      </c>
      <c r="R193" s="59">
        <f t="shared" si="109"/>
        <v>290.03585244760575</v>
      </c>
      <c r="S193" s="59">
        <f ca="1">AVERAGE(OFFSET($R$3,0,0,'Données projet'!$E$9+1,1))-AVERAGE(OFFSET($H$3,0,0,'Données projet'!$E$9+1,1))</f>
        <v>268.34407723697916</v>
      </c>
      <c r="T193" s="59">
        <f t="shared" si="142"/>
        <v>382.70172470802061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0.63097155265045846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0.63097155265045846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1.4210854715202004E-13</v>
      </c>
      <c r="O194" s="13">
        <f>N194*VLOOKUP('Données projet'!$B$9,Paramètres!$A$1:$I$89,3,0)*VLOOKUP('Données projet'!$B$9,Paramètres!$A$1:$I$89,5,0)</f>
        <v>1.2857981346314773E-13</v>
      </c>
      <c r="P194" s="13">
        <f t="shared" si="141"/>
        <v>1.875932222832213E-12</v>
      </c>
      <c r="Q194" s="20">
        <f t="shared" si="162"/>
        <v>3.4911917965477528E-12</v>
      </c>
      <c r="R194" s="59">
        <f t="shared" si="109"/>
        <v>290.09305636891031</v>
      </c>
      <c r="S194" s="59">
        <f ca="1">AVERAGE(OFFSET($R$3,0,0,'Données projet'!$E$9+1,1))-AVERAGE(OFFSET($H$3,0,0,'Données projet'!$E$9+1,1))</f>
        <v>268.34407723697916</v>
      </c>
      <c r="T194" s="59">
        <f t="shared" si="142"/>
        <v>382.70172470802061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0.61859858535762879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0.61859858535762879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1.4210854715202004E-13</v>
      </c>
      <c r="O195" s="13">
        <f>N195*VLOOKUP('Données projet'!$B$9,Paramètres!$A$1:$I$89,3,0)*VLOOKUP('Données projet'!$B$9,Paramètres!$A$1:$I$89,5,0)</f>
        <v>1.2857981346314773E-13</v>
      </c>
      <c r="P195" s="13">
        <f t="shared" si="141"/>
        <v>1.875932222832213E-12</v>
      </c>
      <c r="Q195" s="20">
        <f t="shared" si="162"/>
        <v>3.4911917965477528E-12</v>
      </c>
      <c r="R195" s="59">
        <f t="shared" ref="R195:R203" si="191">Q195+(I195+J195)*44/12</f>
        <v>290.14926793006913</v>
      </c>
      <c r="S195" s="59">
        <f ca="1">AVERAGE(OFFSET($R$3,0,0,'Données projet'!$E$9+1,1))-AVERAGE(OFFSET($H$3,0,0,'Données projet'!$E$9+1,1))</f>
        <v>268.34407723697916</v>
      </c>
      <c r="T195" s="59">
        <f t="shared" si="142"/>
        <v>382.70172470802061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0.60646824440664671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0.60646824440664671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1.4210854715202004E-13</v>
      </c>
      <c r="O196" s="13">
        <f>N196*VLOOKUP('Données projet'!$B$9,Paramètres!$A$1:$I$89,3,0)*VLOOKUP('Données projet'!$B$9,Paramètres!$A$1:$I$89,5,0)</f>
        <v>1.2857981346314773E-13</v>
      </c>
      <c r="P196" s="13">
        <f t="shared" si="141"/>
        <v>1.875932222832213E-12</v>
      </c>
      <c r="Q196" s="20">
        <f t="shared" si="162"/>
        <v>3.4911917965477528E-12</v>
      </c>
      <c r="R196" s="59">
        <f t="shared" si="191"/>
        <v>290.20450434631198</v>
      </c>
      <c r="S196" s="59">
        <f ca="1">AVERAGE(OFFSET($R$3,0,0,'Données projet'!$E$9+1,1))-AVERAGE(OFFSET($H$3,0,0,'Données projet'!$E$9+1,1))</f>
        <v>268.34407723697916</v>
      </c>
      <c r="T196" s="59">
        <f t="shared" si="142"/>
        <v>382.70172470802061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0.59457577204293599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0.59457577204293599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1.4210854715202004E-13</v>
      </c>
      <c r="O197" s="13">
        <f>N197*VLOOKUP('Données projet'!$B$9,Paramètres!$A$1:$I$89,3,0)*VLOOKUP('Données projet'!$B$9,Paramètres!$A$1:$I$89,5,0)</f>
        <v>1.2857981346314773E-13</v>
      </c>
      <c r="P197" s="13">
        <f t="shared" ref="P197:P203" si="203">EXP(-1.0587+0.8836*LN(O197)+0.284)</f>
        <v>1.875932222832213E-12</v>
      </c>
      <c r="Q197" s="20">
        <f t="shared" si="162"/>
        <v>3.4911917965477528E-12</v>
      </c>
      <c r="R197" s="59">
        <f t="shared" si="191"/>
        <v>290.2587825342232</v>
      </c>
      <c r="S197" s="59">
        <f ca="1">AVERAGE(OFFSET($R$3,0,0,'Données projet'!$E$9+1,1))-AVERAGE(OFFSET($H$3,0,0,'Données projet'!$E$9+1,1))</f>
        <v>268.34407723697916</v>
      </c>
      <c r="T197" s="59">
        <f t="shared" ref="T197:T203" si="204">$T$3</f>
        <v>382.70172470802061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0.58291650380858573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0.58291650380858573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1.4210854715202004E-13</v>
      </c>
      <c r="O198" s="13">
        <f>N198*VLOOKUP('Données projet'!$B$9,Paramètres!$A$1:$I$89,3,0)*VLOOKUP('Données projet'!$B$9,Paramètres!$A$1:$I$89,5,0)</f>
        <v>1.2857981346314773E-13</v>
      </c>
      <c r="P198" s="13">
        <f t="shared" si="203"/>
        <v>1.875932222832213E-12</v>
      </c>
      <c r="Q198" s="20">
        <f t="shared" si="162"/>
        <v>3.4911917965477528E-12</v>
      </c>
      <c r="R198" s="59">
        <f t="shared" si="191"/>
        <v>290.31211911692196</v>
      </c>
      <c r="S198" s="59">
        <f ca="1">AVERAGE(OFFSET($R$3,0,0,'Données projet'!$E$9+1,1))-AVERAGE(OFFSET($H$3,0,0,'Données projet'!$E$9+1,1))</f>
        <v>268.34407723697916</v>
      </c>
      <c r="T198" s="59">
        <f t="shared" si="204"/>
        <v>382.70172470802061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0.57148586671285961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0.57148586671285961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1.4210854715202004E-13</v>
      </c>
      <c r="O199" s="13">
        <f>N199*VLOOKUP('Données projet'!$B$9,Paramètres!$A$1:$I$89,3,0)*VLOOKUP('Données projet'!$B$9,Paramètres!$A$1:$I$89,5,0)</f>
        <v>1.2857981346314773E-13</v>
      </c>
      <c r="P199" s="13">
        <f t="shared" si="203"/>
        <v>1.875932222832213E-12</v>
      </c>
      <c r="Q199" s="20">
        <f t="shared" si="162"/>
        <v>3.4911917965477528E-12</v>
      </c>
      <c r="R199" s="59">
        <f t="shared" si="191"/>
        <v>290.36453042915366</v>
      </c>
      <c r="S199" s="59">
        <f ca="1">AVERAGE(OFFSET($R$3,0,0,'Données projet'!$E$9+1,1))-AVERAGE(OFFSET($H$3,0,0,'Données projet'!$E$9+1,1))</f>
        <v>268.34407723697916</v>
      </c>
      <c r="T199" s="59">
        <f t="shared" si="204"/>
        <v>382.70172470802061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0.56027937743858047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0.56027937743858047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1.4210854715202004E-13</v>
      </c>
      <c r="O200" s="13">
        <f>N200*VLOOKUP('Données projet'!$B$9,Paramètres!$A$1:$I$89,3,0)*VLOOKUP('Données projet'!$B$9,Paramètres!$A$1:$I$89,5,0)</f>
        <v>1.2857981346314773E-13</v>
      </c>
      <c r="P200" s="13">
        <f t="shared" si="203"/>
        <v>1.875932222832213E-12</v>
      </c>
      <c r="Q200" s="20">
        <f t="shared" si="162"/>
        <v>3.4911917965477528E-12</v>
      </c>
      <c r="R200" s="59">
        <f t="shared" si="191"/>
        <v>290.41603252229226</v>
      </c>
      <c r="S200" s="59">
        <f ca="1">AVERAGE(OFFSET($R$3,0,0,'Données projet'!$E$9+1,1))-AVERAGE(OFFSET($H$3,0,0,'Données projet'!$E$9+1,1))</f>
        <v>268.34407723697916</v>
      </c>
      <c r="T200" s="59">
        <f t="shared" si="204"/>
        <v>382.70172470802061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0.54929264058368643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0.54929264058368643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1.4210854715202004E-13</v>
      </c>
      <c r="O201" s="13">
        <f>N201*VLOOKUP('Données projet'!$B$9,Paramètres!$A$1:$I$89,3,0)*VLOOKUP('Données projet'!$B$9,Paramètres!$A$1:$I$89,5,0)</f>
        <v>1.2857981346314773E-13</v>
      </c>
      <c r="P201" s="13">
        <f t="shared" si="203"/>
        <v>1.875932222832213E-12</v>
      </c>
      <c r="Q201" s="20">
        <f t="shared" si="162"/>
        <v>3.4911917965477528E-12</v>
      </c>
      <c r="R201" s="59">
        <f t="shared" si="191"/>
        <v>290.46664116925638</v>
      </c>
      <c r="S201" s="59">
        <f ca="1">AVERAGE(OFFSET($R$3,0,0,'Données projet'!$E$9+1,1))-AVERAGE(OFFSET($H$3,0,0,'Données projet'!$E$9+1,1))</f>
        <v>268.34407723697916</v>
      </c>
      <c r="T201" s="59">
        <f t="shared" si="204"/>
        <v>382.70172470802061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0.53852134693726905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0.53852134693726905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1.4210854715202004E-13</v>
      </c>
      <c r="O202" s="13">
        <f>N202*VLOOKUP('Données projet'!$B$9,Paramètres!$A$1:$I$89,3,0)*VLOOKUP('Données projet'!$B$9,Paramètres!$A$1:$I$89,5,0)</f>
        <v>1.2857981346314773E-13</v>
      </c>
      <c r="P202" s="13">
        <f t="shared" si="203"/>
        <v>1.875932222832213E-12</v>
      </c>
      <c r="Q202" s="20">
        <f t="shared" si="162"/>
        <v>3.4911917965477528E-12</v>
      </c>
      <c r="R202" s="59">
        <f t="shared" si="191"/>
        <v>290.51637186933959</v>
      </c>
      <c r="S202" s="59">
        <f ca="1">AVERAGE(OFFSET($R$3,0,0,'Données projet'!$E$9+1,1))-AVERAGE(OFFSET($H$3,0,0,'Données projet'!$E$9+1,1))</f>
        <v>268.34407723697916</v>
      </c>
      <c r="T202" s="59">
        <f t="shared" si="204"/>
        <v>382.70172470802061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0.52796127178941754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0.52796127178941754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1.4210854715202004E-13</v>
      </c>
      <c r="O203" s="13">
        <f>N203*VLOOKUP('Données projet'!$B$9,Paramètres!$A$1:$I$89,3,0)*VLOOKUP('Données projet'!$B$9,Paramètres!$A$1:$I$89,5,0)</f>
        <v>1.2857981346314773E-13</v>
      </c>
      <c r="P203" s="13">
        <f t="shared" si="203"/>
        <v>1.875932222832213E-12</v>
      </c>
      <c r="Q203" s="20">
        <f t="shared" si="162"/>
        <v>3.4911917965477528E-12</v>
      </c>
      <c r="R203" s="59">
        <f t="shared" si="191"/>
        <v>290.56523985295757</v>
      </c>
      <c r="S203" s="59">
        <f ca="1">AVERAGE(OFFSET($R$3,0,0,'Données projet'!$E$9+1,1))-AVERAGE(OFFSET($H$3,0,0,'Données projet'!$E$9+1,1))</f>
        <v>268.34407723697916</v>
      </c>
      <c r="T203" s="59">
        <f t="shared" si="204"/>
        <v>382.70172470802061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0.51760827327420555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0.51760827327420555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2.0123466170855582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zoomScale="90" zoomScaleNormal="90" workbookViewId="0">
      <selection activeCell="L35" sqref="L35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Robinier faux-acacia</v>
      </c>
      <c r="B6" s="146">
        <f>'Données projet'!D9</f>
        <v>3.4708999999999999</v>
      </c>
      <c r="C6" s="147">
        <f ca="1">IF(OR('Données projet'!B9="",'Données projet'!C9="",'Données projet'!C9=0%),0,Calculateur!S3)</f>
        <v>268.34407723697916</v>
      </c>
      <c r="D6" s="147">
        <f>IF(OR('Données projet'!B9="",'Données projet'!C9="",'Données projet'!C9=0%),0,Calculateur!T3)</f>
        <v>382.70172470802061</v>
      </c>
      <c r="E6" s="147">
        <f ca="1">MIN(C6,D6)</f>
        <v>268.34407723697916</v>
      </c>
      <c r="F6" s="147">
        <f ca="1">E6*B6</f>
        <v>931.39545768183098</v>
      </c>
      <c r="G6" s="147">
        <f ca="1">F6*(100%-'Données projet'!$C$24)*(100%-'Données projet'!$C$25)*(100%-'Données projet'!$C$26)*(100%-'Données projet'!$C$27)</f>
        <v>637.0744930543724</v>
      </c>
      <c r="H6" s="148">
        <f>IF(OR('Données projet'!B9="",'Données projet'!C9="",'Données projet'!C9=0%),0,AVERAGE(Calculateur!$AC$3:$AC$33)*B6)</f>
        <v>16.948578968078749</v>
      </c>
      <c r="I6" s="149">
        <f>H6*(100%-'Données projet'!$C$24)*(100%-'Données projet'!$C$25)*(100%-'Données projet'!$C$26)*(100%-'Données projet'!$C$27)</f>
        <v>11.592828014165864</v>
      </c>
      <c r="J6" s="150">
        <f>IF(OR('Données projet'!B9="",'Données projet'!C9="",'Données projet'!C9=0%),0,SUM(Calculateur!$V$3:$V$33)*VLOOKUP('Données projet'!$B$9,Paramètres!$A$1:$I$89,9,0)*B6)</f>
        <v>111.93652499999999</v>
      </c>
      <c r="K6" s="151">
        <f>J6*(100%-'Données projet'!$C$24)*(100%-'Données projet'!$C$25)*(100%-'Données projet'!$C$26)*(100%-'Données projet'!$C$27)</f>
        <v>76.564583099999993</v>
      </c>
      <c r="L6" s="152">
        <f ca="1">G6+I6+K6</f>
        <v>725.23190416853822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931.39545768183098</v>
      </c>
      <c r="G16" s="166">
        <f t="shared" ca="1" si="3"/>
        <v>637.0744930543724</v>
      </c>
      <c r="H16" s="167">
        <f t="shared" si="3"/>
        <v>16.948578968078749</v>
      </c>
      <c r="I16" s="167">
        <f t="shared" si="3"/>
        <v>11.592828014165864</v>
      </c>
      <c r="J16" s="168">
        <f t="shared" si="3"/>
        <v>111.93652499999999</v>
      </c>
      <c r="K16" s="168">
        <f t="shared" si="3"/>
        <v>76.564583099999993</v>
      </c>
      <c r="L16" s="169">
        <f t="shared" ca="1" si="3"/>
        <v>725.23190416853822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Robinier faux-acacia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16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G26" sqref="G26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Robinier faux-acacia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3.4708999999999999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Robinier faux-acacia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/>
      <c r="I20" s="191"/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5</v>
      </c>
      <c r="B23" s="181">
        <f>'Données projet'!D36</f>
        <v>8</v>
      </c>
      <c r="C23" s="193"/>
      <c r="D23" s="182">
        <f>B23*C23</f>
        <v>0</v>
      </c>
      <c r="E23" s="193"/>
      <c r="F23" s="230"/>
      <c r="H23" s="190"/>
      <c r="I23" s="191"/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10</v>
      </c>
      <c r="B24" s="181">
        <f>'Données projet'!D37</f>
        <v>37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15</v>
      </c>
      <c r="B25" s="181">
        <f>'Données projet'!D38</f>
        <v>29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0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20</v>
      </c>
      <c r="B26" s="181">
        <f>'Données projet'!D39</f>
        <v>23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n'est pas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25</v>
      </c>
      <c r="B27" s="181">
        <f>'Données projet'!D40</f>
        <v>18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30</v>
      </c>
      <c r="B28" s="181">
        <f>'Données projet'!D41</f>
        <v>14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35</v>
      </c>
      <c r="B29" s="181">
        <f>'Données projet'!D42</f>
        <v>11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40</v>
      </c>
      <c r="B30" s="181">
        <f>'Données projet'!D43</f>
        <v>9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45</v>
      </c>
      <c r="B31" s="181">
        <f>'Données projet'!D44</f>
        <v>220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Morgane PICHELIN</cp:lastModifiedBy>
  <cp:lastPrinted>2023-09-06T08:19:20Z</cp:lastPrinted>
  <dcterms:created xsi:type="dcterms:W3CDTF">2021-02-01T08:22:39Z</dcterms:created>
  <dcterms:modified xsi:type="dcterms:W3CDTF">2023-09-06T08:23:19Z</dcterms:modified>
</cp:coreProperties>
</file>