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Coudert\Constitution dossier\"/>
    </mc:Choice>
  </mc:AlternateContent>
  <xr:revisionPtr revIDLastSave="0" documentId="13_ncr:1_{2B87B7F4-72F8-458B-BB03-A3E0A5B31A21}" xr6:coauthVersionLast="47" xr6:coauthVersionMax="47" xr10:uidLastSave="{00000000-0000-0000-0000-000000000000}"/>
  <bookViews>
    <workbookView xWindow="5388" yWindow="348" windowWidth="15396" windowHeight="11484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B67" i="1"/>
  <c r="C29" i="6" l="1"/>
  <c r="C28" i="6"/>
  <c r="C27" i="6"/>
  <c r="C26" i="6"/>
  <c r="C25" i="6"/>
  <c r="C24" i="6"/>
  <c r="C23" i="6"/>
  <c r="E55" i="6"/>
  <c r="E56" i="6"/>
  <c r="E57" i="6"/>
  <c r="E58" i="6"/>
  <c r="E59" i="6"/>
  <c r="E54" i="6"/>
  <c r="C59" i="6"/>
  <c r="C58" i="6"/>
  <c r="C57" i="6"/>
  <c r="C56" i="6"/>
  <c r="C55" i="6"/>
  <c r="C54" i="6"/>
  <c r="E86" i="6"/>
  <c r="E87" i="6"/>
  <c r="E88" i="6"/>
  <c r="E89" i="6"/>
  <c r="E90" i="6"/>
  <c r="E85" i="6"/>
  <c r="C90" i="6"/>
  <c r="C89" i="6"/>
  <c r="C88" i="6"/>
  <c r="C87" i="6"/>
  <c r="C86" i="6"/>
  <c r="C85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I22" i="6"/>
  <c r="I23" i="6"/>
  <c r="I21" i="6"/>
  <c r="B127" i="1" l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66" i="1" l="1"/>
  <c r="B65" i="1"/>
  <c r="B64" i="1"/>
  <c r="B63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G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G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HG156" i="2"/>
  <c r="HH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EW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Q178" i="2"/>
  <c r="EB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EY179" i="2" s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I195" i="2"/>
  <c r="AA195" i="2"/>
  <c r="FQ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ED197" i="2" s="1"/>
  <c r="EC197" i="2"/>
  <c r="HH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HH201" i="2" l="1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FZ6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DN187" i="2" a="1"/>
  <c r="DN187" i="2" s="1"/>
  <c r="HJ202" i="2"/>
  <c r="EY202" i="2"/>
  <c r="AX200" i="2"/>
  <c r="BC114" i="2" l="1" a="1"/>
  <c r="BC114" i="2" s="1"/>
  <c r="BC126" i="2" a="1"/>
  <c r="BC126" i="2" s="1"/>
  <c r="BC82" i="2" a="1"/>
  <c r="BC82" i="2" s="1"/>
  <c r="BC47" i="2" a="1"/>
  <c r="BC47" i="2" s="1"/>
  <c r="AH62" i="2" a="1"/>
  <c r="AH62" i="2" s="1"/>
  <c r="AH90" i="2" a="1"/>
  <c r="AH90" i="2" s="1"/>
  <c r="AH151" i="2" a="1"/>
  <c r="AH151" i="2" s="1"/>
  <c r="FD19" i="2" a="1"/>
  <c r="FD19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FD107" i="2" a="1"/>
  <c r="FD107" i="2" s="1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BX107" i="2" a="1"/>
  <c r="BX107" i="2" s="1"/>
  <c r="CS24" i="2" a="1"/>
  <c r="CS24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<sst xmlns="http://schemas.openxmlformats.org/spreadsheetml/2006/main" count="1173" uniqueCount="324">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</sst>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2.3659101462660872</c:v>
                </c:pt>
                <c:pt idx="2">
                  <c:v>3.465617167188213</c:v>
                </c:pt>
                <c:pt idx="3">
                  <c:v>5.0787814586588391</c:v>
                </c:pt>
                <c:pt idx="4">
                  <c:v>7.4461454980957882</c:v>
                </c:pt>
                <c:pt idx="5">
                  <c:v>10.921767161983359</c:v>
                </c:pt>
                <c:pt idx="6">
                  <c:v>16.026547263380895</c:v>
                </c:pt>
                <c:pt idx="7">
                  <c:v>23.527124888763421</c:v>
                </c:pt>
                <c:pt idx="8">
                  <c:v>34.552198495873199</c:v>
                </c:pt>
                <c:pt idx="9">
                  <c:v>50.764077510588358</c:v>
                </c:pt>
                <c:pt idx="10">
                  <c:v>74.611761393356815</c:v>
                </c:pt>
                <c:pt idx="11">
                  <c:v>109.70439525090745</c:v>
                </c:pt>
                <c:pt idx="12">
                  <c:v>161.362507950626</c:v>
                </c:pt>
                <c:pt idx="13">
                  <c:v>165.87982733683171</c:v>
                </c:pt>
                <c:pt idx="14">
                  <c:v>198.77347624174226</c:v>
                </c:pt>
                <c:pt idx="15">
                  <c:v>231.54060536306488</c:v>
                </c:pt>
                <c:pt idx="16">
                  <c:v>196.97458062885698</c:v>
                </c:pt>
                <c:pt idx="17">
                  <c:v>225.71362766780456</c:v>
                </c:pt>
                <c:pt idx="18">
                  <c:v>254.368793598287</c:v>
                </c:pt>
                <c:pt idx="19">
                  <c:v>198.09893486089848</c:v>
                </c:pt>
                <c:pt idx="20">
                  <c:v>223.9200221728926</c:v>
                </c:pt>
                <c:pt idx="21">
                  <c:v>249.67282178538542</c:v>
                </c:pt>
                <c:pt idx="22">
                  <c:v>275.36536664429349</c:v>
                </c:pt>
                <c:pt idx="23">
                  <c:v>301.00406677378027</c:v>
                </c:pt>
                <c:pt idx="24">
                  <c:v>326.59415053704714</c:v>
                </c:pt>
                <c:pt idx="25">
                  <c:v>236.46850412917334</c:v>
                </c:pt>
                <c:pt idx="26">
                  <c:v>258.8393223961445</c:v>
                </c:pt>
                <c:pt idx="27">
                  <c:v>281.16644975370656</c:v>
                </c:pt>
                <c:pt idx="28">
                  <c:v>303.45384214677301</c:v>
                </c:pt>
                <c:pt idx="29">
                  <c:v>325.70482687762791</c:v>
                </c:pt>
                <c:pt idx="30">
                  <c:v>347.92223953697516</c:v>
                </c:pt>
                <c:pt idx="31">
                  <c:v>266.43523465250934</c:v>
                </c:pt>
                <c:pt idx="32">
                  <c:v>286.51891307475495</c:v>
                </c:pt>
                <c:pt idx="33">
                  <c:v>306.57110217476503</c:v>
                </c:pt>
                <c:pt idx="34">
                  <c:v>326.59415053704714</c:v>
                </c:pt>
                <c:pt idx="35">
                  <c:v>346.59009528166479</c:v>
                </c:pt>
                <c:pt idx="36">
                  <c:v>366.56071933168886</c:v>
                </c:pt>
                <c:pt idx="37">
                  <c:v>285.18100884727517</c:v>
                </c:pt>
                <c:pt idx="38">
                  <c:v>303.89920845414628</c:v>
                </c:pt>
                <c:pt idx="39">
                  <c:v>322.59177036318761</c:v>
                </c:pt>
                <c:pt idx="40">
                  <c:v>341.26038868166296</c:v>
                </c:pt>
                <c:pt idx="41">
                  <c:v>359.9065570603529</c:v>
                </c:pt>
                <c:pt idx="42">
                  <c:v>378.53160178526804</c:v>
                </c:pt>
                <c:pt idx="43">
                  <c:v>378.53160178526804</c:v>
                </c:pt>
                <c:pt idx="44">
                  <c:v>378.53160178526804</c:v>
                </c:pt>
                <c:pt idx="45">
                  <c:v>378.53160178526804</c:v>
                </c:pt>
                <c:pt idx="46">
                  <c:v>378.53160178526804</c:v>
                </c:pt>
                <c:pt idx="47">
                  <c:v>378.53160178526804</c:v>
                </c:pt>
                <c:pt idx="48">
                  <c:v>378.53160178526804</c:v>
                </c:pt>
                <c:pt idx="49">
                  <c:v>378.53160178526804</c:v>
                </c:pt>
                <c:pt idx="50">
                  <c:v>378.53160178526804</c:v>
                </c:pt>
                <c:pt idx="51">
                  <c:v>378.53160178526804</c:v>
                </c:pt>
                <c:pt idx="52">
                  <c:v>378.53160178526804</c:v>
                </c:pt>
                <c:pt idx="53">
                  <c:v>378.53160178526804</c:v>
                </c:pt>
                <c:pt idx="54">
                  <c:v>378.53160178526804</c:v>
                </c:pt>
                <c:pt idx="55">
                  <c:v>378.53160178526804</c:v>
                </c:pt>
                <c:pt idx="56">
                  <c:v>378.53160178526804</c:v>
                </c:pt>
                <c:pt idx="57">
                  <c:v>378.53160178526804</c:v>
                </c:pt>
                <c:pt idx="58">
                  <c:v>378.53160178526804</c:v>
                </c:pt>
                <c:pt idx="59">
                  <c:v>378.53160178526804</c:v>
                </c:pt>
                <c:pt idx="60">
                  <c:v>378.53160178526804</c:v>
                </c:pt>
                <c:pt idx="61">
                  <c:v>378.53160178526804</c:v>
                </c:pt>
                <c:pt idx="62">
                  <c:v>378.53160178526804</c:v>
                </c:pt>
                <c:pt idx="63">
                  <c:v>378.53160178526804</c:v>
                </c:pt>
                <c:pt idx="64">
                  <c:v>378.53160178526804</c:v>
                </c:pt>
                <c:pt idx="65">
                  <c:v>378.53160178526804</c:v>
                </c:pt>
                <c:pt idx="66">
                  <c:v>378.53160178526804</c:v>
                </c:pt>
                <c:pt idx="67">
                  <c:v>378.53160178526804</c:v>
                </c:pt>
                <c:pt idx="68">
                  <c:v>378.53160178526804</c:v>
                </c:pt>
                <c:pt idx="69">
                  <c:v>378.53160178526804</c:v>
                </c:pt>
                <c:pt idx="70">
                  <c:v>378.53160178526804</c:v>
                </c:pt>
                <c:pt idx="71">
                  <c:v>378.53160178526804</c:v>
                </c:pt>
                <c:pt idx="72">
                  <c:v>378.53160178526804</c:v>
                </c:pt>
                <c:pt idx="73">
                  <c:v>378.53160178526804</c:v>
                </c:pt>
                <c:pt idx="74">
                  <c:v>378.53160178526804</c:v>
                </c:pt>
                <c:pt idx="75">
                  <c:v>378.53160178526804</c:v>
                </c:pt>
                <c:pt idx="76">
                  <c:v>378.53160178526804</c:v>
                </c:pt>
                <c:pt idx="77">
                  <c:v>378.53160178526804</c:v>
                </c:pt>
                <c:pt idx="78">
                  <c:v>378.53160178526804</c:v>
                </c:pt>
                <c:pt idx="79">
                  <c:v>378.53160178526804</c:v>
                </c:pt>
                <c:pt idx="80">
                  <c:v>378.53160178526804</c:v>
                </c:pt>
                <c:pt idx="81">
                  <c:v>378.53160178526804</c:v>
                </c:pt>
                <c:pt idx="82">
                  <c:v>378.53160178526804</c:v>
                </c:pt>
                <c:pt idx="83">
                  <c:v>378.53160178526804</c:v>
                </c:pt>
                <c:pt idx="84">
                  <c:v>378.53160178526804</c:v>
                </c:pt>
                <c:pt idx="85">
                  <c:v>378.53160178526804</c:v>
                </c:pt>
                <c:pt idx="86">
                  <c:v>378.53160178526804</c:v>
                </c:pt>
                <c:pt idx="87">
                  <c:v>378.53160178526804</c:v>
                </c:pt>
                <c:pt idx="88">
                  <c:v>378.53160178526804</c:v>
                </c:pt>
                <c:pt idx="89">
                  <c:v>378.53160178526804</c:v>
                </c:pt>
                <c:pt idx="90">
                  <c:v>378.53160178526804</c:v>
                </c:pt>
                <c:pt idx="91">
                  <c:v>378.53160178526804</c:v>
                </c:pt>
                <c:pt idx="92">
                  <c:v>378.53160178526804</c:v>
                </c:pt>
                <c:pt idx="93">
                  <c:v>378.53160178526804</c:v>
                </c:pt>
                <c:pt idx="94">
                  <c:v>378.53160178526804</c:v>
                </c:pt>
                <c:pt idx="95">
                  <c:v>378.53160178526804</c:v>
                </c:pt>
                <c:pt idx="96">
                  <c:v>378.53160178526804</c:v>
                </c:pt>
                <c:pt idx="97">
                  <c:v>378.53160178526804</c:v>
                </c:pt>
                <c:pt idx="98">
                  <c:v>378.53160178526804</c:v>
                </c:pt>
                <c:pt idx="99">
                  <c:v>378.53160178526804</c:v>
                </c:pt>
                <c:pt idx="100">
                  <c:v>378.53160178526804</c:v>
                </c:pt>
                <c:pt idx="101">
                  <c:v>378.53160178526804</c:v>
                </c:pt>
                <c:pt idx="102">
                  <c:v>378.53160178526804</c:v>
                </c:pt>
                <c:pt idx="103">
                  <c:v>378.53160178526804</c:v>
                </c:pt>
                <c:pt idx="104">
                  <c:v>378.53160178526804</c:v>
                </c:pt>
                <c:pt idx="105">
                  <c:v>378.53160178526804</c:v>
                </c:pt>
                <c:pt idx="106">
                  <c:v>378.53160178526804</c:v>
                </c:pt>
                <c:pt idx="107">
                  <c:v>378.53160178526804</c:v>
                </c:pt>
                <c:pt idx="108">
                  <c:v>378.53160178526804</c:v>
                </c:pt>
                <c:pt idx="109">
                  <c:v>378.53160178526804</c:v>
                </c:pt>
                <c:pt idx="110">
                  <c:v>378.53160178526804</c:v>
                </c:pt>
                <c:pt idx="111">
                  <c:v>378.53160178526804</c:v>
                </c:pt>
                <c:pt idx="112">
                  <c:v>378.53160178526804</c:v>
                </c:pt>
                <c:pt idx="113">
                  <c:v>378.53160178526804</c:v>
                </c:pt>
                <c:pt idx="114">
                  <c:v>378.53160178526804</c:v>
                </c:pt>
                <c:pt idx="115">
                  <c:v>378.53160178526804</c:v>
                </c:pt>
                <c:pt idx="116">
                  <c:v>378.53160178526804</c:v>
                </c:pt>
                <c:pt idx="117">
                  <c:v>378.53160178526804</c:v>
                </c:pt>
                <c:pt idx="118">
                  <c:v>378.53160178526804</c:v>
                </c:pt>
                <c:pt idx="119">
                  <c:v>378.53160178526804</c:v>
                </c:pt>
                <c:pt idx="120">
                  <c:v>378.53160178526804</c:v>
                </c:pt>
                <c:pt idx="121">
                  <c:v>378.53160178526804</c:v>
                </c:pt>
                <c:pt idx="122">
                  <c:v>378.53160178526804</c:v>
                </c:pt>
                <c:pt idx="123">
                  <c:v>378.53160178526804</c:v>
                </c:pt>
                <c:pt idx="124">
                  <c:v>378.53160178526804</c:v>
                </c:pt>
                <c:pt idx="125">
                  <c:v>378.53160178526804</c:v>
                </c:pt>
                <c:pt idx="126">
                  <c:v>378.53160178526804</c:v>
                </c:pt>
                <c:pt idx="127">
                  <c:v>378.53160178526804</c:v>
                </c:pt>
                <c:pt idx="128">
                  <c:v>378.53160178526804</c:v>
                </c:pt>
                <c:pt idx="129">
                  <c:v>378.53160178526804</c:v>
                </c:pt>
                <c:pt idx="130">
                  <c:v>378.53160178526804</c:v>
                </c:pt>
                <c:pt idx="131">
                  <c:v>378.53160178526804</c:v>
                </c:pt>
                <c:pt idx="132">
                  <c:v>378.53160178526804</c:v>
                </c:pt>
                <c:pt idx="133">
                  <c:v>378.53160178526804</c:v>
                </c:pt>
                <c:pt idx="134">
                  <c:v>378.53160178526804</c:v>
                </c:pt>
                <c:pt idx="135">
                  <c:v>378.53160178526804</c:v>
                </c:pt>
                <c:pt idx="136">
                  <c:v>378.53160178526804</c:v>
                </c:pt>
                <c:pt idx="137">
                  <c:v>378.53160178526804</c:v>
                </c:pt>
                <c:pt idx="138">
                  <c:v>378.53160178526804</c:v>
                </c:pt>
                <c:pt idx="139">
                  <c:v>378.53160178526804</c:v>
                </c:pt>
                <c:pt idx="140">
                  <c:v>378.53160178526804</c:v>
                </c:pt>
                <c:pt idx="141">
                  <c:v>378.53160178526804</c:v>
                </c:pt>
                <c:pt idx="142">
                  <c:v>378.53160178526804</c:v>
                </c:pt>
                <c:pt idx="143">
                  <c:v>378.53160178526804</c:v>
                </c:pt>
                <c:pt idx="144">
                  <c:v>378.53160178526804</c:v>
                </c:pt>
                <c:pt idx="145">
                  <c:v>378.53160178526804</c:v>
                </c:pt>
                <c:pt idx="146">
                  <c:v>378.53160178526804</c:v>
                </c:pt>
                <c:pt idx="147">
                  <c:v>378.53160178526804</c:v>
                </c:pt>
                <c:pt idx="148">
                  <c:v>378.53160178526804</c:v>
                </c:pt>
                <c:pt idx="149">
                  <c:v>378.53160178526804</c:v>
                </c:pt>
                <c:pt idx="150">
                  <c:v>378.53160178526804</c:v>
                </c:pt>
                <c:pt idx="151">
                  <c:v>378.53160178526804</c:v>
                </c:pt>
                <c:pt idx="152">
                  <c:v>378.53160178526804</c:v>
                </c:pt>
                <c:pt idx="153">
                  <c:v>378.53160178526804</c:v>
                </c:pt>
                <c:pt idx="154">
                  <c:v>378.53160178526804</c:v>
                </c:pt>
                <c:pt idx="155">
                  <c:v>378.53160178526804</c:v>
                </c:pt>
                <c:pt idx="156">
                  <c:v>378.53160178526804</c:v>
                </c:pt>
                <c:pt idx="157">
                  <c:v>378.53160178526804</c:v>
                </c:pt>
                <c:pt idx="158">
                  <c:v>378.53160178526804</c:v>
                </c:pt>
                <c:pt idx="159">
                  <c:v>378.53160178526804</c:v>
                </c:pt>
                <c:pt idx="160">
                  <c:v>378.53160178526804</c:v>
                </c:pt>
                <c:pt idx="161">
                  <c:v>378.53160178526804</c:v>
                </c:pt>
                <c:pt idx="162">
                  <c:v>378.53160178526804</c:v>
                </c:pt>
                <c:pt idx="163">
                  <c:v>378.53160178526804</c:v>
                </c:pt>
                <c:pt idx="164">
                  <c:v>378.53160178526804</c:v>
                </c:pt>
                <c:pt idx="165">
                  <c:v>378.53160178526804</c:v>
                </c:pt>
                <c:pt idx="166">
                  <c:v>378.53160178526804</c:v>
                </c:pt>
                <c:pt idx="167">
                  <c:v>378.53160178526804</c:v>
                </c:pt>
                <c:pt idx="168">
                  <c:v>378.53160178526804</c:v>
                </c:pt>
                <c:pt idx="169">
                  <c:v>378.53160178526804</c:v>
                </c:pt>
                <c:pt idx="170">
                  <c:v>378.53160178526804</c:v>
                </c:pt>
                <c:pt idx="171">
                  <c:v>378.53160178526804</c:v>
                </c:pt>
                <c:pt idx="172">
                  <c:v>378.53160178526804</c:v>
                </c:pt>
                <c:pt idx="173">
                  <c:v>378.53160178526804</c:v>
                </c:pt>
                <c:pt idx="174">
                  <c:v>378.53160178526804</c:v>
                </c:pt>
                <c:pt idx="175">
                  <c:v>378.53160178526804</c:v>
                </c:pt>
                <c:pt idx="176">
                  <c:v>378.53160178526804</c:v>
                </c:pt>
                <c:pt idx="177">
                  <c:v>378.53160178526804</c:v>
                </c:pt>
                <c:pt idx="178">
                  <c:v>378.53160178526804</c:v>
                </c:pt>
                <c:pt idx="179">
                  <c:v>378.53160178526804</c:v>
                </c:pt>
                <c:pt idx="180">
                  <c:v>378.53160178526804</c:v>
                </c:pt>
                <c:pt idx="181">
                  <c:v>378.53160178526804</c:v>
                </c:pt>
                <c:pt idx="182">
                  <c:v>378.53160178526804</c:v>
                </c:pt>
                <c:pt idx="183">
                  <c:v>378.53160178526804</c:v>
                </c:pt>
                <c:pt idx="184">
                  <c:v>378.53160178526804</c:v>
                </c:pt>
                <c:pt idx="185">
                  <c:v>378.53160178526804</c:v>
                </c:pt>
                <c:pt idx="186">
                  <c:v>378.53160178526804</c:v>
                </c:pt>
                <c:pt idx="187">
                  <c:v>378.53160178526804</c:v>
                </c:pt>
                <c:pt idx="188">
                  <c:v>378.53160178526804</c:v>
                </c:pt>
                <c:pt idx="189">
                  <c:v>378.53160178526804</c:v>
                </c:pt>
                <c:pt idx="190">
                  <c:v>378.53160178526804</c:v>
                </c:pt>
                <c:pt idx="191">
                  <c:v>378.53160178526804</c:v>
                </c:pt>
                <c:pt idx="192">
                  <c:v>378.53160178526804</c:v>
                </c:pt>
                <c:pt idx="193">
                  <c:v>378.53160178526804</c:v>
                </c:pt>
                <c:pt idx="194">
                  <c:v>378.53160178526804</c:v>
                </c:pt>
                <c:pt idx="195">
                  <c:v>378.53160178526804</c:v>
                </c:pt>
                <c:pt idx="196">
                  <c:v>378.53160178526804</c:v>
                </c:pt>
                <c:pt idx="197">
                  <c:v>378.53160178526804</c:v>
                </c:pt>
                <c:pt idx="198">
                  <c:v>378.53160178526804</c:v>
                </c:pt>
                <c:pt idx="199">
                  <c:v>378.53160178526804</c:v>
                </c:pt>
                <c:pt idx="200">
                  <c:v>378.53160178526804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1.933685140044106</c:v>
                </c:pt>
                <c:pt idx="2">
                  <c:v>2.4110203422993455</c:v>
                </c:pt>
                <c:pt idx="3">
                  <c:v>3.006649975989399</c:v>
                </c:pt>
                <c:pt idx="4">
                  <c:v>3.7499984775358937</c:v>
                </c:pt>
                <c:pt idx="5">
                  <c:v>4.6778345713504628</c:v>
                </c:pt>
                <c:pt idx="6">
                  <c:v>5.8361102664123132</c:v>
                </c:pt>
                <c:pt idx="7">
                  <c:v>7.2822616947879348</c:v>
                </c:pt>
                <c:pt idx="8">
                  <c:v>9.0880880921987579</c:v>
                </c:pt>
                <c:pt idx="9">
                  <c:v>11.343354579476072</c:v>
                </c:pt>
                <c:pt idx="10">
                  <c:v>14.160301190367504</c:v>
                </c:pt>
                <c:pt idx="11">
                  <c:v>17.67928668876386</c:v>
                </c:pt>
                <c:pt idx="12">
                  <c:v>22.075853488348127</c:v>
                </c:pt>
                <c:pt idx="13">
                  <c:v>27.569572391202936</c:v>
                </c:pt>
                <c:pt idx="14">
                  <c:v>34.435116612909226</c:v>
                </c:pt>
                <c:pt idx="15">
                  <c:v>43.016128318132736</c:v>
                </c:pt>
                <c:pt idx="16">
                  <c:v>53.742583495171665</c:v>
                </c:pt>
                <c:pt idx="17">
                  <c:v>67.152539779188345</c:v>
                </c:pt>
                <c:pt idx="18">
                  <c:v>83.919375985462352</c:v>
                </c:pt>
                <c:pt idx="19">
                  <c:v>104.88591316959052</c:v>
                </c:pt>
                <c:pt idx="20">
                  <c:v>131.10715946118498</c:v>
                </c:pt>
                <c:pt idx="21">
                  <c:v>163.90386287643108</c:v>
                </c:pt>
                <c:pt idx="22">
                  <c:v>109.98551855409488</c:v>
                </c:pt>
                <c:pt idx="23">
                  <c:v>131.78964141786142</c:v>
                </c:pt>
                <c:pt idx="24">
                  <c:v>153.50647811881331</c:v>
                </c:pt>
                <c:pt idx="25">
                  <c:v>175.15013994164227</c:v>
                </c:pt>
                <c:pt idx="26">
                  <c:v>196.7309509283111</c:v>
                </c:pt>
                <c:pt idx="27">
                  <c:v>218.25677877090331</c:v>
                </c:pt>
                <c:pt idx="28">
                  <c:v>179.10078195324968</c:v>
                </c:pt>
                <c:pt idx="29">
                  <c:v>202.02498757512339</c:v>
                </c:pt>
                <c:pt idx="30">
                  <c:v>224.88893016364992</c:v>
                </c:pt>
                <c:pt idx="31">
                  <c:v>247.69959866068862</c:v>
                </c:pt>
                <c:pt idx="32">
                  <c:v>270.46258810986359</c:v>
                </c:pt>
                <c:pt idx="33">
                  <c:v>293.18247419736645</c:v>
                </c:pt>
                <c:pt idx="34">
                  <c:v>315.86306529155041</c:v>
                </c:pt>
                <c:pt idx="35">
                  <c:v>252.70586352550148</c:v>
                </c:pt>
                <c:pt idx="36">
                  <c:v>275.50484772237814</c:v>
                </c:pt>
                <c:pt idx="37">
                  <c:v>298.26146166084112</c:v>
                </c:pt>
                <c:pt idx="38">
                  <c:v>320.97939105673299</c:v>
                </c:pt>
                <c:pt idx="39">
                  <c:v>343.66175729883975</c:v>
                </c:pt>
                <c:pt idx="40">
                  <c:v>366.31123618163451</c:v>
                </c:pt>
                <c:pt idx="41">
                  <c:v>388.93014570850022</c:v>
                </c:pt>
                <c:pt idx="42">
                  <c:v>411.52051238897451</c:v>
                </c:pt>
                <c:pt idx="43">
                  <c:v>334.9123154103234</c:v>
                </c:pt>
                <c:pt idx="44">
                  <c:v>356.48971133078356</c:v>
                </c:pt>
                <c:pt idx="45">
                  <c:v>378.03852184899432</c:v>
                </c:pt>
                <c:pt idx="46">
                  <c:v>399.56060449432636</c:v>
                </c:pt>
                <c:pt idx="47">
                  <c:v>421.057600454142</c:v>
                </c:pt>
                <c:pt idx="48">
                  <c:v>442.5309697558817</c:v>
                </c:pt>
                <c:pt idx="49">
                  <c:v>463.98201926388407</c:v>
                </c:pt>
                <c:pt idx="50">
                  <c:v>485.41192522927435</c:v>
                </c:pt>
                <c:pt idx="51">
                  <c:v>506.82175165104758</c:v>
                </c:pt>
                <c:pt idx="52">
                  <c:v>528.21246537398554</c:v>
                </c:pt>
                <c:pt idx="53">
                  <c:v>447.61011165255587</c:v>
                </c:pt>
                <c:pt idx="54">
                  <c:v>467.15342939319197</c:v>
                </c:pt>
                <c:pt idx="55">
                  <c:v>486.67932784299154</c:v>
                </c:pt>
                <c:pt idx="56">
                  <c:v>506.18860374788613</c:v>
                </c:pt>
                <c:pt idx="57">
                  <c:v>525.68198747118367</c:v>
                </c:pt>
                <c:pt idx="58">
                  <c:v>545.16015083098671</c:v>
                </c:pt>
                <c:pt idx="59">
                  <c:v>564.62371375974169</c:v>
                </c:pt>
                <c:pt idx="60">
                  <c:v>584.07324999823106</c:v>
                </c:pt>
                <c:pt idx="61">
                  <c:v>603.50929199212317</c:v>
                </c:pt>
                <c:pt idx="62">
                  <c:v>622.93233512534732</c:v>
                </c:pt>
                <c:pt idx="63">
                  <c:v>538.33183846127633</c:v>
                </c:pt>
                <c:pt idx="64">
                  <c:v>538.33183846127633</c:v>
                </c:pt>
                <c:pt idx="65">
                  <c:v>538.33183846127633</c:v>
                </c:pt>
                <c:pt idx="66">
                  <c:v>538.33183846127633</c:v>
                </c:pt>
                <c:pt idx="67">
                  <c:v>538.33183846127633</c:v>
                </c:pt>
                <c:pt idx="68">
                  <c:v>538.33183846127633</c:v>
                </c:pt>
                <c:pt idx="69">
                  <c:v>538.33183846127633</c:v>
                </c:pt>
                <c:pt idx="70">
                  <c:v>538.33183846127633</c:v>
                </c:pt>
                <c:pt idx="71">
                  <c:v>538.33183846127633</c:v>
                </c:pt>
                <c:pt idx="72">
                  <c:v>538.33183846127633</c:v>
                </c:pt>
                <c:pt idx="73">
                  <c:v>538.33183846127633</c:v>
                </c:pt>
                <c:pt idx="74">
                  <c:v>538.33183846127633</c:v>
                </c:pt>
                <c:pt idx="75">
                  <c:v>538.33183846127633</c:v>
                </c:pt>
                <c:pt idx="76">
                  <c:v>538.33183846127633</c:v>
                </c:pt>
                <c:pt idx="77">
                  <c:v>538.33183846127633</c:v>
                </c:pt>
                <c:pt idx="78">
                  <c:v>538.33183846127633</c:v>
                </c:pt>
                <c:pt idx="79">
                  <c:v>538.33183846127633</c:v>
                </c:pt>
                <c:pt idx="80">
                  <c:v>538.33183846127633</c:v>
                </c:pt>
                <c:pt idx="81">
                  <c:v>538.33183846127633</c:v>
                </c:pt>
                <c:pt idx="82">
                  <c:v>538.33183846127633</c:v>
                </c:pt>
                <c:pt idx="83">
                  <c:v>538.33183846127633</c:v>
                </c:pt>
                <c:pt idx="84">
                  <c:v>538.33183846127633</c:v>
                </c:pt>
                <c:pt idx="85">
                  <c:v>538.33183846127633</c:v>
                </c:pt>
                <c:pt idx="86">
                  <c:v>538.33183846127633</c:v>
                </c:pt>
                <c:pt idx="87">
                  <c:v>538.33183846127633</c:v>
                </c:pt>
                <c:pt idx="88">
                  <c:v>538.33183846127633</c:v>
                </c:pt>
                <c:pt idx="89">
                  <c:v>538.33183846127633</c:v>
                </c:pt>
                <c:pt idx="90">
                  <c:v>538.33183846127633</c:v>
                </c:pt>
                <c:pt idx="91">
                  <c:v>538.33183846127633</c:v>
                </c:pt>
                <c:pt idx="92">
                  <c:v>538.33183846127633</c:v>
                </c:pt>
                <c:pt idx="93">
                  <c:v>538.33183846127633</c:v>
                </c:pt>
                <c:pt idx="94">
                  <c:v>538.33183846127633</c:v>
                </c:pt>
                <c:pt idx="95">
                  <c:v>538.33183846127633</c:v>
                </c:pt>
                <c:pt idx="96">
                  <c:v>538.33183846127633</c:v>
                </c:pt>
                <c:pt idx="97">
                  <c:v>538.33183846127633</c:v>
                </c:pt>
                <c:pt idx="98">
                  <c:v>538.33183846127633</c:v>
                </c:pt>
                <c:pt idx="99">
                  <c:v>538.33183846127633</c:v>
                </c:pt>
                <c:pt idx="100">
                  <c:v>538.33183846127633</c:v>
                </c:pt>
                <c:pt idx="101">
                  <c:v>538.33183846127633</c:v>
                </c:pt>
                <c:pt idx="102">
                  <c:v>538.33183846127633</c:v>
                </c:pt>
                <c:pt idx="103">
                  <c:v>538.33183846127633</c:v>
                </c:pt>
                <c:pt idx="104">
                  <c:v>538.33183846127633</c:v>
                </c:pt>
                <c:pt idx="105">
                  <c:v>538.33183846127633</c:v>
                </c:pt>
                <c:pt idx="106">
                  <c:v>538.33183846127633</c:v>
                </c:pt>
                <c:pt idx="107">
                  <c:v>538.33183846127633</c:v>
                </c:pt>
                <c:pt idx="108">
                  <c:v>538.33183846127633</c:v>
                </c:pt>
                <c:pt idx="109">
                  <c:v>538.33183846127633</c:v>
                </c:pt>
                <c:pt idx="110">
                  <c:v>538.33183846127633</c:v>
                </c:pt>
                <c:pt idx="111">
                  <c:v>538.33183846127633</c:v>
                </c:pt>
                <c:pt idx="112">
                  <c:v>538.33183846127633</c:v>
                </c:pt>
                <c:pt idx="113">
                  <c:v>538.33183846127633</c:v>
                </c:pt>
                <c:pt idx="114">
                  <c:v>538.33183846127633</c:v>
                </c:pt>
                <c:pt idx="115">
                  <c:v>538.33183846127633</c:v>
                </c:pt>
                <c:pt idx="116">
                  <c:v>538.33183846127633</c:v>
                </c:pt>
                <c:pt idx="117">
                  <c:v>538.33183846127633</c:v>
                </c:pt>
                <c:pt idx="118">
                  <c:v>538.33183846127633</c:v>
                </c:pt>
                <c:pt idx="119">
                  <c:v>538.33183846127633</c:v>
                </c:pt>
                <c:pt idx="120">
                  <c:v>538.33183846127633</c:v>
                </c:pt>
                <c:pt idx="121">
                  <c:v>538.33183846127633</c:v>
                </c:pt>
                <c:pt idx="122">
                  <c:v>538.33183846127633</c:v>
                </c:pt>
                <c:pt idx="123">
                  <c:v>538.33183846127633</c:v>
                </c:pt>
                <c:pt idx="124">
                  <c:v>538.33183846127633</c:v>
                </c:pt>
                <c:pt idx="125">
                  <c:v>538.33183846127633</c:v>
                </c:pt>
                <c:pt idx="126">
                  <c:v>538.33183846127633</c:v>
                </c:pt>
                <c:pt idx="127">
                  <c:v>538.33183846127633</c:v>
                </c:pt>
                <c:pt idx="128">
                  <c:v>538.33183846127633</c:v>
                </c:pt>
                <c:pt idx="129">
                  <c:v>538.33183846127633</c:v>
                </c:pt>
                <c:pt idx="130">
                  <c:v>538.33183846127633</c:v>
                </c:pt>
                <c:pt idx="131">
                  <c:v>538.33183846127633</c:v>
                </c:pt>
                <c:pt idx="132">
                  <c:v>538.33183846127633</c:v>
                </c:pt>
                <c:pt idx="133">
                  <c:v>538.33183846127633</c:v>
                </c:pt>
                <c:pt idx="134">
                  <c:v>538.33183846127633</c:v>
                </c:pt>
                <c:pt idx="135">
                  <c:v>538.33183846127633</c:v>
                </c:pt>
                <c:pt idx="136">
                  <c:v>538.33183846127633</c:v>
                </c:pt>
                <c:pt idx="137">
                  <c:v>538.33183846127633</c:v>
                </c:pt>
                <c:pt idx="138">
                  <c:v>538.33183846127633</c:v>
                </c:pt>
                <c:pt idx="139">
                  <c:v>538.33183846127633</c:v>
                </c:pt>
                <c:pt idx="140">
                  <c:v>538.33183846127633</c:v>
                </c:pt>
                <c:pt idx="141">
                  <c:v>538.33183846127633</c:v>
                </c:pt>
                <c:pt idx="142">
                  <c:v>538.33183846127633</c:v>
                </c:pt>
                <c:pt idx="143">
                  <c:v>538.33183846127633</c:v>
                </c:pt>
                <c:pt idx="144">
                  <c:v>538.33183846127633</c:v>
                </c:pt>
                <c:pt idx="145">
                  <c:v>538.33183846127633</c:v>
                </c:pt>
                <c:pt idx="146">
                  <c:v>538.33183846127633</c:v>
                </c:pt>
                <c:pt idx="147">
                  <c:v>538.33183846127633</c:v>
                </c:pt>
                <c:pt idx="148">
                  <c:v>538.33183846127633</c:v>
                </c:pt>
                <c:pt idx="149">
                  <c:v>538.33183846127633</c:v>
                </c:pt>
                <c:pt idx="150">
                  <c:v>538.33183846127633</c:v>
                </c:pt>
                <c:pt idx="151">
                  <c:v>538.33183846127633</c:v>
                </c:pt>
                <c:pt idx="152">
                  <c:v>538.33183846127633</c:v>
                </c:pt>
                <c:pt idx="153">
                  <c:v>538.33183846127633</c:v>
                </c:pt>
                <c:pt idx="154">
                  <c:v>538.33183846127633</c:v>
                </c:pt>
                <c:pt idx="155">
                  <c:v>538.33183846127633</c:v>
                </c:pt>
                <c:pt idx="156">
                  <c:v>538.33183846127633</c:v>
                </c:pt>
                <c:pt idx="157">
                  <c:v>538.33183846127633</c:v>
                </c:pt>
                <c:pt idx="158">
                  <c:v>538.33183846127633</c:v>
                </c:pt>
                <c:pt idx="159">
                  <c:v>538.33183846127633</c:v>
                </c:pt>
                <c:pt idx="160">
                  <c:v>538.33183846127633</c:v>
                </c:pt>
                <c:pt idx="161">
                  <c:v>538.33183846127633</c:v>
                </c:pt>
                <c:pt idx="162">
                  <c:v>538.33183846127633</c:v>
                </c:pt>
                <c:pt idx="163">
                  <c:v>538.33183846127633</c:v>
                </c:pt>
                <c:pt idx="164">
                  <c:v>538.33183846127633</c:v>
                </c:pt>
                <c:pt idx="165">
                  <c:v>538.33183846127633</c:v>
                </c:pt>
                <c:pt idx="166">
                  <c:v>538.33183846127633</c:v>
                </c:pt>
                <c:pt idx="167">
                  <c:v>538.33183846127633</c:v>
                </c:pt>
                <c:pt idx="168">
                  <c:v>538.33183846127633</c:v>
                </c:pt>
                <c:pt idx="169">
                  <c:v>538.33183846127633</c:v>
                </c:pt>
                <c:pt idx="170">
                  <c:v>538.33183846127633</c:v>
                </c:pt>
                <c:pt idx="171">
                  <c:v>538.33183846127633</c:v>
                </c:pt>
                <c:pt idx="172">
                  <c:v>538.33183846127633</c:v>
                </c:pt>
                <c:pt idx="173">
                  <c:v>538.33183846127633</c:v>
                </c:pt>
                <c:pt idx="174">
                  <c:v>538.33183846127633</c:v>
                </c:pt>
                <c:pt idx="175">
                  <c:v>538.33183846127633</c:v>
                </c:pt>
                <c:pt idx="176">
                  <c:v>538.33183846127633</c:v>
                </c:pt>
                <c:pt idx="177">
                  <c:v>538.33183846127633</c:v>
                </c:pt>
                <c:pt idx="178">
                  <c:v>538.33183846127633</c:v>
                </c:pt>
                <c:pt idx="179">
                  <c:v>538.33183846127633</c:v>
                </c:pt>
                <c:pt idx="180">
                  <c:v>538.33183846127633</c:v>
                </c:pt>
                <c:pt idx="181">
                  <c:v>538.33183846127633</c:v>
                </c:pt>
                <c:pt idx="182">
                  <c:v>538.33183846127633</c:v>
                </c:pt>
                <c:pt idx="183">
                  <c:v>538.33183846127633</c:v>
                </c:pt>
                <c:pt idx="184">
                  <c:v>538.33183846127633</c:v>
                </c:pt>
                <c:pt idx="185">
                  <c:v>538.33183846127633</c:v>
                </c:pt>
                <c:pt idx="186">
                  <c:v>538.33183846127633</c:v>
                </c:pt>
                <c:pt idx="187">
                  <c:v>538.33183846127633</c:v>
                </c:pt>
                <c:pt idx="188">
                  <c:v>538.33183846127633</c:v>
                </c:pt>
                <c:pt idx="189">
                  <c:v>538.33183846127633</c:v>
                </c:pt>
                <c:pt idx="190">
                  <c:v>538.33183846127633</c:v>
                </c:pt>
                <c:pt idx="191">
                  <c:v>538.33183846127633</c:v>
                </c:pt>
                <c:pt idx="192">
                  <c:v>538.33183846127633</c:v>
                </c:pt>
                <c:pt idx="193">
                  <c:v>538.33183846127633</c:v>
                </c:pt>
                <c:pt idx="194">
                  <c:v>538.33183846127633</c:v>
                </c:pt>
                <c:pt idx="195">
                  <c:v>538.33183846127633</c:v>
                </c:pt>
                <c:pt idx="196">
                  <c:v>538.33183846127633</c:v>
                </c:pt>
                <c:pt idx="197">
                  <c:v>538.33183846127633</c:v>
                </c:pt>
                <c:pt idx="198">
                  <c:v>538.33183846127633</c:v>
                </c:pt>
                <c:pt idx="199">
                  <c:v>538.33183846127633</c:v>
                </c:pt>
                <c:pt idx="200">
                  <c:v>538.33183846127633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1.7329631684132396</c:v>
                </c:pt>
                <c:pt idx="2">
                  <c:v>2.0660936172409055</c:v>
                </c:pt>
                <c:pt idx="3">
                  <c:v>2.4635050899011981</c:v>
                </c:pt>
                <c:pt idx="4">
                  <c:v>2.937645642058579</c:v>
                </c:pt>
                <c:pt idx="5">
                  <c:v>3.5033819750520929</c:v>
                </c:pt>
                <c:pt idx="6">
                  <c:v>4.178470840536618</c:v>
                </c:pt>
                <c:pt idx="7">
                  <c:v>4.9841225885735936</c:v>
                </c:pt>
                <c:pt idx="8">
                  <c:v>5.9456749177378114</c:v>
                </c:pt>
                <c:pt idx="9">
                  <c:v>7.0933984335490505</c:v>
                </c:pt>
                <c:pt idx="10">
                  <c:v>8.4634598677951853</c:v>
                </c:pt>
                <c:pt idx="11">
                  <c:v>10.099073893892708</c:v>
                </c:pt>
                <c:pt idx="12">
                  <c:v>12.051880557372124</c:v>
                </c:pt>
                <c:pt idx="13">
                  <c:v>14.383592623547626</c:v>
                </c:pt>
                <c:pt idx="14">
                  <c:v>17.167965863188581</c:v>
                </c:pt>
                <c:pt idx="15">
                  <c:v>20.493155735139077</c:v>
                </c:pt>
                <c:pt idx="16">
                  <c:v>24.464536422021315</c:v>
                </c:pt>
                <c:pt idx="17">
                  <c:v>29.20807313832157</c:v>
                </c:pt>
                <c:pt idx="18">
                  <c:v>34.874356546751436</c:v>
                </c:pt>
                <c:pt idx="19">
                  <c:v>41.643429572772526</c:v>
                </c:pt>
                <c:pt idx="20">
                  <c:v>49.730562598185294</c:v>
                </c:pt>
                <c:pt idx="21">
                  <c:v>59.39316378091349</c:v>
                </c:pt>
                <c:pt idx="22">
                  <c:v>70.939048093833506</c:v>
                </c:pt>
                <c:pt idx="23">
                  <c:v>84.736332803993648</c:v>
                </c:pt>
                <c:pt idx="24">
                  <c:v>101.22527996664168</c:v>
                </c:pt>
                <c:pt idx="25">
                  <c:v>120.93246981378593</c:v>
                </c:pt>
                <c:pt idx="26">
                  <c:v>144.48776474479953</c:v>
                </c:pt>
                <c:pt idx="27">
                  <c:v>172.64461445771659</c:v>
                </c:pt>
                <c:pt idx="28">
                  <c:v>206.30436156738918</c:v>
                </c:pt>
                <c:pt idx="29">
                  <c:v>246.54533740354415</c:v>
                </c:pt>
                <c:pt idx="30">
                  <c:v>294.65769383806099</c:v>
                </c:pt>
                <c:pt idx="31">
                  <c:v>352.185104074197</c:v>
                </c:pt>
                <c:pt idx="32">
                  <c:v>420.97468947476767</c:v>
                </c:pt>
                <c:pt idx="33">
                  <c:v>354.47429235547719</c:v>
                </c:pt>
                <c:pt idx="34">
                  <c:v>378.48411475974507</c:v>
                </c:pt>
                <c:pt idx="35">
                  <c:v>402.46079819277276</c:v>
                </c:pt>
                <c:pt idx="36">
                  <c:v>426.40659283252336</c:v>
                </c:pt>
                <c:pt idx="37">
                  <c:v>450.32347567349501</c:v>
                </c:pt>
                <c:pt idx="38">
                  <c:v>474.21319673537755</c:v>
                </c:pt>
                <c:pt idx="39">
                  <c:v>498.07731547495467</c:v>
                </c:pt>
                <c:pt idx="40">
                  <c:v>427.0854756674442</c:v>
                </c:pt>
                <c:pt idx="41">
                  <c:v>449.81489447881796</c:v>
                </c:pt>
                <c:pt idx="42">
                  <c:v>472.51975113540533</c:v>
                </c:pt>
                <c:pt idx="43">
                  <c:v>495.20139082086257</c:v>
                </c:pt>
                <c:pt idx="44">
                  <c:v>517.86102554317472</c:v>
                </c:pt>
                <c:pt idx="45">
                  <c:v>540.49975268726223</c:v>
                </c:pt>
                <c:pt idx="46">
                  <c:v>563.11857029884072</c:v>
                </c:pt>
                <c:pt idx="47">
                  <c:v>483.86339446304623</c:v>
                </c:pt>
                <c:pt idx="48">
                  <c:v>505.18103819748336</c:v>
                </c:pt>
                <c:pt idx="49">
                  <c:v>526.47966574618169</c:v>
                </c:pt>
                <c:pt idx="50">
                  <c:v>547.76015397632511</c:v>
                </c:pt>
                <c:pt idx="51">
                  <c:v>569.02330612558285</c:v>
                </c:pt>
                <c:pt idx="52">
                  <c:v>590.26986056055364</c:v>
                </c:pt>
                <c:pt idx="53">
                  <c:v>611.500498209375</c:v>
                </c:pt>
                <c:pt idx="54">
                  <c:v>531.88591959354574</c:v>
                </c:pt>
                <c:pt idx="55">
                  <c:v>551.47399543259201</c:v>
                </c:pt>
                <c:pt idx="56">
                  <c:v>571.04749147547409</c:v>
                </c:pt>
                <c:pt idx="57">
                  <c:v>590.60697739776572</c:v>
                </c:pt>
                <c:pt idx="58">
                  <c:v>610.15298209762693</c:v>
                </c:pt>
                <c:pt idx="59">
                  <c:v>629.68599785390074</c:v>
                </c:pt>
                <c:pt idx="60">
                  <c:v>649.20648394180876</c:v>
                </c:pt>
                <c:pt idx="61">
                  <c:v>572.0595279022599</c:v>
                </c:pt>
                <c:pt idx="62">
                  <c:v>589.25848598320829</c:v>
                </c:pt>
                <c:pt idx="63">
                  <c:v>606.44699384146918</c:v>
                </c:pt>
                <c:pt idx="64">
                  <c:v>623.62538916620679</c:v>
                </c:pt>
                <c:pt idx="65">
                  <c:v>640.79398953953057</c:v>
                </c:pt>
                <c:pt idx="66">
                  <c:v>657.95309415138615</c:v>
                </c:pt>
                <c:pt idx="67">
                  <c:v>675.10298532637864</c:v>
                </c:pt>
                <c:pt idx="68">
                  <c:v>573.74617221143478</c:v>
                </c:pt>
                <c:pt idx="69">
                  <c:v>573.74617221143478</c:v>
                </c:pt>
                <c:pt idx="70">
                  <c:v>573.74617221143478</c:v>
                </c:pt>
                <c:pt idx="71">
                  <c:v>573.74617221143478</c:v>
                </c:pt>
                <c:pt idx="72">
                  <c:v>573.74617221143478</c:v>
                </c:pt>
                <c:pt idx="73">
                  <c:v>573.74617221143478</c:v>
                </c:pt>
                <c:pt idx="74">
                  <c:v>573.74617221143478</c:v>
                </c:pt>
                <c:pt idx="75">
                  <c:v>573.74617221143478</c:v>
                </c:pt>
                <c:pt idx="76">
                  <c:v>573.74617221143478</c:v>
                </c:pt>
                <c:pt idx="77">
                  <c:v>573.74617221143478</c:v>
                </c:pt>
                <c:pt idx="78">
                  <c:v>573.74617221143478</c:v>
                </c:pt>
                <c:pt idx="79">
                  <c:v>573.74617221143478</c:v>
                </c:pt>
                <c:pt idx="80">
                  <c:v>573.74617221143478</c:v>
                </c:pt>
                <c:pt idx="81">
                  <c:v>573.74617221143478</c:v>
                </c:pt>
                <c:pt idx="82">
                  <c:v>573.74617221143478</c:v>
                </c:pt>
                <c:pt idx="83">
                  <c:v>573.74617221143478</c:v>
                </c:pt>
                <c:pt idx="84">
                  <c:v>573.74617221143478</c:v>
                </c:pt>
                <c:pt idx="85">
                  <c:v>573.74617221143478</c:v>
                </c:pt>
                <c:pt idx="86">
                  <c:v>573.74617221143478</c:v>
                </c:pt>
                <c:pt idx="87">
                  <c:v>573.74617221143478</c:v>
                </c:pt>
                <c:pt idx="88">
                  <c:v>573.74617221143478</c:v>
                </c:pt>
                <c:pt idx="89">
                  <c:v>573.74617221143478</c:v>
                </c:pt>
                <c:pt idx="90">
                  <c:v>573.74617221143478</c:v>
                </c:pt>
                <c:pt idx="91">
                  <c:v>573.74617221143478</c:v>
                </c:pt>
                <c:pt idx="92">
                  <c:v>573.74617221143478</c:v>
                </c:pt>
                <c:pt idx="93">
                  <c:v>573.74617221143478</c:v>
                </c:pt>
                <c:pt idx="94">
                  <c:v>573.74617221143478</c:v>
                </c:pt>
                <c:pt idx="95">
                  <c:v>573.74617221143478</c:v>
                </c:pt>
                <c:pt idx="96">
                  <c:v>573.74617221143478</c:v>
                </c:pt>
                <c:pt idx="97">
                  <c:v>573.74617221143478</c:v>
                </c:pt>
                <c:pt idx="98">
                  <c:v>573.74617221143478</c:v>
                </c:pt>
                <c:pt idx="99">
                  <c:v>573.74617221143478</c:v>
                </c:pt>
                <c:pt idx="100">
                  <c:v>573.74617221143478</c:v>
                </c:pt>
                <c:pt idx="101">
                  <c:v>573.74617221143478</c:v>
                </c:pt>
                <c:pt idx="102">
                  <c:v>573.74617221143478</c:v>
                </c:pt>
                <c:pt idx="103">
                  <c:v>573.74617221143478</c:v>
                </c:pt>
                <c:pt idx="104">
                  <c:v>573.74617221143478</c:v>
                </c:pt>
                <c:pt idx="105">
                  <c:v>573.74617221143478</c:v>
                </c:pt>
                <c:pt idx="106">
                  <c:v>573.74617221143478</c:v>
                </c:pt>
                <c:pt idx="107">
                  <c:v>573.74617221143478</c:v>
                </c:pt>
                <c:pt idx="108">
                  <c:v>573.74617221143478</c:v>
                </c:pt>
                <c:pt idx="109">
                  <c:v>573.74617221143478</c:v>
                </c:pt>
                <c:pt idx="110">
                  <c:v>573.74617221143478</c:v>
                </c:pt>
                <c:pt idx="111">
                  <c:v>573.74617221143478</c:v>
                </c:pt>
                <c:pt idx="112">
                  <c:v>573.74617221143478</c:v>
                </c:pt>
                <c:pt idx="113">
                  <c:v>573.74617221143478</c:v>
                </c:pt>
                <c:pt idx="114">
                  <c:v>573.74617221143478</c:v>
                </c:pt>
                <c:pt idx="115">
                  <c:v>573.74617221143478</c:v>
                </c:pt>
                <c:pt idx="116">
                  <c:v>573.74617221143478</c:v>
                </c:pt>
                <c:pt idx="117">
                  <c:v>573.74617221143478</c:v>
                </c:pt>
                <c:pt idx="118">
                  <c:v>573.74617221143478</c:v>
                </c:pt>
                <c:pt idx="119">
                  <c:v>573.74617221143478</c:v>
                </c:pt>
                <c:pt idx="120">
                  <c:v>573.74617221143478</c:v>
                </c:pt>
                <c:pt idx="121">
                  <c:v>573.74617221143478</c:v>
                </c:pt>
                <c:pt idx="122">
                  <c:v>573.74617221143478</c:v>
                </c:pt>
                <c:pt idx="123">
                  <c:v>573.74617221143478</c:v>
                </c:pt>
                <c:pt idx="124">
                  <c:v>573.74617221143478</c:v>
                </c:pt>
                <c:pt idx="125">
                  <c:v>573.74617221143478</c:v>
                </c:pt>
                <c:pt idx="126">
                  <c:v>573.74617221143478</c:v>
                </c:pt>
                <c:pt idx="127">
                  <c:v>573.74617221143478</c:v>
                </c:pt>
                <c:pt idx="128">
                  <c:v>573.74617221143478</c:v>
                </c:pt>
                <c:pt idx="129">
                  <c:v>573.74617221143478</c:v>
                </c:pt>
                <c:pt idx="130">
                  <c:v>573.74617221143478</c:v>
                </c:pt>
                <c:pt idx="131">
                  <c:v>573.74617221143478</c:v>
                </c:pt>
                <c:pt idx="132">
                  <c:v>573.74617221143478</c:v>
                </c:pt>
                <c:pt idx="133">
                  <c:v>573.74617221143478</c:v>
                </c:pt>
                <c:pt idx="134">
                  <c:v>573.74617221143478</c:v>
                </c:pt>
                <c:pt idx="135">
                  <c:v>573.74617221143478</c:v>
                </c:pt>
                <c:pt idx="136">
                  <c:v>573.74617221143478</c:v>
                </c:pt>
                <c:pt idx="137">
                  <c:v>573.74617221143478</c:v>
                </c:pt>
                <c:pt idx="138">
                  <c:v>573.74617221143478</c:v>
                </c:pt>
                <c:pt idx="139">
                  <c:v>573.74617221143478</c:v>
                </c:pt>
                <c:pt idx="140">
                  <c:v>573.74617221143478</c:v>
                </c:pt>
                <c:pt idx="141">
                  <c:v>573.74617221143478</c:v>
                </c:pt>
                <c:pt idx="142">
                  <c:v>573.74617221143478</c:v>
                </c:pt>
                <c:pt idx="143">
                  <c:v>573.74617221143478</c:v>
                </c:pt>
                <c:pt idx="144">
                  <c:v>573.74617221143478</c:v>
                </c:pt>
                <c:pt idx="145">
                  <c:v>573.74617221143478</c:v>
                </c:pt>
                <c:pt idx="146">
                  <c:v>573.74617221143478</c:v>
                </c:pt>
                <c:pt idx="147">
                  <c:v>573.74617221143478</c:v>
                </c:pt>
                <c:pt idx="148">
                  <c:v>573.74617221143478</c:v>
                </c:pt>
                <c:pt idx="149">
                  <c:v>573.74617221143478</c:v>
                </c:pt>
                <c:pt idx="150">
                  <c:v>573.74617221143478</c:v>
                </c:pt>
                <c:pt idx="151">
                  <c:v>573.74617221143478</c:v>
                </c:pt>
                <c:pt idx="152">
                  <c:v>573.74617221143478</c:v>
                </c:pt>
                <c:pt idx="153">
                  <c:v>573.74617221143478</c:v>
                </c:pt>
                <c:pt idx="154">
                  <c:v>573.74617221143478</c:v>
                </c:pt>
                <c:pt idx="155">
                  <c:v>573.74617221143478</c:v>
                </c:pt>
                <c:pt idx="156">
                  <c:v>573.74617221143478</c:v>
                </c:pt>
                <c:pt idx="157">
                  <c:v>573.74617221143478</c:v>
                </c:pt>
                <c:pt idx="158">
                  <c:v>573.74617221143478</c:v>
                </c:pt>
                <c:pt idx="159">
                  <c:v>573.74617221143478</c:v>
                </c:pt>
                <c:pt idx="160">
                  <c:v>573.74617221143478</c:v>
                </c:pt>
                <c:pt idx="161">
                  <c:v>573.74617221143478</c:v>
                </c:pt>
                <c:pt idx="162">
                  <c:v>573.74617221143478</c:v>
                </c:pt>
                <c:pt idx="163">
                  <c:v>573.74617221143478</c:v>
                </c:pt>
                <c:pt idx="164">
                  <c:v>573.74617221143478</c:v>
                </c:pt>
                <c:pt idx="165">
                  <c:v>573.74617221143478</c:v>
                </c:pt>
                <c:pt idx="166">
                  <c:v>573.74617221143478</c:v>
                </c:pt>
                <c:pt idx="167">
                  <c:v>573.74617221143478</c:v>
                </c:pt>
                <c:pt idx="168">
                  <c:v>573.74617221143478</c:v>
                </c:pt>
                <c:pt idx="169">
                  <c:v>573.74617221143478</c:v>
                </c:pt>
                <c:pt idx="170">
                  <c:v>573.74617221143478</c:v>
                </c:pt>
                <c:pt idx="171">
                  <c:v>573.74617221143478</c:v>
                </c:pt>
                <c:pt idx="172">
                  <c:v>573.74617221143478</c:v>
                </c:pt>
                <c:pt idx="173">
                  <c:v>573.74617221143478</c:v>
                </c:pt>
                <c:pt idx="174">
                  <c:v>573.74617221143478</c:v>
                </c:pt>
                <c:pt idx="175">
                  <c:v>573.74617221143478</c:v>
                </c:pt>
                <c:pt idx="176">
                  <c:v>573.74617221143478</c:v>
                </c:pt>
                <c:pt idx="177">
                  <c:v>573.74617221143478</c:v>
                </c:pt>
                <c:pt idx="178">
                  <c:v>573.74617221143478</c:v>
                </c:pt>
                <c:pt idx="179">
                  <c:v>573.74617221143478</c:v>
                </c:pt>
                <c:pt idx="180">
                  <c:v>573.74617221143478</c:v>
                </c:pt>
                <c:pt idx="181">
                  <c:v>573.74617221143478</c:v>
                </c:pt>
                <c:pt idx="182">
                  <c:v>573.74617221143478</c:v>
                </c:pt>
                <c:pt idx="183">
                  <c:v>573.74617221143478</c:v>
                </c:pt>
                <c:pt idx="184">
                  <c:v>573.74617221143478</c:v>
                </c:pt>
                <c:pt idx="185">
                  <c:v>573.74617221143478</c:v>
                </c:pt>
                <c:pt idx="186">
                  <c:v>573.74617221143478</c:v>
                </c:pt>
                <c:pt idx="187">
                  <c:v>573.74617221143478</c:v>
                </c:pt>
                <c:pt idx="188">
                  <c:v>573.74617221143478</c:v>
                </c:pt>
                <c:pt idx="189">
                  <c:v>573.74617221143478</c:v>
                </c:pt>
                <c:pt idx="190">
                  <c:v>573.74617221143478</c:v>
                </c:pt>
                <c:pt idx="191">
                  <c:v>573.74617221143478</c:v>
                </c:pt>
                <c:pt idx="192">
                  <c:v>573.74617221143478</c:v>
                </c:pt>
                <c:pt idx="193">
                  <c:v>573.74617221143478</c:v>
                </c:pt>
                <c:pt idx="194">
                  <c:v>573.74617221143478</c:v>
                </c:pt>
                <c:pt idx="195">
                  <c:v>573.74617221143478</c:v>
                </c:pt>
                <c:pt idx="196">
                  <c:v>573.74617221143478</c:v>
                </c:pt>
                <c:pt idx="197">
                  <c:v>573.74617221143478</c:v>
                </c:pt>
                <c:pt idx="198">
                  <c:v>573.74617221143478</c:v>
                </c:pt>
                <c:pt idx="199">
                  <c:v>573.74617221143478</c:v>
                </c:pt>
                <c:pt idx="200">
                  <c:v>573.74617221143478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L123" sqref="L1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2.75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27</v>
      </c>
      <c r="C9" s="32">
        <v>0.4</v>
      </c>
      <c r="D9" s="33">
        <f t="shared" ref="D9:D18" si="0">C9*$C$5</f>
        <v>1.1000000000000001</v>
      </c>
      <c r="E9" s="34">
        <v>42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0.24</v>
      </c>
      <c r="D10" s="33">
        <f t="shared" si="0"/>
        <v>0.65999999999999992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18</v>
      </c>
      <c r="C11" s="32">
        <v>0.19</v>
      </c>
      <c r="D11" s="33">
        <f t="shared" si="0"/>
        <v>0.52249999999999996</v>
      </c>
      <c r="E11" s="34">
        <v>67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23</v>
      </c>
      <c r="C12" s="32">
        <v>0.17</v>
      </c>
      <c r="D12" s="33">
        <f t="shared" si="0"/>
        <v>0.46750000000000003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2.75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Mélèze d'Europe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116</v>
      </c>
      <c r="C36" s="60">
        <v>1</v>
      </c>
      <c r="D36" s="60">
        <v>21</v>
      </c>
      <c r="E36" s="51"/>
      <c r="F36" s="51">
        <v>0.6</v>
      </c>
      <c r="G36" s="51">
        <v>0.4</v>
      </c>
      <c r="H36" s="51"/>
      <c r="I36" s="49">
        <f>IFERROR(B36/A36,"")</f>
        <v>9.6666666666666661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15</v>
      </c>
      <c r="B37" s="60">
        <v>168</v>
      </c>
      <c r="C37" s="60">
        <v>2</v>
      </c>
      <c r="D37" s="60">
        <v>47</v>
      </c>
      <c r="E37" s="51"/>
      <c r="F37" s="51">
        <v>0.6</v>
      </c>
      <c r="G37" s="51">
        <v>0.4</v>
      </c>
      <c r="H37" s="51"/>
      <c r="I37" s="53">
        <f t="shared" ref="I37:I55" si="1">IF(A37&lt;&gt;0,(B37-(B36-D36))/(A37-A36),"")</f>
        <v>24.333333333333332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18</v>
      </c>
      <c r="B38" s="60">
        <v>185</v>
      </c>
      <c r="C38" s="60">
        <v>3</v>
      </c>
      <c r="D38" s="60">
        <v>61</v>
      </c>
      <c r="E38" s="51"/>
      <c r="F38" s="51">
        <v>0.6</v>
      </c>
      <c r="G38" s="51">
        <v>0.4</v>
      </c>
      <c r="H38" s="51"/>
      <c r="I38" s="53">
        <f t="shared" si="1"/>
        <v>21.333333333333332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v>239</v>
      </c>
      <c r="C39" s="60">
        <v>4</v>
      </c>
      <c r="D39" s="60">
        <v>84</v>
      </c>
      <c r="E39" s="51">
        <v>0.1</v>
      </c>
      <c r="F39" s="51">
        <v>0.5</v>
      </c>
      <c r="G39" s="51">
        <v>0.4</v>
      </c>
      <c r="H39" s="51"/>
      <c r="I39" s="49">
        <f t="shared" si="1"/>
        <v>19.166666666666668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30</v>
      </c>
      <c r="B40" s="60">
        <v>255</v>
      </c>
      <c r="C40" s="60">
        <v>5</v>
      </c>
      <c r="D40" s="60">
        <v>76</v>
      </c>
      <c r="E40" s="51">
        <v>0.3</v>
      </c>
      <c r="F40" s="51">
        <v>0.5</v>
      </c>
      <c r="G40" s="51">
        <v>0.2</v>
      </c>
      <c r="H40" s="51"/>
      <c r="I40" s="49">
        <f t="shared" si="1"/>
        <v>16.666666666666668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36</v>
      </c>
      <c r="B41" s="60">
        <v>269</v>
      </c>
      <c r="C41" s="60">
        <v>6</v>
      </c>
      <c r="D41" s="60">
        <v>75</v>
      </c>
      <c r="E41" s="51">
        <v>0.4</v>
      </c>
      <c r="F41" s="51">
        <v>0.4</v>
      </c>
      <c r="G41" s="51">
        <v>0.2</v>
      </c>
      <c r="H41" s="51"/>
      <c r="I41" s="53">
        <f t="shared" si="1"/>
        <v>15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42</v>
      </c>
      <c r="B42" s="60">
        <v>278</v>
      </c>
      <c r="C42" s="60">
        <v>7</v>
      </c>
      <c r="D42" s="60"/>
      <c r="E42" s="51">
        <v>0.5</v>
      </c>
      <c r="F42" s="51">
        <v>0.3</v>
      </c>
      <c r="G42" s="51">
        <v>0.2</v>
      </c>
      <c r="H42" s="51"/>
      <c r="I42" s="53">
        <f t="shared" si="1"/>
        <v>14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21</v>
      </c>
      <c r="B62" s="60">
        <v>123</v>
      </c>
      <c r="C62" s="60">
        <v>2</v>
      </c>
      <c r="D62" s="60">
        <v>58</v>
      </c>
      <c r="E62" s="51"/>
      <c r="F62" s="51">
        <v>0.6</v>
      </c>
      <c r="G62" s="51">
        <v>0.4</v>
      </c>
      <c r="H62" s="51"/>
      <c r="I62" s="53">
        <f>IFERROR(B62/A62,"")</f>
        <v>5.8571428571428568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27</v>
      </c>
      <c r="B63" s="60">
        <f>117+D63</f>
        <v>165</v>
      </c>
      <c r="C63" s="60">
        <v>3</v>
      </c>
      <c r="D63" s="60">
        <v>48</v>
      </c>
      <c r="E63" s="51">
        <v>0.1</v>
      </c>
      <c r="F63" s="51">
        <v>0.55000000000000004</v>
      </c>
      <c r="G63" s="51">
        <v>0.35</v>
      </c>
      <c r="H63" s="51"/>
      <c r="I63" s="49">
        <f>IF(A63&lt;&gt;0,(B63-(B62-D62))/(A63-A62),"")</f>
        <v>16.666666666666668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34</v>
      </c>
      <c r="B64" s="60">
        <f>174+D64</f>
        <v>241</v>
      </c>
      <c r="C64" s="60">
        <v>4</v>
      </c>
      <c r="D64" s="60">
        <v>67</v>
      </c>
      <c r="E64" s="51">
        <v>0.2</v>
      </c>
      <c r="F64" s="51">
        <v>0.5</v>
      </c>
      <c r="G64" s="51">
        <v>0.3</v>
      </c>
      <c r="H64" s="51"/>
      <c r="I64" s="49">
        <f>IF(A64&lt;&gt;0,(B64-(B63-D63))/(A64-A63),"")</f>
        <v>17.714285714285715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42</v>
      </c>
      <c r="B65" s="60">
        <f>239+D65</f>
        <v>316</v>
      </c>
      <c r="C65" s="60">
        <v>5</v>
      </c>
      <c r="D65" s="60">
        <v>77</v>
      </c>
      <c r="E65" s="51">
        <v>0.3</v>
      </c>
      <c r="F65" s="51">
        <v>0.4</v>
      </c>
      <c r="G65" s="51">
        <v>0.3</v>
      </c>
      <c r="H65" s="51"/>
      <c r="I65" s="49">
        <f>IF(A65&lt;&gt;0,(B65-(B64-D64))/(A65-A64),"")</f>
        <v>17.75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52</v>
      </c>
      <c r="B66" s="60">
        <f>329+D66</f>
        <v>408</v>
      </c>
      <c r="C66" s="60">
        <v>6</v>
      </c>
      <c r="D66" s="60">
        <v>79</v>
      </c>
      <c r="E66" s="51">
        <v>0.4</v>
      </c>
      <c r="F66" s="51">
        <v>0.4</v>
      </c>
      <c r="G66" s="51">
        <v>0.2</v>
      </c>
      <c r="H66" s="51"/>
      <c r="I66" s="49">
        <f t="shared" ref="I66:I81" si="2">IF(A66&lt;&gt;0,(B66-(B65-D65))/(A66-A65),"")</f>
        <v>16.899999999999999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62</v>
      </c>
      <c r="B67" s="60">
        <f>416+D67</f>
        <v>483</v>
      </c>
      <c r="C67" s="60">
        <v>7</v>
      </c>
      <c r="D67" s="60">
        <v>67</v>
      </c>
      <c r="E67" s="51">
        <v>0.5</v>
      </c>
      <c r="F67" s="51">
        <v>0.3</v>
      </c>
      <c r="G67" s="51">
        <v>0.2</v>
      </c>
      <c r="H67" s="51"/>
      <c r="I67" s="49">
        <f t="shared" si="2"/>
        <v>15.4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32</v>
      </c>
      <c r="B88" s="60">
        <v>346</v>
      </c>
      <c r="C88" s="60">
        <v>1</v>
      </c>
      <c r="D88" s="60">
        <v>76</v>
      </c>
      <c r="E88" s="51"/>
      <c r="F88" s="51">
        <v>0.6</v>
      </c>
      <c r="G88" s="51">
        <v>0.4</v>
      </c>
      <c r="H88" s="87"/>
      <c r="I88" s="53">
        <f>IFERROR(B88/A88,"")</f>
        <v>10.8125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39</v>
      </c>
      <c r="B89" s="60">
        <v>411</v>
      </c>
      <c r="C89" s="60">
        <v>2</v>
      </c>
      <c r="D89" s="60">
        <v>79</v>
      </c>
      <c r="E89" s="51">
        <v>0.1</v>
      </c>
      <c r="F89" s="51">
        <v>0.55000000000000004</v>
      </c>
      <c r="G89" s="51">
        <v>0.35</v>
      </c>
      <c r="H89" s="87"/>
      <c r="I89" s="53">
        <f t="shared" ref="I89:I107" si="3">IF(A89&lt;&gt;0,(B89-(B88-D88))/(A89-A88),"")</f>
        <v>20.142857142857142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46</v>
      </c>
      <c r="B90" s="60">
        <v>466</v>
      </c>
      <c r="C90" s="60">
        <v>3</v>
      </c>
      <c r="D90" s="60">
        <v>85</v>
      </c>
      <c r="E90" s="87">
        <v>0.2</v>
      </c>
      <c r="F90" s="87">
        <v>0.5</v>
      </c>
      <c r="G90" s="87">
        <v>0.3</v>
      </c>
      <c r="H90" s="87"/>
      <c r="I90" s="53">
        <f t="shared" si="3"/>
        <v>19.142857142857142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53</v>
      </c>
      <c r="B91" s="60">
        <v>507</v>
      </c>
      <c r="C91" s="60">
        <v>4</v>
      </c>
      <c r="D91" s="60">
        <v>84</v>
      </c>
      <c r="E91" s="87">
        <v>0.3</v>
      </c>
      <c r="F91" s="87">
        <v>0.4</v>
      </c>
      <c r="G91" s="87">
        <v>0.3</v>
      </c>
      <c r="H91" s="87"/>
      <c r="I91" s="53">
        <f t="shared" si="3"/>
        <v>18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539</v>
      </c>
      <c r="C92" s="60">
        <v>5</v>
      </c>
      <c r="D92" s="60">
        <v>80</v>
      </c>
      <c r="E92" s="87">
        <v>0.4</v>
      </c>
      <c r="F92" s="87">
        <v>0.4</v>
      </c>
      <c r="G92" s="87">
        <v>0.2</v>
      </c>
      <c r="H92" s="87"/>
      <c r="I92" s="53">
        <f t="shared" si="3"/>
        <v>16.571428571428573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67</v>
      </c>
      <c r="B93" s="60">
        <v>561</v>
      </c>
      <c r="C93" s="60">
        <v>6</v>
      </c>
      <c r="D93" s="60">
        <v>86</v>
      </c>
      <c r="E93" s="87">
        <v>0.5</v>
      </c>
      <c r="F93" s="87">
        <v>0.3</v>
      </c>
      <c r="G93" s="87">
        <v>0.2</v>
      </c>
      <c r="H93" s="87"/>
      <c r="I93" s="53">
        <f t="shared" si="3"/>
        <v>14.571428571428571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f>33+D114</f>
        <v>65</v>
      </c>
      <c r="C114" s="50">
        <v>1</v>
      </c>
      <c r="D114" s="60">
        <v>32</v>
      </c>
      <c r="E114" s="51"/>
      <c r="F114" s="51"/>
      <c r="G114" s="51"/>
      <c r="H114" s="51">
        <v>1</v>
      </c>
      <c r="I114" s="53">
        <f>IFERROR(B114/A114,"")</f>
        <v>4.333333333333333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f>67+D115</f>
        <v>102</v>
      </c>
      <c r="C115" s="50">
        <v>2</v>
      </c>
      <c r="D115" s="60">
        <v>35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13.8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f>106+D116</f>
        <v>141</v>
      </c>
      <c r="C116" s="50">
        <v>3</v>
      </c>
      <c r="D116" s="60">
        <v>35</v>
      </c>
      <c r="E116" s="51">
        <v>0.4</v>
      </c>
      <c r="F116" s="51">
        <v>0.08</v>
      </c>
      <c r="G116" s="51">
        <v>0.12</v>
      </c>
      <c r="H116" s="51">
        <v>0.4</v>
      </c>
      <c r="I116" s="53">
        <f t="shared" si="4"/>
        <v>14.8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f>142+D117</f>
        <v>177</v>
      </c>
      <c r="C117" s="50">
        <v>4</v>
      </c>
      <c r="D117" s="60">
        <v>35</v>
      </c>
      <c r="E117" s="51">
        <v>0.4</v>
      </c>
      <c r="F117" s="51">
        <v>0.08</v>
      </c>
      <c r="G117" s="51">
        <v>0.12</v>
      </c>
      <c r="H117" s="51">
        <v>0.4</v>
      </c>
      <c r="I117" s="53">
        <f t="shared" si="4"/>
        <v>14.2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f>171+D118</f>
        <v>206</v>
      </c>
      <c r="C118" s="50">
        <v>5</v>
      </c>
      <c r="D118" s="60">
        <v>35</v>
      </c>
      <c r="E118" s="51">
        <v>0.4</v>
      </c>
      <c r="F118" s="51">
        <v>0.08</v>
      </c>
      <c r="G118" s="51">
        <v>0.12</v>
      </c>
      <c r="H118" s="51">
        <v>0.4</v>
      </c>
      <c r="I118" s="53">
        <f t="shared" si="4"/>
        <v>12.8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f>193+D119</f>
        <v>228</v>
      </c>
      <c r="C119" s="50">
        <v>6</v>
      </c>
      <c r="D119" s="60">
        <v>35</v>
      </c>
      <c r="E119" s="51">
        <v>0.6</v>
      </c>
      <c r="F119" s="51">
        <v>0.04</v>
      </c>
      <c r="G119" s="51">
        <v>0.06</v>
      </c>
      <c r="H119" s="51">
        <v>0.3</v>
      </c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f>218+D120</f>
        <v>242</v>
      </c>
      <c r="C120" s="60">
        <v>7</v>
      </c>
      <c r="D120" s="60">
        <v>24</v>
      </c>
      <c r="E120" s="87">
        <v>0.6</v>
      </c>
      <c r="F120" s="87">
        <v>0.04</v>
      </c>
      <c r="G120" s="87">
        <v>0.06</v>
      </c>
      <c r="H120" s="87">
        <v>0.3</v>
      </c>
      <c r="I120" s="53">
        <f t="shared" si="4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f>242+D121</f>
        <v>261</v>
      </c>
      <c r="C121" s="60">
        <v>8</v>
      </c>
      <c r="D121" s="60">
        <v>19</v>
      </c>
      <c r="E121" s="87">
        <v>0.6</v>
      </c>
      <c r="F121" s="87">
        <v>0.04</v>
      </c>
      <c r="G121" s="87">
        <v>0.06</v>
      </c>
      <c r="H121" s="87">
        <v>0.3</v>
      </c>
      <c r="I121" s="53">
        <f t="shared" si="4"/>
        <v>8.6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f>263+D122</f>
        <v>279</v>
      </c>
      <c r="C122" s="60">
        <v>9</v>
      </c>
      <c r="D122" s="60">
        <v>16</v>
      </c>
      <c r="E122" s="87">
        <v>0.8</v>
      </c>
      <c r="F122" s="87">
        <v>0.04</v>
      </c>
      <c r="G122" s="87">
        <v>0.06</v>
      </c>
      <c r="H122" s="87">
        <v>0.1</v>
      </c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f>280+D123</f>
        <v>294</v>
      </c>
      <c r="C123" s="60">
        <v>10</v>
      </c>
      <c r="D123" s="60">
        <v>14</v>
      </c>
      <c r="E123" s="87">
        <v>0.8</v>
      </c>
      <c r="F123" s="87">
        <v>0.04</v>
      </c>
      <c r="G123" s="87">
        <v>0.06</v>
      </c>
      <c r="H123" s="87">
        <v>0.1</v>
      </c>
      <c r="I123" s="53">
        <f t="shared" si="4"/>
        <v>6.2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f>293+D124</f>
        <v>306</v>
      </c>
      <c r="C124" s="60">
        <v>11</v>
      </c>
      <c r="D124" s="60">
        <v>13</v>
      </c>
      <c r="E124" s="87">
        <v>0.8</v>
      </c>
      <c r="F124" s="87">
        <v>0.04</v>
      </c>
      <c r="G124" s="87">
        <v>0.06</v>
      </c>
      <c r="H124" s="87">
        <v>0.1</v>
      </c>
      <c r="I124" s="53">
        <f t="shared" si="4"/>
        <v>5.2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f>303+D125</f>
        <v>316</v>
      </c>
      <c r="C125" s="60">
        <v>12</v>
      </c>
      <c r="D125" s="60">
        <v>13</v>
      </c>
      <c r="E125" s="87">
        <v>0.8</v>
      </c>
      <c r="F125" s="87">
        <v>0.04</v>
      </c>
      <c r="G125" s="87">
        <v>0.06</v>
      </c>
      <c r="H125" s="87">
        <v>0.1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75</v>
      </c>
      <c r="B126" s="60">
        <f>312+D126</f>
        <v>324</v>
      </c>
      <c r="C126" s="60">
        <v>13</v>
      </c>
      <c r="D126" s="60">
        <v>12</v>
      </c>
      <c r="E126" s="65">
        <v>0.8</v>
      </c>
      <c r="F126" s="65">
        <v>0.04</v>
      </c>
      <c r="G126" s="65">
        <v>0.06</v>
      </c>
      <c r="H126" s="65">
        <v>0.1</v>
      </c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80</v>
      </c>
      <c r="B127" s="60">
        <f>319+D127</f>
        <v>330</v>
      </c>
      <c r="C127" s="60">
        <v>14</v>
      </c>
      <c r="D127" s="60">
        <v>11</v>
      </c>
      <c r="E127" s="65">
        <v>0.8</v>
      </c>
      <c r="F127" s="65">
        <v>0.04</v>
      </c>
      <c r="G127" s="65">
        <v>0.06</v>
      </c>
      <c r="H127" s="65">
        <v>0.1</v>
      </c>
      <c r="I127" s="53">
        <f t="shared" si="4"/>
        <v>3.6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Mélèze d'Europe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Douglas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232.56424130731699</v>
      </c>
      <c r="T3" s="59">
        <f>IF('Données projet'!E9&gt;30,$R$33-$H$33,LOOKUP('Données projet'!$E$9,$A$3:$A$203,R3:R203)-LOOKUP('Données projet'!$E$9,$A$3:$A$203,$H$3:$H$203))</f>
        <v>384.58890620364178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279.39350157328471</v>
      </c>
      <c r="AO3" s="59">
        <f>IF('Données projet'!E10&gt;30,$AM$33-$H$33,LOOKUP('Données projet'!$E$10,$A$3:$A$203,AM3:AM203)-LOOKUP('Données projet'!$E$10,$A$3:$A$203,$H$3:$H$203))</f>
        <v>261.55559683031657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342.37397177572871</v>
      </c>
      <c r="BJ3" s="59">
        <f>IF('Données projet'!E11&gt;30,$BH$33-$H$33,LOOKUP('Données projet'!$E$11,$A$3:$A$203,BH3:BH203)-LOOKUP('Données projet'!$E$11,$A$3:$A$203,$H$3:$H$203))</f>
        <v>331.32436050472762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353.37479213497227</v>
      </c>
      <c r="CE3" s="59">
        <f>IF('Données projet'!E12&gt;30,$CC$33-$H$33,LOOKUP('Données projet'!$E$12,$A$3:$A$203,CC3:CC203)-LOOKUP('Données projet'!$E$12,$A$3:$A$203,$H$3:$H$203))</f>
        <v>345.4750813433123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9.6666666666666661</v>
      </c>
      <c r="N4" s="13">
        <f>IF('Données projet'!$A$36&gt;35,N3+M4-V3,IF(A4&lt;'Données projet'!$A$36,$K$205^A4,IF(A4='Données projet'!$A$36,'Données projet'!$B$36,N3+M4-V3)))</f>
        <v>1.4860662319460807</v>
      </c>
      <c r="O4" s="13">
        <f>N4*VLOOKUP('Données projet'!$B$9,Paramètres!$A$1:$I$89,3,0)*VLOOKUP('Données projet'!$B$9,Paramètres!$A$1:$I$89,5,0)</f>
        <v>0.92730532873435434</v>
      </c>
      <c r="P4" s="13">
        <f>EXP(-1.0587+0.8836*LN(O4)+0.284)</f>
        <v>0.43111198012655699</v>
      </c>
      <c r="Q4" s="20">
        <f t="shared" ref="Q4:Q34" si="2">(O4+P4)*0.475*44/12</f>
        <v>2.3659101462660872</v>
      </c>
      <c r="R4" s="59">
        <f t="shared" si="0"/>
        <v>260.25479903515492</v>
      </c>
      <c r="S4" s="59">
        <f ca="1">AVERAGE(OFFSET($R$3,0,0,'Données projet'!$E$9+1,1))-AVERAGE(OFFSET($H$3,0,0,'Données projet'!$E$9+1,1))</f>
        <v>232.56424130731699</v>
      </c>
      <c r="T4" s="59">
        <f>$T$3</f>
        <v>384.58890620364178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5.8571428571428568</v>
      </c>
      <c r="AI4" s="13">
        <f>IF('Données projet'!$A$62&gt;35,AI3+AH4-AQ3,IF(A4&lt;'Données projet'!$A$62,$AF$205^A4,IF(A4='Données projet'!$A$62,'Données projet'!$B$62,AI3+AH4-AQ3)))</f>
        <v>1.2575327117457482</v>
      </c>
      <c r="AJ4" s="13">
        <f>AI4*VLOOKUP('Données projet'!$B$10,Paramètres!$A$1:$I$89,3,0)*VLOOKUP('Données projet'!$B$10,Paramètres!$A$1:$I$89,5,0)</f>
        <v>0.75200456162395746</v>
      </c>
      <c r="AK4" s="13">
        <f>EXP(-1.0587+0.8836*LN(AJ4)+0.284)</f>
        <v>0.3582452795496921</v>
      </c>
      <c r="AL4" s="20">
        <f t="shared" ref="AL4:AL67" si="4">(AJ4+AK4)*0.475*44/12</f>
        <v>1.933685140044106</v>
      </c>
      <c r="AM4" s="59">
        <f t="shared" ref="AM4:AM67" si="5">AL4+(AD4+AE4)*44/12</f>
        <v>259.82257402893299</v>
      </c>
      <c r="AN4" s="59">
        <f ca="1">AVERAGE(OFFSET($AM$3,0,0,'Données projet'!$E$10+1,1))-AVERAGE(OFFSET($H$3,0,0,'Données projet'!$E$10+1,1))</f>
        <v>279.39350157328471</v>
      </c>
      <c r="AO4" s="59">
        <f>$AO$3</f>
        <v>261.55559683031657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10.8125</v>
      </c>
      <c r="BD4" s="12">
        <f>IF('Données projet'!$A$88&gt;35,BD3+BC4-BL3,IF(A4&lt;'Données projet'!$A$88,$BA$205^A4,IF(A4='Données projet'!$A$88,'Données projet'!$B$88,BD3+BC4-BL3)))</f>
        <v>1.2004556724055826</v>
      </c>
      <c r="BE4" s="13">
        <f>BD4*VLOOKUP('Données projet'!$B$11,Paramètres!$A$1:$I$89,3,0)*VLOOKUP('Données projet'!$B$11,Paramètres!$A$1:$I$89,5,0)</f>
        <v>0.67105472087472073</v>
      </c>
      <c r="BF4" s="13">
        <f>EXP(-1.0587+0.8836*LN(BE4)+0.284)</f>
        <v>0.32394805524771358</v>
      </c>
      <c r="BG4" s="20">
        <f t="shared" ref="BG4:BG67" si="7">(BE4+BF4)*0.475*44/12</f>
        <v>1.7329631684132396</v>
      </c>
      <c r="BH4" s="59">
        <f t="shared" ref="BH4:BH67" si="8">BG4+(AY4+AZ4)*44/12</f>
        <v>259.62185205730208</v>
      </c>
      <c r="BI4" s="59">
        <f ca="1">AVERAGE(OFFSET($BH$3,0,0,'Données projet'!$E$11+1,1))-AVERAGE(OFFSET($H$3,0,0,'Données projet'!$E$11+1,1))</f>
        <v>342.37397177572871</v>
      </c>
      <c r="BJ4" s="59">
        <f>$BJ$3</f>
        <v>331.32436050472762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4.333333333333333</v>
      </c>
      <c r="BY4" s="12">
        <f>IF('Données projet'!$A$114&gt;35,BY3+BX4-CG3,IF(A4&lt;'Données projet'!$A$114,$BV$205^A4,IF(A4='Données projet'!$A$114,'Données projet'!$B$114,BY3+BX4-CG3)))</f>
        <v>1.3208724756526424</v>
      </c>
      <c r="BZ4" s="13">
        <f>BY4*VLOOKUP('Données projet'!$B$12,Paramètres!$A$1:$I$89,3,0)*VLOOKUP('Données projet'!$B$12,Paramètres!$A$1:$I$89,5,0)</f>
        <v>1.0508861416292423</v>
      </c>
      <c r="CA4" s="13">
        <f>EXP(-1.0587+0.8836*LN(BZ4)+0.284)</f>
        <v>0.48150261531866312</v>
      </c>
      <c r="CB4" s="20">
        <f t="shared" ref="CB4:CB67" si="10">(BZ4+CA4)*0.475*44/12</f>
        <v>2.6689104183509347</v>
      </c>
      <c r="CC4" s="59">
        <f t="shared" ref="CC4:CC67" si="11">CB4+(BT4+BU4)*44/12</f>
        <v>260.5577993072398</v>
      </c>
      <c r="CD4" s="59">
        <f ca="1">AVERAGE(OFFSET($CC$3,0,0,'Données projet'!$E$12+1,1))-AVERAGE(OFFSET($H$3,0,0,'Données projet'!$E$12+1,1))</f>
        <v>353.37479213497227</v>
      </c>
      <c r="CE4" s="59">
        <f>$CE$3</f>
        <v>345.4750813433123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9.6666666666666661</v>
      </c>
      <c r="N5" s="13">
        <f>IF('Données projet'!$A$36&gt;35,N4+M5-V4,IF(A5&lt;'Données projet'!$A$36,$K$205^A5,IF(A5='Données projet'!$A$36,'Données projet'!$B$36,N4+M5-V4)))</f>
        <v>2.2083928457304225</v>
      </c>
      <c r="O5" s="13">
        <f>N5*VLOOKUP('Données projet'!$B$9,Paramètres!$A$1:$I$89,3,0)*VLOOKUP('Données projet'!$B$9,Paramètres!$A$1:$I$89,5,0)</f>
        <v>1.3780371357357837</v>
      </c>
      <c r="P5" s="13">
        <f t="shared" ref="P5:P68" si="33">EXP(-1.0587+0.8836*LN(O5)+0.284)</f>
        <v>0.61179090284118076</v>
      </c>
      <c r="Q5" s="20">
        <f t="shared" si="2"/>
        <v>3.465617167188213</v>
      </c>
      <c r="R5" s="59">
        <f t="shared" si="0"/>
        <v>262.57672827829936</v>
      </c>
      <c r="S5" s="59">
        <f ca="1">AVERAGE(OFFSET($R$3,0,0,'Données projet'!$E$9+1,1))-AVERAGE(OFFSET($H$3,0,0,'Données projet'!$E$9+1,1))</f>
        <v>232.56424130731699</v>
      </c>
      <c r="T5" s="59">
        <f t="shared" ref="T5:T68" si="34">$T$3</f>
        <v>384.58890620364178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5.8571428571428568</v>
      </c>
      <c r="AI5" s="13">
        <f>IF('Données projet'!$A$62&gt;35,AI4+AH5-AQ4,IF(A5&lt;'Données projet'!$A$62,$AF$205^A5,IF(A5='Données projet'!$A$62,'Données projet'!$B$62,AI4+AH5-AQ4)))</f>
        <v>1.5813885211106151</v>
      </c>
      <c r="AJ5" s="13">
        <f>AI5*VLOOKUP('Données projet'!$B$10,Paramètres!$A$1:$I$89,3,0)*VLOOKUP('Données projet'!$B$10,Paramètres!$A$1:$I$89,5,0)</f>
        <v>0.94567033562414793</v>
      </c>
      <c r="AK5" s="13">
        <f t="shared" ref="AK5:AK68" si="35">EXP(-1.0587+0.8836*LN(AJ5)+0.284)</f>
        <v>0.43864756426064383</v>
      </c>
      <c r="AL5" s="20">
        <f t="shared" si="4"/>
        <v>2.4110203422993455</v>
      </c>
      <c r="AM5" s="59">
        <f t="shared" si="5"/>
        <v>261.52213145341051</v>
      </c>
      <c r="AN5" s="59">
        <f ca="1">AVERAGE(OFFSET($AM$3,0,0,'Données projet'!$E$10+1,1))-AVERAGE(OFFSET($H$3,0,0,'Données projet'!$E$10+1,1))</f>
        <v>279.39350157328471</v>
      </c>
      <c r="AO5" s="59">
        <f t="shared" ref="AO5:AO68" si="36">$AO$3</f>
        <v>261.55559683031657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10.8125</v>
      </c>
      <c r="BD5" s="12">
        <f>IF('Données projet'!$A$88&gt;35,BD4+BC5-BL4,IF(A5&lt;'Données projet'!$A$88,$BA$205^A5,IF(A5='Données projet'!$A$88,'Données projet'!$B$88,BD4+BC5-BL4)))</f>
        <v>1.4410938214107394</v>
      </c>
      <c r="BE5" s="13">
        <f>BD5*VLOOKUP('Données projet'!$B$11,Paramètres!$A$1:$I$89,3,0)*VLOOKUP('Données projet'!$B$11,Paramètres!$A$1:$I$89,5,0)</f>
        <v>0.80557144616860332</v>
      </c>
      <c r="BF5" s="13">
        <f t="shared" ref="BF5:BF68" si="37">EXP(-1.0587+0.8836*LN(BE5)+0.284)</f>
        <v>0.38070240105105524</v>
      </c>
      <c r="BG5" s="20">
        <f t="shared" si="7"/>
        <v>2.0660936172409055</v>
      </c>
      <c r="BH5" s="59">
        <f t="shared" si="8"/>
        <v>261.17720472835202</v>
      </c>
      <c r="BI5" s="59">
        <f ca="1">AVERAGE(OFFSET($BH$3,0,0,'Données projet'!$E$11+1,1))-AVERAGE(OFFSET($H$3,0,0,'Données projet'!$E$11+1,1))</f>
        <v>342.37397177572871</v>
      </c>
      <c r="BJ5" s="59">
        <f t="shared" ref="BJ5:BJ68" si="38">$BJ$3</f>
        <v>331.32436050472762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4.333333333333333</v>
      </c>
      <c r="BY5" s="12">
        <f>IF('Données projet'!$A$114&gt;35,BY4+BX5-CG4,IF(A5&lt;'Données projet'!$A$114,$BV$205^A5,IF(A5='Données projet'!$A$114,'Données projet'!$B$114,BY4+BX5-CG4)))</f>
        <v>1.7447040969367404</v>
      </c>
      <c r="BZ5" s="13">
        <f>BY5*VLOOKUP('Données projet'!$B$12,Paramètres!$A$1:$I$89,3,0)*VLOOKUP('Données projet'!$B$12,Paramètres!$A$1:$I$89,5,0)</f>
        <v>1.3880865795228707</v>
      </c>
      <c r="CA5" s="13">
        <f t="shared" ref="CA5:CA68" si="39">EXP(-1.0587+0.8836*LN(BZ5)+0.284)</f>
        <v>0.61573144482258502</v>
      </c>
      <c r="CB5" s="20">
        <f t="shared" si="10"/>
        <v>3.4899830590683352</v>
      </c>
      <c r="CC5" s="59">
        <f t="shared" si="11"/>
        <v>262.60109417017946</v>
      </c>
      <c r="CD5" s="59">
        <f ca="1">AVERAGE(OFFSET($CC$3,0,0,'Données projet'!$E$12+1,1))-AVERAGE(OFFSET($H$3,0,0,'Données projet'!$E$12+1,1))</f>
        <v>353.37479213497227</v>
      </c>
      <c r="CE5" s="59">
        <f t="shared" ref="CE5:CE68" si="40">$CE$3</f>
        <v>345.4750813433123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9.6666666666666661</v>
      </c>
      <c r="N6" s="13">
        <f>IF('Données projet'!$A$36&gt;35,N5+M6-V5,IF(A6&lt;'Données projet'!$A$36,$K$205^A6,IF(A6='Données projet'!$A$36,'Données projet'!$B$36,N5+M6-V5)))</f>
        <v>3.2818180349112911</v>
      </c>
      <c r="O6" s="13">
        <f>N6*VLOOKUP('Données projet'!$B$9,Paramètres!$A$1:$I$89,3,0)*VLOOKUP('Données projet'!$B$9,Paramètres!$A$1:$I$89,5,0)</f>
        <v>2.0478544537846455</v>
      </c>
      <c r="P6" s="13">
        <f t="shared" si="33"/>
        <v>0.86819231673717634</v>
      </c>
      <c r="Q6" s="20">
        <f t="shared" si="2"/>
        <v>5.0787814586588391</v>
      </c>
      <c r="R6" s="59">
        <f t="shared" si="0"/>
        <v>265.41211479199217</v>
      </c>
      <c r="S6" s="59">
        <f ca="1">AVERAGE(OFFSET($R$3,0,0,'Données projet'!$E$9+1,1))-AVERAGE(OFFSET($H$3,0,0,'Données projet'!$E$9+1,1))</f>
        <v>232.56424130731699</v>
      </c>
      <c r="T6" s="59">
        <f t="shared" si="34"/>
        <v>384.58890620364178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5.8571428571428568</v>
      </c>
      <c r="AI6" s="13">
        <f>IF('Données projet'!$A$62&gt;35,AI5+AH6-AQ5,IF(A6&lt;'Données projet'!$A$62,$AF$205^A6,IF(A6='Données projet'!$A$62,'Données projet'!$B$62,AI5+AH6-AQ5)))</f>
        <v>1.9886477952758301</v>
      </c>
      <c r="AJ6" s="13">
        <f>AI6*VLOOKUP('Données projet'!$B$10,Paramètres!$A$1:$I$89,3,0)*VLOOKUP('Données projet'!$B$10,Paramètres!$A$1:$I$89,5,0)</f>
        <v>1.1892113815749465</v>
      </c>
      <c r="AK6" s="13">
        <f t="shared" si="35"/>
        <v>0.53709482473475634</v>
      </c>
      <c r="AL6" s="20">
        <f t="shared" si="4"/>
        <v>3.006649975989399</v>
      </c>
      <c r="AM6" s="59">
        <f t="shared" si="5"/>
        <v>263.33998330932269</v>
      </c>
      <c r="AN6" s="59">
        <f ca="1">AVERAGE(OFFSET($AM$3,0,0,'Données projet'!$E$10+1,1))-AVERAGE(OFFSET($H$3,0,0,'Données projet'!$E$10+1,1))</f>
        <v>279.39350157328471</v>
      </c>
      <c r="AO6" s="59">
        <f t="shared" si="36"/>
        <v>261.55559683031657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10.8125</v>
      </c>
      <c r="BD6" s="12">
        <f>IF('Données projet'!$A$88&gt;35,BD5+BC6-BL5,IF(A6&lt;'Données projet'!$A$88,$BA$205^A6,IF(A6='Données projet'!$A$88,'Données projet'!$B$88,BD5+BC6-BL5)))</f>
        <v>1.7299692523811596</v>
      </c>
      <c r="BE6" s="13">
        <f>BD6*VLOOKUP('Données projet'!$B$11,Paramètres!$A$1:$I$89,3,0)*VLOOKUP('Données projet'!$B$11,Paramètres!$A$1:$I$89,5,0)</f>
        <v>0.96705281208106819</v>
      </c>
      <c r="BF6" s="13">
        <f t="shared" si="37"/>
        <v>0.44739987111579205</v>
      </c>
      <c r="BG6" s="20">
        <f t="shared" si="7"/>
        <v>2.4635050899011981</v>
      </c>
      <c r="BH6" s="59">
        <f t="shared" si="8"/>
        <v>262.79683842323453</v>
      </c>
      <c r="BI6" s="59">
        <f ca="1">AVERAGE(OFFSET($BH$3,0,0,'Données projet'!$E$11+1,1))-AVERAGE(OFFSET($H$3,0,0,'Données projet'!$E$11+1,1))</f>
        <v>342.37397177572871</v>
      </c>
      <c r="BJ6" s="59">
        <f t="shared" si="38"/>
        <v>331.32436050472762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4.333333333333333</v>
      </c>
      <c r="BY6" s="12">
        <f>IF('Données projet'!$A$114&gt;35,BY5+BX6-CG5,IF(A6&lt;'Données projet'!$A$114,$BV$205^A6,IF(A6='Données projet'!$A$114,'Données projet'!$B$114,BY5+BX6-CG5)))</f>
        <v>2.3045316198021402</v>
      </c>
      <c r="BZ6" s="13">
        <f>BY6*VLOOKUP('Données projet'!$B$12,Paramètres!$A$1:$I$89,3,0)*VLOOKUP('Données projet'!$B$12,Paramètres!$A$1:$I$89,5,0)</f>
        <v>1.833485356714583</v>
      </c>
      <c r="CA6" s="13">
        <f t="shared" si="39"/>
        <v>0.78737934142351296</v>
      </c>
      <c r="CB6" s="20">
        <f t="shared" si="10"/>
        <v>4.5646726825905164</v>
      </c>
      <c r="CC6" s="59">
        <f t="shared" si="11"/>
        <v>264.89800601592384</v>
      </c>
      <c r="CD6" s="59">
        <f ca="1">AVERAGE(OFFSET($CC$3,0,0,'Données projet'!$E$12+1,1))-AVERAGE(OFFSET($H$3,0,0,'Données projet'!$E$12+1,1))</f>
        <v>353.37479213497227</v>
      </c>
      <c r="CE6" s="59">
        <f t="shared" si="40"/>
        <v>345.4750813433123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9.6666666666666661</v>
      </c>
      <c r="N7" s="13">
        <f>IF('Données projet'!$A$36&gt;35,N6+M7-V6,IF(A7&lt;'Données projet'!$A$36,$K$205^A7,IF(A7='Données projet'!$A$36,'Données projet'!$B$36,N6+M7-V6)))</f>
        <v>4.8769989610733138</v>
      </c>
      <c r="O7" s="13">
        <f>N7*VLOOKUP('Données projet'!$B$9,Paramètres!$A$1:$I$89,3,0)*VLOOKUP('Données projet'!$B$9,Paramètres!$A$1:$I$89,5,0)</f>
        <v>3.0432473517097476</v>
      </c>
      <c r="P7" s="13">
        <f t="shared" si="33"/>
        <v>1.2320514988715663</v>
      </c>
      <c r="Q7" s="20">
        <f t="shared" si="2"/>
        <v>7.4461454980957882</v>
      </c>
      <c r="R7" s="59">
        <f t="shared" si="0"/>
        <v>269.00170105365135</v>
      </c>
      <c r="S7" s="59">
        <f ca="1">AVERAGE(OFFSET($R$3,0,0,'Données projet'!$E$9+1,1))-AVERAGE(OFFSET($H$3,0,0,'Données projet'!$E$9+1,1))</f>
        <v>232.56424130731699</v>
      </c>
      <c r="T7" s="59">
        <f t="shared" si="34"/>
        <v>384.58890620364178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5.8571428571428568</v>
      </c>
      <c r="AI7" s="13">
        <f>IF('Données projet'!$A$62&gt;35,AI6+AH7-AQ6,IF(A7&lt;'Données projet'!$A$62,$AF$205^A7,IF(A7='Données projet'!$A$62,'Données projet'!$B$62,AI6+AH7-AQ6)))</f>
        <v>2.5007896547004185</v>
      </c>
      <c r="AJ7" s="13">
        <f>AI7*VLOOKUP('Données projet'!$B$10,Paramètres!$A$1:$I$89,3,0)*VLOOKUP('Données projet'!$B$10,Paramètres!$A$1:$I$89,5,0)</f>
        <v>1.4954722135108502</v>
      </c>
      <c r="AK7" s="13">
        <f t="shared" si="35"/>
        <v>0.65763696019396922</v>
      </c>
      <c r="AL7" s="20">
        <f t="shared" si="4"/>
        <v>3.7499984775358937</v>
      </c>
      <c r="AM7" s="59">
        <f t="shared" si="5"/>
        <v>265.30555403309143</v>
      </c>
      <c r="AN7" s="59">
        <f ca="1">AVERAGE(OFFSET($AM$3,0,0,'Données projet'!$E$10+1,1))-AVERAGE(OFFSET($H$3,0,0,'Données projet'!$E$10+1,1))</f>
        <v>279.39350157328471</v>
      </c>
      <c r="AO7" s="59">
        <f t="shared" si="36"/>
        <v>261.55559683031657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10.8125</v>
      </c>
      <c r="BD7" s="12">
        <f>IF('Données projet'!$A$88&gt;35,BD6+BC7-BL6,IF(A7&lt;'Données projet'!$A$88,$BA$205^A7,IF(A7='Données projet'!$A$88,'Données projet'!$B$88,BD6+BC7-BL6)))</f>
        <v>2.0767514021082079</v>
      </c>
      <c r="BE7" s="13">
        <f>BD7*VLOOKUP('Données projet'!$B$11,Paramètres!$A$1:$I$89,3,0)*VLOOKUP('Données projet'!$B$11,Paramètres!$A$1:$I$89,5,0)</f>
        <v>1.1609040337784882</v>
      </c>
      <c r="BF7" s="13">
        <f t="shared" si="37"/>
        <v>0.52578245926949996</v>
      </c>
      <c r="BG7" s="20">
        <f t="shared" si="7"/>
        <v>2.937645642058579</v>
      </c>
      <c r="BH7" s="59">
        <f t="shared" si="8"/>
        <v>264.4932011976141</v>
      </c>
      <c r="BI7" s="59">
        <f ca="1">AVERAGE(OFFSET($BH$3,0,0,'Données projet'!$E$11+1,1))-AVERAGE(OFFSET($H$3,0,0,'Données projet'!$E$11+1,1))</f>
        <v>342.37397177572871</v>
      </c>
      <c r="BJ7" s="59">
        <f t="shared" si="38"/>
        <v>331.32436050472762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4.333333333333333</v>
      </c>
      <c r="BY7" s="12">
        <f>IF('Données projet'!$A$114&gt;35,BY6+BX7-CG6,IF(A7&lt;'Données projet'!$A$114,$BV$205^A7,IF(A7='Données projet'!$A$114,'Données projet'!$B$114,BY6+BX7-CG6)))</f>
        <v>3.0439923858678468</v>
      </c>
      <c r="BZ7" s="13">
        <f>BY7*VLOOKUP('Données projet'!$B$12,Paramètres!$A$1:$I$89,3,0)*VLOOKUP('Données projet'!$B$12,Paramètres!$A$1:$I$89,5,0)</f>
        <v>2.4218003421964593</v>
      </c>
      <c r="CA7" s="13">
        <f t="shared" si="39"/>
        <v>1.0068776453006392</v>
      </c>
      <c r="CB7" s="20">
        <f t="shared" si="10"/>
        <v>5.9716141615574472</v>
      </c>
      <c r="CC7" s="59">
        <f t="shared" si="11"/>
        <v>267.527169717113</v>
      </c>
      <c r="CD7" s="59">
        <f ca="1">AVERAGE(OFFSET($CC$3,0,0,'Données projet'!$E$12+1,1))-AVERAGE(OFFSET($H$3,0,0,'Données projet'!$E$12+1,1))</f>
        <v>353.37479213497227</v>
      </c>
      <c r="CE7" s="59">
        <f t="shared" si="40"/>
        <v>345.4750813433123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9.6666666666666661</v>
      </c>
      <c r="N8" s="13">
        <f>IF('Données projet'!$A$36&gt;35,N7+M8-V7,IF(A8&lt;'Données projet'!$A$36,$K$205^A8,IF(A8='Données projet'!$A$36,'Données projet'!$B$36,N7+M8-V7)))</f>
        <v>7.2475434692871694</v>
      </c>
      <c r="O8" s="13">
        <f>N8*VLOOKUP('Données projet'!$B$9,Paramètres!$A$1:$I$89,3,0)*VLOOKUP('Données projet'!$B$9,Paramètres!$A$1:$I$89,5,0)</f>
        <v>4.5224671248351935</v>
      </c>
      <c r="P8" s="13">
        <f t="shared" si="33"/>
        <v>1.7484039729542955</v>
      </c>
      <c r="Q8" s="20">
        <f t="shared" si="2"/>
        <v>10.921767161983359</v>
      </c>
      <c r="R8" s="59">
        <f t="shared" si="0"/>
        <v>273.69954493976115</v>
      </c>
      <c r="S8" s="59">
        <f ca="1">AVERAGE(OFFSET($R$3,0,0,'Données projet'!$E$9+1,1))-AVERAGE(OFFSET($H$3,0,0,'Données projet'!$E$9+1,1))</f>
        <v>232.56424130731699</v>
      </c>
      <c r="T8" s="59">
        <f t="shared" si="34"/>
        <v>384.58890620364178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5.8571428571428568</v>
      </c>
      <c r="AI8" s="13">
        <f>IF('Données projet'!$A$62&gt;35,AI7+AH8-AQ7,IF(A8&lt;'Données projet'!$A$62,$AF$205^A8,IF(A8='Données projet'!$A$62,'Données projet'!$B$62,AI7+AH8-AQ7)))</f>
        <v>3.1448247959811306</v>
      </c>
      <c r="AJ8" s="13">
        <f>AI8*VLOOKUP('Données projet'!$B$10,Paramètres!$A$1:$I$89,3,0)*VLOOKUP('Données projet'!$B$10,Paramètres!$A$1:$I$89,5,0)</f>
        <v>1.8806052279967163</v>
      </c>
      <c r="AK8" s="13">
        <f t="shared" si="35"/>
        <v>0.80523280340067926</v>
      </c>
      <c r="AL8" s="20">
        <f t="shared" si="4"/>
        <v>4.6778345713504628</v>
      </c>
      <c r="AM8" s="59">
        <f t="shared" si="5"/>
        <v>267.45561234912822</v>
      </c>
      <c r="AN8" s="59">
        <f ca="1">AVERAGE(OFFSET($AM$3,0,0,'Données projet'!$E$10+1,1))-AVERAGE(OFFSET($H$3,0,0,'Données projet'!$E$10+1,1))</f>
        <v>279.39350157328471</v>
      </c>
      <c r="AO8" s="59">
        <f t="shared" si="36"/>
        <v>261.55559683031657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10.8125</v>
      </c>
      <c r="BD8" s="12">
        <f>IF('Données projet'!$A$88&gt;35,BD7+BC8-BL7,IF(A8&lt;'Données projet'!$A$88,$BA$205^A8,IF(A8='Données projet'!$A$88,'Données projet'!$B$88,BD7+BC8-BL7)))</f>
        <v>2.493048000837045</v>
      </c>
      <c r="BE8" s="13">
        <f>BD8*VLOOKUP('Données projet'!$B$11,Paramètres!$A$1:$I$89,3,0)*VLOOKUP('Données projet'!$B$11,Paramètres!$A$1:$I$89,5,0)</f>
        <v>1.3936138324679084</v>
      </c>
      <c r="BF8" s="13">
        <f t="shared" si="37"/>
        <v>0.61789734938018315</v>
      </c>
      <c r="BG8" s="20">
        <f t="shared" si="7"/>
        <v>3.5033819750520929</v>
      </c>
      <c r="BH8" s="59">
        <f t="shared" si="8"/>
        <v>266.28115975282986</v>
      </c>
      <c r="BI8" s="59">
        <f ca="1">AVERAGE(OFFSET($BH$3,0,0,'Données projet'!$E$11+1,1))-AVERAGE(OFFSET($H$3,0,0,'Données projet'!$E$11+1,1))</f>
        <v>342.37397177572871</v>
      </c>
      <c r="BJ8" s="59">
        <f t="shared" si="38"/>
        <v>331.32436050472762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4.333333333333333</v>
      </c>
      <c r="BY8" s="12">
        <f>IF('Données projet'!$A$114&gt;35,BY7+BX8-CG7,IF(A8&lt;'Données projet'!$A$114,$BV$205^A8,IF(A8='Données projet'!$A$114,'Données projet'!$B$114,BY7+BX8-CG7)))</f>
        <v>4.0207257585890561</v>
      </c>
      <c r="BZ8" s="13">
        <f>BY8*VLOOKUP('Données projet'!$B$12,Paramètres!$A$1:$I$89,3,0)*VLOOKUP('Données projet'!$B$12,Paramètres!$A$1:$I$89,5,0)</f>
        <v>3.1988894135334531</v>
      </c>
      <c r="CA8" s="13">
        <f t="shared" si="39"/>
        <v>1.2875656488183871</v>
      </c>
      <c r="CB8" s="20">
        <f t="shared" si="10"/>
        <v>7.8139092335961218</v>
      </c>
      <c r="CC8" s="59">
        <f t="shared" si="11"/>
        <v>270.59168701137389</v>
      </c>
      <c r="CD8" s="59">
        <f ca="1">AVERAGE(OFFSET($CC$3,0,0,'Données projet'!$E$12+1,1))-AVERAGE(OFFSET($H$3,0,0,'Données projet'!$E$12+1,1))</f>
        <v>353.37479213497227</v>
      </c>
      <c r="CE8" s="59">
        <f t="shared" si="40"/>
        <v>345.4750813433123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9.6666666666666661</v>
      </c>
      <c r="N9" s="13">
        <f>IF('Données projet'!$A$36&gt;35,N8+M9-V8,IF(A9&lt;'Données projet'!$A$36,$K$205^A9,IF(A9='Données projet'!$A$36,'Données projet'!$B$36,N8+M9-V8)))</f>
        <v>10.770329614269009</v>
      </c>
      <c r="O9" s="13">
        <f>N9*VLOOKUP('Données projet'!$B$9,Paramètres!$A$1:$I$89,3,0)*VLOOKUP('Données projet'!$B$9,Paramètres!$A$1:$I$89,5,0)</f>
        <v>6.7206856793038616</v>
      </c>
      <c r="P9" s="13">
        <f t="shared" si="33"/>
        <v>2.4811596393837343</v>
      </c>
      <c r="Q9" s="20">
        <f t="shared" si="2"/>
        <v>16.026547263380895</v>
      </c>
      <c r="R9" s="59">
        <f t="shared" si="0"/>
        <v>280.02654726338091</v>
      </c>
      <c r="S9" s="59">
        <f ca="1">AVERAGE(OFFSET($R$3,0,0,'Données projet'!$E$9+1,1))-AVERAGE(OFFSET($H$3,0,0,'Données projet'!$E$9+1,1))</f>
        <v>232.56424130731699</v>
      </c>
      <c r="T9" s="59">
        <f t="shared" si="34"/>
        <v>384.58890620364178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5.8571428571428568</v>
      </c>
      <c r="AI9" s="13">
        <f>IF('Données projet'!$A$62&gt;35,AI8+AH9-AQ8,IF(A9&lt;'Données projet'!$A$62,$AF$205^A9,IF(A9='Données projet'!$A$62,'Données projet'!$B$62,AI8+AH9-AQ8)))</f>
        <v>3.9547200536554206</v>
      </c>
      <c r="AJ9" s="13">
        <f>AI9*VLOOKUP('Données projet'!$B$10,Paramètres!$A$1:$I$89,3,0)*VLOOKUP('Données projet'!$B$10,Paramètres!$A$1:$I$89,5,0)</f>
        <v>2.3649225920859416</v>
      </c>
      <c r="AK9" s="13">
        <f t="shared" si="35"/>
        <v>0.98595411590198967</v>
      </c>
      <c r="AL9" s="20">
        <f t="shared" si="4"/>
        <v>5.8361102664123132</v>
      </c>
      <c r="AM9" s="59">
        <f t="shared" si="5"/>
        <v>269.83611026641233</v>
      </c>
      <c r="AN9" s="59">
        <f ca="1">AVERAGE(OFFSET($AM$3,0,0,'Données projet'!$E$10+1,1))-AVERAGE(OFFSET($H$3,0,0,'Données projet'!$E$10+1,1))</f>
        <v>279.39350157328471</v>
      </c>
      <c r="AO9" s="59">
        <f t="shared" si="36"/>
        <v>261.55559683031657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10.8125</v>
      </c>
      <c r="BD9" s="12">
        <f>IF('Données projet'!$A$88&gt;35,BD8+BC9-BL8,IF(A9&lt;'Données projet'!$A$88,$BA$205^A9,IF(A9='Données projet'!$A$88,'Données projet'!$B$88,BD8+BC9-BL8)))</f>
        <v>2.9927936141842282</v>
      </c>
      <c r="BE9" s="13">
        <f>BD9*VLOOKUP('Données projet'!$B$11,Paramètres!$A$1:$I$89,3,0)*VLOOKUP('Données projet'!$B$11,Paramètres!$A$1:$I$89,5,0)</f>
        <v>1.6729716303289837</v>
      </c>
      <c r="BF9" s="13">
        <f t="shared" si="37"/>
        <v>0.72615038337625204</v>
      </c>
      <c r="BG9" s="20">
        <f t="shared" si="7"/>
        <v>4.178470840536618</v>
      </c>
      <c r="BH9" s="59">
        <f t="shared" si="8"/>
        <v>268.17847084053659</v>
      </c>
      <c r="BI9" s="59">
        <f ca="1">AVERAGE(OFFSET($BH$3,0,0,'Données projet'!$E$11+1,1))-AVERAGE(OFFSET($H$3,0,0,'Données projet'!$E$11+1,1))</f>
        <v>342.37397177572871</v>
      </c>
      <c r="BJ9" s="59">
        <f t="shared" si="38"/>
        <v>331.32436050472762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4.333333333333333</v>
      </c>
      <c r="BY9" s="12">
        <f>IF('Données projet'!$A$114&gt;35,BY8+BX9-CG8,IF(A9&lt;'Données projet'!$A$114,$BV$205^A9,IF(A9='Données projet'!$A$114,'Données projet'!$B$114,BY8+BX9-CG8)))</f>
        <v>5.310865986667876</v>
      </c>
      <c r="BZ9" s="13">
        <f>BY9*VLOOKUP('Données projet'!$B$12,Paramètres!$A$1:$I$89,3,0)*VLOOKUP('Données projet'!$B$12,Paramètres!$A$1:$I$89,5,0)</f>
        <v>4.2253249789929628</v>
      </c>
      <c r="CA9" s="13">
        <f t="shared" si="39"/>
        <v>1.6465012484432624</v>
      </c>
      <c r="CB9" s="20">
        <f t="shared" si="10"/>
        <v>10.226764012784757</v>
      </c>
      <c r="CC9" s="59">
        <f t="shared" si="11"/>
        <v>274.22676401278477</v>
      </c>
      <c r="CD9" s="59">
        <f ca="1">AVERAGE(OFFSET($CC$3,0,0,'Données projet'!$E$12+1,1))-AVERAGE(OFFSET($H$3,0,0,'Données projet'!$E$12+1,1))</f>
        <v>353.37479213497227</v>
      </c>
      <c r="CE9" s="59">
        <f t="shared" si="40"/>
        <v>345.4750813433123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9.6666666666666661</v>
      </c>
      <c r="N10" s="13">
        <f>IF('Données projet'!$A$36&gt;35,N9+M10-V9,IF(A10&lt;'Données projet'!$A$36,$K$205^A10,IF(A10='Données projet'!$A$36,'Données projet'!$B$36,N9+M10-V9)))</f>
        <v>16.005423146694032</v>
      </c>
      <c r="O10" s="13">
        <f>N10*VLOOKUP('Données projet'!$B$9,Paramètres!$A$1:$I$89,3,0)*VLOOKUP('Données projet'!$B$9,Paramètres!$A$1:$I$89,5,0)</f>
        <v>9.9873840435370749</v>
      </c>
      <c r="P10" s="13">
        <f t="shared" si="33"/>
        <v>3.5210130217816351</v>
      </c>
      <c r="Q10" s="20">
        <f t="shared" si="2"/>
        <v>23.527124888763421</v>
      </c>
      <c r="R10" s="59">
        <f t="shared" si="0"/>
        <v>288.74934711098564</v>
      </c>
      <c r="S10" s="59">
        <f ca="1">AVERAGE(OFFSET($R$3,0,0,'Données projet'!$E$9+1,1))-AVERAGE(OFFSET($H$3,0,0,'Données projet'!$E$9+1,1))</f>
        <v>232.56424130731699</v>
      </c>
      <c r="T10" s="59">
        <f t="shared" si="34"/>
        <v>384.58890620364178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5.8571428571428568</v>
      </c>
      <c r="AI10" s="13">
        <f>IF('Données projet'!$A$62&gt;35,AI9+AH10-AQ9,IF(A10&lt;'Données projet'!$A$62,$AF$205^A10,IF(A10='Données projet'!$A$62,'Données projet'!$B$62,AI9+AH10-AQ9)))</f>
        <v>4.9731898332685915</v>
      </c>
      <c r="AJ10" s="13">
        <f>AI10*VLOOKUP('Données projet'!$B$10,Paramètres!$A$1:$I$89,3,0)*VLOOKUP('Données projet'!$B$10,Paramètres!$A$1:$I$89,5,0)</f>
        <v>2.9739675202946181</v>
      </c>
      <c r="AK10" s="13">
        <f t="shared" si="35"/>
        <v>1.2072353666649618</v>
      </c>
      <c r="AL10" s="20">
        <f t="shared" si="4"/>
        <v>7.2822616947879348</v>
      </c>
      <c r="AM10" s="59">
        <f t="shared" si="5"/>
        <v>272.50448391701019</v>
      </c>
      <c r="AN10" s="59">
        <f ca="1">AVERAGE(OFFSET($AM$3,0,0,'Données projet'!$E$10+1,1))-AVERAGE(OFFSET($H$3,0,0,'Données projet'!$E$10+1,1))</f>
        <v>279.39350157328471</v>
      </c>
      <c r="AO10" s="59">
        <f t="shared" si="36"/>
        <v>261.55559683031657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10.8125</v>
      </c>
      <c r="BD10" s="12">
        <f>IF('Données projet'!$A$88&gt;35,BD9+BC10-BL9,IF(A10&lt;'Données projet'!$A$88,$BA$205^A10,IF(A10='Données projet'!$A$88,'Données projet'!$B$88,BD9+BC10-BL9)))</f>
        <v>3.5927160704866612</v>
      </c>
      <c r="BE10" s="13">
        <f>BD10*VLOOKUP('Données projet'!$B$11,Paramètres!$A$1:$I$89,3,0)*VLOOKUP('Données projet'!$B$11,Paramètres!$A$1:$I$89,5,0)</f>
        <v>2.0083282834020437</v>
      </c>
      <c r="BF10" s="13">
        <f t="shared" si="37"/>
        <v>0.85336889664021098</v>
      </c>
      <c r="BG10" s="20">
        <f t="shared" si="7"/>
        <v>4.9841225885735936</v>
      </c>
      <c r="BH10" s="59">
        <f t="shared" si="8"/>
        <v>270.20634481079583</v>
      </c>
      <c r="BI10" s="59">
        <f ca="1">AVERAGE(OFFSET($BH$3,0,0,'Données projet'!$E$11+1,1))-AVERAGE(OFFSET($H$3,0,0,'Données projet'!$E$11+1,1))</f>
        <v>342.37397177572871</v>
      </c>
      <c r="BJ10" s="59">
        <f t="shared" si="38"/>
        <v>331.32436050472762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4.333333333333333</v>
      </c>
      <c r="BY10" s="12">
        <f>IF('Données projet'!$A$114&gt;35,BY9+BX10-CG9,IF(A10&lt;'Données projet'!$A$114,$BV$205^A10,IF(A10='Données projet'!$A$114,'Données projet'!$B$114,BY9+BX10-CG9)))</f>
        <v>7.0149767036694106</v>
      </c>
      <c r="BZ10" s="13">
        <f>BY10*VLOOKUP('Données projet'!$B$12,Paramètres!$A$1:$I$89,3,0)*VLOOKUP('Données projet'!$B$12,Paramètres!$A$1:$I$89,5,0)</f>
        <v>5.5811154654393826</v>
      </c>
      <c r="CA10" s="13">
        <f t="shared" si="39"/>
        <v>2.1054975826771263</v>
      </c>
      <c r="CB10" s="20">
        <f t="shared" si="10"/>
        <v>13.387517725469587</v>
      </c>
      <c r="CC10" s="59">
        <f t="shared" si="11"/>
        <v>278.60973994769182</v>
      </c>
      <c r="CD10" s="59">
        <f ca="1">AVERAGE(OFFSET($CC$3,0,0,'Données projet'!$E$12+1,1))-AVERAGE(OFFSET($H$3,0,0,'Données projet'!$E$12+1,1))</f>
        <v>353.37479213497227</v>
      </c>
      <c r="CE10" s="59">
        <f t="shared" si="40"/>
        <v>345.4750813433123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9.6666666666666661</v>
      </c>
      <c r="N11" s="13">
        <f>IF('Données projet'!$A$36&gt;35,N10+M11-V10,IF(A11&lt;'Données projet'!$A$36,$K$205^A11,IF(A11='Données projet'!$A$36,'Données projet'!$B$36,N10+M11-V10)))</f>
        <v>23.785118866310182</v>
      </c>
      <c r="O11" s="13">
        <f>N11*VLOOKUP('Données projet'!$B$9,Paramètres!$A$1:$I$89,3,0)*VLOOKUP('Données projet'!$B$9,Paramètres!$A$1:$I$89,5,0)</f>
        <v>14.841914172577553</v>
      </c>
      <c r="P11" s="13">
        <f t="shared" si="33"/>
        <v>4.9966686958663908</v>
      </c>
      <c r="Q11" s="20">
        <f t="shared" si="2"/>
        <v>34.552198495873199</v>
      </c>
      <c r="R11" s="59">
        <f t="shared" si="0"/>
        <v>300.99664294031766</v>
      </c>
      <c r="S11" s="59">
        <f ca="1">AVERAGE(OFFSET($R$3,0,0,'Données projet'!$E$9+1,1))-AVERAGE(OFFSET($H$3,0,0,'Données projet'!$E$9+1,1))</f>
        <v>232.56424130731699</v>
      </c>
      <c r="T11" s="59">
        <f t="shared" si="34"/>
        <v>384.58890620364178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5.8571428571428568</v>
      </c>
      <c r="AI11" s="13">
        <f>IF('Données projet'!$A$62&gt;35,AI10+AH11-AQ10,IF(A11&lt;'Données projet'!$A$62,$AF$205^A11,IF(A11='Données projet'!$A$62,'Données projet'!$B$62,AI10+AH11-AQ10)))</f>
        <v>6.2539488970566381</v>
      </c>
      <c r="AJ11" s="13">
        <f>AI11*VLOOKUP('Données projet'!$B$10,Paramètres!$A$1:$I$89,3,0)*VLOOKUP('Données projet'!$B$10,Paramètres!$A$1:$I$89,5,0)</f>
        <v>3.7398614404398698</v>
      </c>
      <c r="AK11" s="13">
        <f t="shared" si="35"/>
        <v>1.4781795694350155</v>
      </c>
      <c r="AL11" s="20">
        <f t="shared" si="4"/>
        <v>9.0880880921987579</v>
      </c>
      <c r="AM11" s="59">
        <f t="shared" si="5"/>
        <v>275.5325325366432</v>
      </c>
      <c r="AN11" s="59">
        <f ca="1">AVERAGE(OFFSET($AM$3,0,0,'Données projet'!$E$10+1,1))-AVERAGE(OFFSET($H$3,0,0,'Données projet'!$E$10+1,1))</f>
        <v>279.39350157328471</v>
      </c>
      <c r="AO11" s="59">
        <f t="shared" si="36"/>
        <v>261.55559683031657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10.8125</v>
      </c>
      <c r="BD11" s="12">
        <f>IF('Données projet'!$A$88&gt;35,BD10+BC11-BL10,IF(A11&lt;'Données projet'!$A$88,$BA$205^A11,IF(A11='Données projet'!$A$88,'Données projet'!$B$88,BD10+BC11-BL10)))</f>
        <v>4.3128963861584069</v>
      </c>
      <c r="BE11" s="13">
        <f>BD11*VLOOKUP('Données projet'!$B$11,Paramètres!$A$1:$I$89,3,0)*VLOOKUP('Données projet'!$B$11,Paramètres!$A$1:$I$89,5,0)</f>
        <v>2.4109090798625497</v>
      </c>
      <c r="BF11" s="13">
        <f t="shared" si="37"/>
        <v>1.0028755619007876</v>
      </c>
      <c r="BG11" s="20">
        <f t="shared" si="7"/>
        <v>5.9456749177378114</v>
      </c>
      <c r="BH11" s="59">
        <f t="shared" si="8"/>
        <v>272.39011936218225</v>
      </c>
      <c r="BI11" s="59">
        <f ca="1">AVERAGE(OFFSET($BH$3,0,0,'Données projet'!$E$11+1,1))-AVERAGE(OFFSET($H$3,0,0,'Données projet'!$E$11+1,1))</f>
        <v>342.37397177572871</v>
      </c>
      <c r="BJ11" s="59">
        <f t="shared" si="38"/>
        <v>331.32436050472762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4.333333333333333</v>
      </c>
      <c r="BY11" s="12">
        <f>IF('Données projet'!$A$114&gt;35,BY10+BX11-CG10,IF(A11&lt;'Données projet'!$A$114,$BV$205^A11,IF(A11='Données projet'!$A$114,'Données projet'!$B$114,BY10+BX11-CG10)))</f>
        <v>9.2658896452214261</v>
      </c>
      <c r="BZ11" s="13">
        <f>BY11*VLOOKUP('Données projet'!$B$12,Paramètres!$A$1:$I$89,3,0)*VLOOKUP('Données projet'!$B$12,Paramètres!$A$1:$I$89,5,0)</f>
        <v>7.3719418017381662</v>
      </c>
      <c r="CA11" s="13">
        <f t="shared" si="39"/>
        <v>2.6924486542908248</v>
      </c>
      <c r="CB11" s="20">
        <f t="shared" si="10"/>
        <v>17.528813377583827</v>
      </c>
      <c r="CC11" s="59">
        <f t="shared" si="11"/>
        <v>283.9732578220283</v>
      </c>
      <c r="CD11" s="59">
        <f ca="1">AVERAGE(OFFSET($CC$3,0,0,'Données projet'!$E$12+1,1))-AVERAGE(OFFSET($H$3,0,0,'Données projet'!$E$12+1,1))</f>
        <v>353.37479213497227</v>
      </c>
      <c r="CE11" s="59">
        <f t="shared" si="40"/>
        <v>345.4750813433123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9.6666666666666661</v>
      </c>
      <c r="N12" s="13">
        <f>IF('Données projet'!$A$36&gt;35,N11+M12-V11,IF(A12&lt;'Données projet'!$A$36,$K$205^A12,IF(A12='Données projet'!$A$36,'Données projet'!$B$36,N11+M12-V11)))</f>
        <v>35.346261970047209</v>
      </c>
      <c r="O12" s="13">
        <f>N12*VLOOKUP('Données projet'!$B$9,Paramètres!$A$1:$I$89,3,0)*VLOOKUP('Données projet'!$B$9,Paramètres!$A$1:$I$89,5,0)</f>
        <v>22.056067469309458</v>
      </c>
      <c r="P12" s="13">
        <f t="shared" si="33"/>
        <v>7.0907712927508468</v>
      </c>
      <c r="Q12" s="20">
        <f t="shared" si="2"/>
        <v>50.764077510588358</v>
      </c>
      <c r="R12" s="59">
        <f t="shared" si="0"/>
        <v>318.43074417725506</v>
      </c>
      <c r="S12" s="59">
        <f ca="1">AVERAGE(OFFSET($R$3,0,0,'Données projet'!$E$9+1,1))-AVERAGE(OFFSET($H$3,0,0,'Données projet'!$E$9+1,1))</f>
        <v>232.56424130731699</v>
      </c>
      <c r="T12" s="59">
        <f t="shared" si="34"/>
        <v>384.58890620364178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5.8571428571428568</v>
      </c>
      <c r="AI12" s="13">
        <f>IF('Données projet'!$A$62&gt;35,AI11+AH12-AQ11,IF(A12&lt;'Données projet'!$A$62,$AF$205^A12,IF(A12='Données projet'!$A$62,'Données projet'!$B$62,AI11+AH12-AQ11)))</f>
        <v>7.864545315634965</v>
      </c>
      <c r="AJ12" s="13">
        <f>AI12*VLOOKUP('Données projet'!$B$10,Paramètres!$A$1:$I$89,3,0)*VLOOKUP('Données projet'!$B$10,Paramètres!$A$1:$I$89,5,0)</f>
        <v>4.7029980987497089</v>
      </c>
      <c r="AK12" s="13">
        <f t="shared" si="35"/>
        <v>1.8099327602796158</v>
      </c>
      <c r="AL12" s="20">
        <f t="shared" si="4"/>
        <v>11.343354579476072</v>
      </c>
      <c r="AM12" s="59">
        <f t="shared" si="5"/>
        <v>279.01002124614274</v>
      </c>
      <c r="AN12" s="59">
        <f ca="1">AVERAGE(OFFSET($AM$3,0,0,'Données projet'!$E$10+1,1))-AVERAGE(OFFSET($H$3,0,0,'Données projet'!$E$10+1,1))</f>
        <v>279.39350157328471</v>
      </c>
      <c r="AO12" s="59">
        <f t="shared" si="36"/>
        <v>261.55559683031657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10.8125</v>
      </c>
      <c r="BD12" s="12">
        <f>IF('Données projet'!$A$88&gt;35,BD11+BC12-BL11,IF(A12&lt;'Données projet'!$A$88,$BA$205^A12,IF(A12='Données projet'!$A$88,'Données projet'!$B$88,BD11+BC12-BL11)))</f>
        <v>5.1774409312613976</v>
      </c>
      <c r="BE12" s="13">
        <f>BD12*VLOOKUP('Données projet'!$B$11,Paramètres!$A$1:$I$89,3,0)*VLOOKUP('Données projet'!$B$11,Paramètres!$A$1:$I$89,5,0)</f>
        <v>2.8941894805751209</v>
      </c>
      <c r="BF12" s="13">
        <f t="shared" si="37"/>
        <v>1.1785751702664398</v>
      </c>
      <c r="BG12" s="20">
        <f t="shared" si="7"/>
        <v>7.0933984335490505</v>
      </c>
      <c r="BH12" s="59">
        <f t="shared" si="8"/>
        <v>274.76006510021574</v>
      </c>
      <c r="BI12" s="59">
        <f ca="1">AVERAGE(OFFSET($BH$3,0,0,'Données projet'!$E$11+1,1))-AVERAGE(OFFSET($H$3,0,0,'Données projet'!$E$11+1,1))</f>
        <v>342.37397177572871</v>
      </c>
      <c r="BJ12" s="59">
        <f t="shared" si="38"/>
        <v>331.32436050472762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4.333333333333333</v>
      </c>
      <c r="BY12" s="12">
        <f>IF('Données projet'!$A$114&gt;35,BY11+BX12-CG11,IF(A12&lt;'Données projet'!$A$114,$BV$205^A12,IF(A12='Données projet'!$A$114,'Données projet'!$B$114,BY11+BX12-CG11)))</f>
        <v>12.23905859480781</v>
      </c>
      <c r="BZ12" s="13">
        <f>BY12*VLOOKUP('Données projet'!$B$12,Paramètres!$A$1:$I$89,3,0)*VLOOKUP('Données projet'!$B$12,Paramètres!$A$1:$I$89,5,0)</f>
        <v>9.737395018029094</v>
      </c>
      <c r="CA12" s="13">
        <f t="shared" si="39"/>
        <v>3.4430244972188757</v>
      </c>
      <c r="CB12" s="20">
        <f t="shared" si="10"/>
        <v>22.955897322390214</v>
      </c>
      <c r="CC12" s="59">
        <f t="shared" si="11"/>
        <v>290.62256398905691</v>
      </c>
      <c r="CD12" s="59">
        <f ca="1">AVERAGE(OFFSET($CC$3,0,0,'Données projet'!$E$12+1,1))-AVERAGE(OFFSET($H$3,0,0,'Données projet'!$E$12+1,1))</f>
        <v>353.37479213497227</v>
      </c>
      <c r="CE12" s="59">
        <f t="shared" si="40"/>
        <v>345.4750813433123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9.6666666666666661</v>
      </c>
      <c r="N13" s="13">
        <f>IF('Données projet'!$A$36&gt;35,N12+M13-V12,IF(A13&lt;'Données projet'!$A$36,$K$205^A13,IF(A13='Données projet'!$A$36,'Données projet'!$B$36,N12+M13-V12)))</f>
        <v>52.526886339207103</v>
      </c>
      <c r="O13" s="13">
        <f>N13*VLOOKUP('Données projet'!$B$9,Paramètres!$A$1:$I$89,3,0)*VLOOKUP('Données projet'!$B$9,Paramètres!$A$1:$I$89,5,0)</f>
        <v>32.77677707566523</v>
      </c>
      <c r="P13" s="13">
        <f t="shared" si="33"/>
        <v>10.062511762625769</v>
      </c>
      <c r="Q13" s="20">
        <f t="shared" si="2"/>
        <v>74.611761393356815</v>
      </c>
      <c r="R13" s="59">
        <f t="shared" si="0"/>
        <v>343.50065028224566</v>
      </c>
      <c r="S13" s="59">
        <f ca="1">AVERAGE(OFFSET($R$3,0,0,'Données projet'!$E$9+1,1))-AVERAGE(OFFSET($H$3,0,0,'Données projet'!$E$9+1,1))</f>
        <v>232.56424130731699</v>
      </c>
      <c r="T13" s="59">
        <f t="shared" si="34"/>
        <v>384.58890620364178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5.8571428571428568</v>
      </c>
      <c r="AI13" s="13">
        <f>IF('Données projet'!$A$62&gt;35,AI12+AH13-AQ12,IF(A13&lt;'Données projet'!$A$62,$AF$205^A13,IF(A13='Données projet'!$A$62,'Données projet'!$B$62,AI12+AH13-AQ12)))</f>
        <v>9.8899229974177594</v>
      </c>
      <c r="AJ13" s="13">
        <f>AI13*VLOOKUP('Données projet'!$B$10,Paramètres!$A$1:$I$89,3,0)*VLOOKUP('Données projet'!$B$10,Paramètres!$A$1:$I$89,5,0)</f>
        <v>5.9141739524558208</v>
      </c>
      <c r="AK13" s="13">
        <f t="shared" si="35"/>
        <v>2.2161425204824581</v>
      </c>
      <c r="AL13" s="20">
        <f t="shared" si="4"/>
        <v>14.160301190367504</v>
      </c>
      <c r="AM13" s="59">
        <f t="shared" si="5"/>
        <v>283.04919007925633</v>
      </c>
      <c r="AN13" s="59">
        <f ca="1">AVERAGE(OFFSET($AM$3,0,0,'Données projet'!$E$10+1,1))-AVERAGE(OFFSET($H$3,0,0,'Données projet'!$E$10+1,1))</f>
        <v>279.39350157328471</v>
      </c>
      <c r="AO13" s="59">
        <f t="shared" si="36"/>
        <v>261.55559683031657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10.8125</v>
      </c>
      <c r="BD13" s="12">
        <f>IF('Données projet'!$A$88&gt;35,BD12+BC13-BL12,IF(A13&lt;'Données projet'!$A$88,$BA$205^A13,IF(A13='Données projet'!$A$88,'Données projet'!$B$88,BD12+BC13-BL12)))</f>
        <v>6.2152883344775862</v>
      </c>
      <c r="BE13" s="13">
        <f>BD13*VLOOKUP('Données projet'!$B$11,Paramètres!$A$1:$I$89,3,0)*VLOOKUP('Données projet'!$B$11,Paramètres!$A$1:$I$89,5,0)</f>
        <v>3.4743461789729708</v>
      </c>
      <c r="BF13" s="13">
        <f t="shared" si="37"/>
        <v>1.3850566159333559</v>
      </c>
      <c r="BG13" s="20">
        <f t="shared" si="7"/>
        <v>8.4634598677951853</v>
      </c>
      <c r="BH13" s="59">
        <f t="shared" si="8"/>
        <v>277.35234875668402</v>
      </c>
      <c r="BI13" s="59">
        <f ca="1">AVERAGE(OFFSET($BH$3,0,0,'Données projet'!$E$11+1,1))-AVERAGE(OFFSET($H$3,0,0,'Données projet'!$E$11+1,1))</f>
        <v>342.37397177572871</v>
      </c>
      <c r="BJ13" s="59">
        <f t="shared" si="38"/>
        <v>331.32436050472762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4.333333333333333</v>
      </c>
      <c r="BY13" s="12">
        <f>IF('Données projet'!$A$114&gt;35,BY12+BX13-CG12,IF(A13&lt;'Données projet'!$A$114,$BV$205^A13,IF(A13='Données projet'!$A$114,'Données projet'!$B$114,BY12+BX13-CG12)))</f>
        <v>16.166235625781542</v>
      </c>
      <c r="BZ13" s="13">
        <f>BY13*VLOOKUP('Données projet'!$B$12,Paramètres!$A$1:$I$89,3,0)*VLOOKUP('Données projet'!$B$12,Paramètres!$A$1:$I$89,5,0)</f>
        <v>12.861857063871796</v>
      </c>
      <c r="CA13" s="13">
        <f t="shared" si="39"/>
        <v>4.4028389063455258</v>
      </c>
      <c r="CB13" s="20">
        <f t="shared" si="10"/>
        <v>30.069345481461834</v>
      </c>
      <c r="CC13" s="59">
        <f t="shared" si="11"/>
        <v>298.95823437035068</v>
      </c>
      <c r="CD13" s="59">
        <f ca="1">AVERAGE(OFFSET($CC$3,0,0,'Données projet'!$E$12+1,1))-AVERAGE(OFFSET($H$3,0,0,'Données projet'!$E$12+1,1))</f>
        <v>353.37479213497227</v>
      </c>
      <c r="CE13" s="59">
        <f t="shared" si="40"/>
        <v>345.4750813433123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9.6666666666666661</v>
      </c>
      <c r="N14" s="13">
        <f>IF('Données projet'!$A$36&gt;35,N13+M14-V13,IF(A14&lt;'Données projet'!$A$36,$K$205^A14,IF(A14='Données projet'!$A$36,'Données projet'!$B$36,N13+M14-V13)))</f>
        <v>78.058432057965561</v>
      </c>
      <c r="O14" s="13">
        <f>N14*VLOOKUP('Données projet'!$B$9,Paramètres!$A$1:$I$89,3,0)*VLOOKUP('Données projet'!$B$9,Paramètres!$A$1:$I$89,5,0)</f>
        <v>48.708461604170509</v>
      </c>
      <c r="P14" s="13">
        <f t="shared" si="33"/>
        <v>14.279707917881618</v>
      </c>
      <c r="Q14" s="20">
        <f t="shared" si="2"/>
        <v>109.70439525090745</v>
      </c>
      <c r="R14" s="59">
        <f t="shared" si="0"/>
        <v>379.8155063620186</v>
      </c>
      <c r="S14" s="59">
        <f ca="1">AVERAGE(OFFSET($R$3,0,0,'Données projet'!$E$9+1,1))-AVERAGE(OFFSET($H$3,0,0,'Données projet'!$E$9+1,1))</f>
        <v>232.56424130731699</v>
      </c>
      <c r="T14" s="59">
        <f t="shared" si="34"/>
        <v>384.58890620364178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5.8571428571428568</v>
      </c>
      <c r="AI14" s="13">
        <f>IF('Données projet'!$A$62&gt;35,AI13+AH14-AQ13,IF(A14&lt;'Données projet'!$A$62,$AF$205^A14,IF(A14='Données projet'!$A$62,'Données projet'!$B$62,AI13+AH14-AQ13)))</f>
        <v>12.436901685899393</v>
      </c>
      <c r="AJ14" s="13">
        <f>AI14*VLOOKUP('Données projet'!$B$10,Paramètres!$A$1:$I$89,3,0)*VLOOKUP('Données projet'!$B$10,Paramètres!$A$1:$I$89,5,0)</f>
        <v>7.437267208167837</v>
      </c>
      <c r="AK14" s="13">
        <f t="shared" si="35"/>
        <v>2.7135194073903586</v>
      </c>
      <c r="AL14" s="20">
        <f t="shared" si="4"/>
        <v>17.67928668876386</v>
      </c>
      <c r="AM14" s="59">
        <f t="shared" si="5"/>
        <v>287.790397799875</v>
      </c>
      <c r="AN14" s="59">
        <f ca="1">AVERAGE(OFFSET($AM$3,0,0,'Données projet'!$E$10+1,1))-AVERAGE(OFFSET($H$3,0,0,'Données projet'!$E$10+1,1))</f>
        <v>279.39350157328471</v>
      </c>
      <c r="AO14" s="59">
        <f t="shared" si="36"/>
        <v>261.55559683031657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10.8125</v>
      </c>
      <c r="BD14" s="12">
        <f>IF('Données projet'!$A$88&gt;35,BD13+BC14-BL13,IF(A14&lt;'Données projet'!$A$88,$BA$205^A14,IF(A14='Données projet'!$A$88,'Données projet'!$B$88,BD13+BC14-BL13)))</f>
        <v>7.4611781367598642</v>
      </c>
      <c r="BE14" s="13">
        <f>BD14*VLOOKUP('Données projet'!$B$11,Paramètres!$A$1:$I$89,3,0)*VLOOKUP('Données projet'!$B$11,Paramètres!$A$1:$I$89,5,0)</f>
        <v>4.170798578448764</v>
      </c>
      <c r="BF14" s="13">
        <f t="shared" si="37"/>
        <v>1.6277127481881972</v>
      </c>
      <c r="BG14" s="20">
        <f t="shared" si="7"/>
        <v>10.099073893892708</v>
      </c>
      <c r="BH14" s="59">
        <f t="shared" si="8"/>
        <v>280.21018500500384</v>
      </c>
      <c r="BI14" s="59">
        <f ca="1">AVERAGE(OFFSET($BH$3,0,0,'Données projet'!$E$11+1,1))-AVERAGE(OFFSET($H$3,0,0,'Données projet'!$E$11+1,1))</f>
        <v>342.37397177572871</v>
      </c>
      <c r="BJ14" s="59">
        <f t="shared" si="38"/>
        <v>331.32436050472762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4.333333333333333</v>
      </c>
      <c r="BY14" s="12">
        <f>IF('Données projet'!$A$114&gt;35,BY13+BX14-CG13,IF(A14&lt;'Données projet'!$A$114,$BV$205^A14,IF(A14='Données projet'!$A$114,'Données projet'!$B$114,BY13+BX14-CG13)))</f>
        <v>21.353535673010011</v>
      </c>
      <c r="BZ14" s="13">
        <f>BY14*VLOOKUP('Données projet'!$B$12,Paramètres!$A$1:$I$89,3,0)*VLOOKUP('Données projet'!$B$12,Paramètres!$A$1:$I$89,5,0)</f>
        <v>16.988872981446764</v>
      </c>
      <c r="CA14" s="13">
        <f t="shared" si="39"/>
        <v>5.6302214668783828</v>
      </c>
      <c r="CB14" s="20">
        <f t="shared" si="10"/>
        <v>39.394922830832961</v>
      </c>
      <c r="CC14" s="59">
        <f t="shared" si="11"/>
        <v>309.50603394194411</v>
      </c>
      <c r="CD14" s="59">
        <f ca="1">AVERAGE(OFFSET($CC$3,0,0,'Données projet'!$E$12+1,1))-AVERAGE(OFFSET($H$3,0,0,'Données projet'!$E$12+1,1))</f>
        <v>353.37479213497227</v>
      </c>
      <c r="CE14" s="59">
        <f t="shared" si="40"/>
        <v>345.4750813433123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116</v>
      </c>
      <c r="L15" s="12">
        <f>VLOOKUP(A15,'Données projet'!$A$35:$I$55,9,0)</f>
        <v>9.6666666666666661</v>
      </c>
      <c r="M15" s="12">
        <f t="array" ref="M15">INDEX(L:L,MIN(IF(ISNUMBER(L15:L211),ROW(L15:L211),"")))</f>
        <v>9.6666666666666661</v>
      </c>
      <c r="N15" s="13">
        <f>IF('Données projet'!$A$36&gt;35,N14+M15-V14,IF(A15&lt;'Données projet'!$A$36,$K$205^A15,IF(A15='Données projet'!$A$36,'Données projet'!$B$36,N14+M15-V14)))</f>
        <v>116</v>
      </c>
      <c r="O15" s="13">
        <f>N15*VLOOKUP('Données projet'!$B$9,Paramètres!$A$1:$I$89,3,0)*VLOOKUP('Données projet'!$B$9,Paramètres!$A$1:$I$89,5,0)</f>
        <v>72.384</v>
      </c>
      <c r="P15" s="13">
        <f t="shared" si="33"/>
        <v>20.264329923804397</v>
      </c>
      <c r="Q15" s="20">
        <f t="shared" si="2"/>
        <v>161.362507950626</v>
      </c>
      <c r="R15" s="59">
        <f t="shared" si="0"/>
        <v>432.69584128395934</v>
      </c>
      <c r="S15" s="59">
        <f ca="1">AVERAGE(OFFSET($R$3,0,0,'Données projet'!$E$9+1,1))-AVERAGE(OFFSET($H$3,0,0,'Données projet'!$E$9+1,1))</f>
        <v>232.56424130731699</v>
      </c>
      <c r="T15" s="59">
        <f t="shared" si="34"/>
        <v>384.58890620364178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21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0.36</v>
      </c>
      <c r="Y15" s="16">
        <f>IF(ISNA(VLOOKUP(A15,'Données projet'!$A$35:$I$55,7,0)),0%,VLOOKUP(A15,'Données projet'!$A$35:$I$55,7,0))</f>
        <v>0.4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6.2333481405477302</v>
      </c>
      <c r="AB15" s="21">
        <f>EXP(-LN(2)/2)*AB14+(1-EXP(-LN(2)/2))/(LN(2)/2)*V15*Y15*VLOOKUP('Données projet'!$B$9,Paramètres!$A$1:$I$89,3,0)*0.475*44/12</f>
        <v>5.9347088107147234</v>
      </c>
      <c r="AC15" s="22">
        <f t="shared" si="3"/>
        <v>12.168056951262454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5.8571428571428568</v>
      </c>
      <c r="AI15" s="13">
        <f>IF('Données projet'!$A$62&gt;35,AI14+AH15-AQ14,IF(A15&lt;'Données projet'!$A$62,$AF$205^A15,IF(A15='Données projet'!$A$62,'Données projet'!$B$62,AI14+AH15-AQ14)))</f>
        <v>15.639810702784333</v>
      </c>
      <c r="AJ15" s="13">
        <f>AI15*VLOOKUP('Données projet'!$B$10,Paramètres!$A$1:$I$89,3,0)*VLOOKUP('Données projet'!$B$10,Paramètres!$A$1:$I$89,5,0)</f>
        <v>9.3526068002650309</v>
      </c>
      <c r="AK15" s="13">
        <f t="shared" si="35"/>
        <v>3.3225243892171474</v>
      </c>
      <c r="AL15" s="20">
        <f t="shared" si="4"/>
        <v>22.075853488348127</v>
      </c>
      <c r="AM15" s="59">
        <f t="shared" si="5"/>
        <v>293.40918682168143</v>
      </c>
      <c r="AN15" s="59">
        <f ca="1">AVERAGE(OFFSET($AM$3,0,0,'Données projet'!$E$10+1,1))-AVERAGE(OFFSET($H$3,0,0,'Données projet'!$E$10+1,1))</f>
        <v>279.39350157328471</v>
      </c>
      <c r="AO15" s="59">
        <f t="shared" si="36"/>
        <v>261.55559683031657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10.8125</v>
      </c>
      <c r="BD15" s="12">
        <f>IF('Données projet'!$A$88&gt;35,BD14+BC15-BL14,IF(A15&lt;'Données projet'!$A$88,$BA$205^A15,IF(A15='Données projet'!$A$88,'Données projet'!$B$88,BD14+BC15-BL14)))</f>
        <v>8.9568136171018935</v>
      </c>
      <c r="BE15" s="13">
        <f>BD15*VLOOKUP('Données projet'!$B$11,Paramètres!$A$1:$I$89,3,0)*VLOOKUP('Données projet'!$B$11,Paramètres!$A$1:$I$89,5,0)</f>
        <v>5.0068588119599582</v>
      </c>
      <c r="BF15" s="13">
        <f t="shared" si="37"/>
        <v>1.912881220980974</v>
      </c>
      <c r="BG15" s="20">
        <f t="shared" si="7"/>
        <v>12.051880557372124</v>
      </c>
      <c r="BH15" s="59">
        <f t="shared" si="8"/>
        <v>283.38521389070542</v>
      </c>
      <c r="BI15" s="59">
        <f ca="1">AVERAGE(OFFSET($BH$3,0,0,'Données projet'!$E$11+1,1))-AVERAGE(OFFSET($H$3,0,0,'Données projet'!$E$11+1,1))</f>
        <v>342.37397177572871</v>
      </c>
      <c r="BJ15" s="59">
        <f t="shared" si="38"/>
        <v>331.32436050472762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4.333333333333333</v>
      </c>
      <c r="BY15" s="12">
        <f>IF('Données projet'!$A$114&gt;35,BY14+BX15-CG14,IF(A15&lt;'Données projet'!$A$114,$BV$205^A15,IF(A15='Données projet'!$A$114,'Données projet'!$B$114,BY14+BX15-CG14)))</f>
        <v>28.205297528345746</v>
      </c>
      <c r="BZ15" s="13">
        <f>BY15*VLOOKUP('Données projet'!$B$12,Paramètres!$A$1:$I$89,3,0)*VLOOKUP('Données projet'!$B$12,Paramètres!$A$1:$I$89,5,0)</f>
        <v>22.440134713551878</v>
      </c>
      <c r="CA15" s="13">
        <f t="shared" si="39"/>
        <v>7.1997623443392129</v>
      </c>
      <c r="CB15" s="20">
        <f t="shared" si="10"/>
        <v>51.622820709160315</v>
      </c>
      <c r="CC15" s="59">
        <f t="shared" si="11"/>
        <v>322.95615404249361</v>
      </c>
      <c r="CD15" s="59">
        <f ca="1">AVERAGE(OFFSET($CC$3,0,0,'Données projet'!$E$12+1,1))-AVERAGE(OFFSET($H$3,0,0,'Données projet'!$E$12+1,1))</f>
        <v>353.37479213497227</v>
      </c>
      <c r="CE15" s="59">
        <f t="shared" si="40"/>
        <v>345.4750813433123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24.333333333333332</v>
      </c>
      <c r="N16" s="13">
        <f>IF('Données projet'!$A$36&gt;35,N15+M16-V15,IF(A16&lt;'Données projet'!$A$36,$K$205^A16,IF(A16='Données projet'!$A$36,'Données projet'!$B$36,N15+M16-V15)))</f>
        <v>119.33333333333334</v>
      </c>
      <c r="O16" s="13">
        <f>N16*VLOOKUP('Données projet'!$B$9,Paramètres!$A$1:$I$89,3,0)*VLOOKUP('Données projet'!$B$9,Paramètres!$A$1:$I$89,5,0)</f>
        <v>74.463999999999999</v>
      </c>
      <c r="P16" s="13">
        <f t="shared" si="33"/>
        <v>20.778006126410563</v>
      </c>
      <c r="Q16" s="20">
        <f t="shared" si="2"/>
        <v>165.87982733683171</v>
      </c>
      <c r="R16" s="59">
        <f t="shared" si="0"/>
        <v>438.43538289238722</v>
      </c>
      <c r="S16" s="59">
        <f ca="1">AVERAGE(OFFSET($R$3,0,0,'Données projet'!$E$9+1,1))-AVERAGE(OFFSET($H$3,0,0,'Données projet'!$E$9+1,1))</f>
        <v>232.56424130731699</v>
      </c>
      <c r="T16" s="59">
        <f t="shared" si="34"/>
        <v>384.58890620364178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6.0628969078469206</v>
      </c>
      <c r="AB16" s="21">
        <f>EXP(-LN(2)/2)*AB15+(1-EXP(-LN(2)/2))/(LN(2)/2)*V16*Y16*VLOOKUP('Données projet'!$B$9,Paramètres!$A$1:$I$89,3,0)*0.475*44/12</f>
        <v>4.1964728444239316</v>
      </c>
      <c r="AC16" s="22">
        <f t="shared" si="3"/>
        <v>10.259369752270853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5.8571428571428568</v>
      </c>
      <c r="AI16" s="13">
        <f>IF('Données projet'!$A$62&gt;35,AI15+AH16-AQ15,IF(A16&lt;'Données projet'!$A$62,$AF$205^A16,IF(A16='Données projet'!$A$62,'Données projet'!$B$62,AI15+AH16-AQ15)))</f>
        <v>19.667573564262558</v>
      </c>
      <c r="AJ16" s="13">
        <f>AI16*VLOOKUP('Données projet'!$B$10,Paramètres!$A$1:$I$89,3,0)*VLOOKUP('Données projet'!$B$10,Paramètres!$A$1:$I$89,5,0)</f>
        <v>11.76120899142901</v>
      </c>
      <c r="AK16" s="13">
        <f t="shared" si="35"/>
        <v>4.0682105633286563</v>
      </c>
      <c r="AL16" s="20">
        <f t="shared" si="4"/>
        <v>27.569572391202936</v>
      </c>
      <c r="AM16" s="59">
        <f t="shared" si="5"/>
        <v>300.12512794675848</v>
      </c>
      <c r="AN16" s="59">
        <f ca="1">AVERAGE(OFFSET($AM$3,0,0,'Données projet'!$E$10+1,1))-AVERAGE(OFFSET($H$3,0,0,'Données projet'!$E$10+1,1))</f>
        <v>279.39350157328471</v>
      </c>
      <c r="AO16" s="59">
        <f t="shared" si="36"/>
        <v>261.55559683031657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10.8125</v>
      </c>
      <c r="BD16" s="12">
        <f>IF('Données projet'!$A$88&gt;35,BD15+BC16-BL15,IF(A16&lt;'Données projet'!$A$88,$BA$205^A16,IF(A16='Données projet'!$A$88,'Données projet'!$B$88,BD15+BC16-BL15)))</f>
        <v>10.752257713329533</v>
      </c>
      <c r="BE16" s="13">
        <f>BD16*VLOOKUP('Données projet'!$B$11,Paramètres!$A$1:$I$89,3,0)*VLOOKUP('Données projet'!$B$11,Paramètres!$A$1:$I$89,5,0)</f>
        <v>6.010512061751208</v>
      </c>
      <c r="BF16" s="13">
        <f t="shared" si="37"/>
        <v>2.248010018754607</v>
      </c>
      <c r="BG16" s="20">
        <f t="shared" si="7"/>
        <v>14.383592623547626</v>
      </c>
      <c r="BH16" s="59">
        <f t="shared" si="8"/>
        <v>286.93914817910314</v>
      </c>
      <c r="BI16" s="59">
        <f ca="1">AVERAGE(OFFSET($BH$3,0,0,'Données projet'!$E$11+1,1))-AVERAGE(OFFSET($H$3,0,0,'Données projet'!$E$11+1,1))</f>
        <v>342.37397177572871</v>
      </c>
      <c r="BJ16" s="59">
        <f t="shared" si="38"/>
        <v>331.32436050472762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4.333333333333333</v>
      </c>
      <c r="BY16" s="12">
        <f>IF('Données projet'!$A$114&gt;35,BY15+BX16-CG15,IF(A16&lt;'Données projet'!$A$114,$BV$205^A16,IF(A16='Données projet'!$A$114,'Données projet'!$B$114,BY15+BX16-CG15)))</f>
        <v>37.255601172785397</v>
      </c>
      <c r="BZ16" s="13">
        <f>BY16*VLOOKUP('Données projet'!$B$12,Paramètres!$A$1:$I$89,3,0)*VLOOKUP('Données projet'!$B$12,Paramètres!$A$1:$I$89,5,0)</f>
        <v>29.640556293068066</v>
      </c>
      <c r="CA16" s="13">
        <f t="shared" si="39"/>
        <v>9.2068452582035114</v>
      </c>
      <c r="CB16" s="20">
        <f t="shared" si="10"/>
        <v>67.659224368464649</v>
      </c>
      <c r="CC16" s="59">
        <f t="shared" si="11"/>
        <v>340.21477992402021</v>
      </c>
      <c r="CD16" s="59">
        <f ca="1">AVERAGE(OFFSET($CC$3,0,0,'Données projet'!$E$12+1,1))-AVERAGE(OFFSET($H$3,0,0,'Données projet'!$E$12+1,1))</f>
        <v>353.37479213497227</v>
      </c>
      <c r="CE16" s="59">
        <f t="shared" si="40"/>
        <v>345.4750813433123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24.333333333333332</v>
      </c>
      <c r="N17" s="13">
        <f>IF('Données projet'!$A$36&gt;35,N16+M17-V16,IF(A17&lt;'Données projet'!$A$36,$K$205^A17,IF(A17='Données projet'!$A$36,'Données projet'!$B$36,N16+M17-V16)))</f>
        <v>143.66666666666669</v>
      </c>
      <c r="O17" s="13">
        <f>N17*VLOOKUP('Données projet'!$B$9,Paramètres!$A$1:$I$89,3,0)*VLOOKUP('Données projet'!$B$9,Paramètres!$A$1:$I$89,5,0)</f>
        <v>89.64800000000001</v>
      </c>
      <c r="P17" s="13">
        <f t="shared" si="33"/>
        <v>24.480311717746734</v>
      </c>
      <c r="Q17" s="20">
        <f t="shared" si="2"/>
        <v>198.77347624174226</v>
      </c>
      <c r="R17" s="59">
        <f t="shared" si="0"/>
        <v>472.55125401952</v>
      </c>
      <c r="S17" s="59">
        <f ca="1">AVERAGE(OFFSET($R$3,0,0,'Données projet'!$E$9+1,1))-AVERAGE(OFFSET($H$3,0,0,'Données projet'!$E$9+1,1))</f>
        <v>232.56424130731699</v>
      </c>
      <c r="T17" s="59">
        <f t="shared" si="34"/>
        <v>384.58890620364178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5.8971066730679551</v>
      </c>
      <c r="AB17" s="21">
        <f>EXP(-LN(2)/2)*AB16+(1-EXP(-LN(2)/2))/(LN(2)/2)*V17*Y17*VLOOKUP('Données projet'!$B$9,Paramètres!$A$1:$I$89,3,0)*0.475*44/12</f>
        <v>2.9673544053573617</v>
      </c>
      <c r="AC17" s="22">
        <f t="shared" si="3"/>
        <v>8.8644610784253164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5.8571428571428568</v>
      </c>
      <c r="AI17" s="13">
        <f>IF('Données projet'!$A$62&gt;35,AI16+AH17-AQ16,IF(A17&lt;'Données projet'!$A$62,$AF$205^A17,IF(A17='Données projet'!$A$62,'Données projet'!$B$62,AI16+AH17-AQ16)))</f>
        <v>24.732617117726086</v>
      </c>
      <c r="AJ17" s="13">
        <f>AI17*VLOOKUP('Données projet'!$B$10,Paramètres!$A$1:$I$89,3,0)*VLOOKUP('Données projet'!$B$10,Paramètres!$A$1:$I$89,5,0)</f>
        <v>14.790105036400202</v>
      </c>
      <c r="AK17" s="13">
        <f t="shared" si="35"/>
        <v>4.9812537844089251</v>
      </c>
      <c r="AL17" s="20">
        <f t="shared" si="4"/>
        <v>34.435116612909226</v>
      </c>
      <c r="AM17" s="59">
        <f t="shared" si="5"/>
        <v>308.21289439068698</v>
      </c>
      <c r="AN17" s="59">
        <f ca="1">AVERAGE(OFFSET($AM$3,0,0,'Données projet'!$E$10+1,1))-AVERAGE(OFFSET($H$3,0,0,'Données projet'!$E$10+1,1))</f>
        <v>279.39350157328471</v>
      </c>
      <c r="AO17" s="59">
        <f t="shared" si="36"/>
        <v>261.55559683031657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10.8125</v>
      </c>
      <c r="BD17" s="12">
        <f>IF('Données projet'!$A$88&gt;35,BD16+BC17-BL16,IF(A17&lt;'Données projet'!$A$88,$BA$205^A17,IF(A17='Données projet'!$A$88,'Données projet'!$B$88,BD16+BC17-BL16)))</f>
        <v>12.907608763133116</v>
      </c>
      <c r="BE17" s="13">
        <f>BD17*VLOOKUP('Données projet'!$B$11,Paramètres!$A$1:$I$89,3,0)*VLOOKUP('Données projet'!$B$11,Paramètres!$A$1:$I$89,5,0)</f>
        <v>7.2153532985914115</v>
      </c>
      <c r="BF17" s="13">
        <f t="shared" si="37"/>
        <v>2.6418519817082533</v>
      </c>
      <c r="BG17" s="20">
        <f t="shared" si="7"/>
        <v>17.167965863188581</v>
      </c>
      <c r="BH17" s="59">
        <f t="shared" si="8"/>
        <v>290.94574364096633</v>
      </c>
      <c r="BI17" s="59">
        <f ca="1">AVERAGE(OFFSET($BH$3,0,0,'Données projet'!$E$11+1,1))-AVERAGE(OFFSET($H$3,0,0,'Données projet'!$E$11+1,1))</f>
        <v>342.37397177572871</v>
      </c>
      <c r="BJ17" s="59">
        <f t="shared" si="38"/>
        <v>331.32436050472762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4.333333333333333</v>
      </c>
      <c r="BY17" s="12">
        <f>IF('Données projet'!$A$114&gt;35,BY16+BX17-CG16,IF(A17&lt;'Données projet'!$A$114,$BV$205^A17,IF(A17='Données projet'!$A$114,'Données projet'!$B$114,BY16+BX17-CG16)))</f>
        <v>49.209898153024547</v>
      </c>
      <c r="BZ17" s="13">
        <f>BY17*VLOOKUP('Données projet'!$B$12,Paramètres!$A$1:$I$89,3,0)*VLOOKUP('Données projet'!$B$12,Paramètres!$A$1:$I$89,5,0)</f>
        <v>39.151394970546335</v>
      </c>
      <c r="CA17" s="13">
        <f t="shared" si="39"/>
        <v>11.773444115853561</v>
      </c>
      <c r="CB17" s="20">
        <f t="shared" si="10"/>
        <v>88.69409474214649</v>
      </c>
      <c r="CC17" s="59">
        <f t="shared" si="11"/>
        <v>362.47187251992426</v>
      </c>
      <c r="CD17" s="59">
        <f ca="1">AVERAGE(OFFSET($CC$3,0,0,'Données projet'!$E$12+1,1))-AVERAGE(OFFSET($H$3,0,0,'Données projet'!$E$12+1,1))</f>
        <v>353.37479213497227</v>
      </c>
      <c r="CE17" s="59">
        <f t="shared" si="40"/>
        <v>345.4750813433123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168</v>
      </c>
      <c r="L18" s="12">
        <f>VLOOKUP(A18,'Données projet'!$A$35:$I$55,9,0)</f>
        <v>24.333333333333332</v>
      </c>
      <c r="M18" s="12">
        <f t="array" ref="M18">INDEX(L:L,MIN(IF(ISNUMBER(L18:L214),ROW(L18:L214),"")))</f>
        <v>24.333333333333332</v>
      </c>
      <c r="N18" s="13">
        <f>IF('Données projet'!$A$36&gt;35,N17+M18-V17,IF(A18&lt;'Données projet'!$A$36,$K$205^A18,IF(A18='Données projet'!$A$36,'Données projet'!$B$36,N17+M18-V17)))</f>
        <v>168.00000000000003</v>
      </c>
      <c r="O18" s="13">
        <f>N18*VLOOKUP('Données projet'!$B$9,Paramètres!$A$1:$I$89,3,0)*VLOOKUP('Données projet'!$B$9,Paramètres!$A$1:$I$89,5,0)</f>
        <v>104.83200000000002</v>
      </c>
      <c r="P18" s="13">
        <f t="shared" si="33"/>
        <v>28.109974371137717</v>
      </c>
      <c r="Q18" s="20">
        <f t="shared" si="2"/>
        <v>231.54060536306488</v>
      </c>
      <c r="R18" s="59">
        <f t="shared" si="0"/>
        <v>506.54060536306486</v>
      </c>
      <c r="S18" s="59">
        <f ca="1">AVERAGE(OFFSET($R$3,0,0,'Données projet'!$E$9+1,1))-AVERAGE(OFFSET($H$3,0,0,'Données projet'!$E$9+1,1))</f>
        <v>232.56424130731699</v>
      </c>
      <c r="T18" s="59">
        <f t="shared" si="34"/>
        <v>384.58890620364178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47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0.36</v>
      </c>
      <c r="Y18" s="16">
        <f>IF(ISNA(VLOOKUP(A18,'Données projet'!$A$35:$I$55,7,0)),0%,VLOOKUP(A18,'Données projet'!$A$35:$I$55,7,0))</f>
        <v>0.4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19.686676771727232</v>
      </c>
      <c r="AB18" s="21">
        <f>EXP(-LN(2)/2)*AB17+(1-EXP(-LN(2)/2))/(LN(2)/2)*V18*Y18*VLOOKUP('Données projet'!$B$9,Paramètres!$A$1:$I$89,3,0)*0.475*44/12</f>
        <v>15.380679950954441</v>
      </c>
      <c r="AC18" s="22">
        <f t="shared" si="3"/>
        <v>35.067356722681673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5.8571428571428568</v>
      </c>
      <c r="AI18" s="13">
        <f>IF('Données projet'!$A$62&gt;35,AI17+AH18-AQ17,IF(A18&lt;'Données projet'!$A$62,$AF$205^A18,IF(A18='Données projet'!$A$62,'Données projet'!$B$62,AI17+AH18-AQ17)))</f>
        <v>31.102075072623393</v>
      </c>
      <c r="AJ18" s="13">
        <f>AI18*VLOOKUP('Données projet'!$B$10,Paramètres!$A$1:$I$89,3,0)*VLOOKUP('Données projet'!$B$10,Paramètres!$A$1:$I$89,5,0)</f>
        <v>18.599040893428789</v>
      </c>
      <c r="AK18" s="13">
        <f t="shared" si="35"/>
        <v>6.0992146002359418</v>
      </c>
      <c r="AL18" s="20">
        <f t="shared" si="4"/>
        <v>43.016128318132736</v>
      </c>
      <c r="AM18" s="59">
        <f t="shared" si="5"/>
        <v>318.01612831813276</v>
      </c>
      <c r="AN18" s="59">
        <f ca="1">AVERAGE(OFFSET($AM$3,0,0,'Données projet'!$E$10+1,1))-AVERAGE(OFFSET($H$3,0,0,'Données projet'!$E$10+1,1))</f>
        <v>279.39350157328471</v>
      </c>
      <c r="AO18" s="59">
        <f t="shared" si="36"/>
        <v>261.55559683031657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10.8125</v>
      </c>
      <c r="BD18" s="12">
        <f>IF('Données projet'!$A$88&gt;35,BD17+BC18-BL17,IF(A18&lt;'Données projet'!$A$88,$BA$205^A18,IF(A18='Données projet'!$A$88,'Données projet'!$B$88,BD17+BC18-BL17)))</f>
        <v>15.495012156895154</v>
      </c>
      <c r="BE18" s="13">
        <f>BD18*VLOOKUP('Données projet'!$B$11,Paramètres!$A$1:$I$89,3,0)*VLOOKUP('Données projet'!$B$11,Paramètres!$A$1:$I$89,5,0)</f>
        <v>8.6617117957043916</v>
      </c>
      <c r="BF18" s="13">
        <f t="shared" si="37"/>
        <v>3.1046934110740252</v>
      </c>
      <c r="BG18" s="20">
        <f t="shared" si="7"/>
        <v>20.493155735139077</v>
      </c>
      <c r="BH18" s="59">
        <f t="shared" si="8"/>
        <v>295.49315573513906</v>
      </c>
      <c r="BI18" s="59">
        <f ca="1">AVERAGE(OFFSET($BH$3,0,0,'Données projet'!$E$11+1,1))-AVERAGE(OFFSET($H$3,0,0,'Données projet'!$E$11+1,1))</f>
        <v>342.37397177572871</v>
      </c>
      <c r="BJ18" s="59">
        <f t="shared" si="38"/>
        <v>331.32436050472762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4.333333333333333</v>
      </c>
      <c r="BX18" s="12">
        <f t="array" ref="BX18">INDEX(BW:BW,MIN(IF(ISNUMBER(BW18:BW214),ROW(BW18:BW214),"")))</f>
        <v>4.333333333333333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51.713999999999999</v>
      </c>
      <c r="CA18" s="13">
        <f t="shared" si="39"/>
        <v>15.055535578337075</v>
      </c>
      <c r="CB18" s="20">
        <f t="shared" si="10"/>
        <v>116.29027446560372</v>
      </c>
      <c r="CC18" s="59">
        <f t="shared" si="11"/>
        <v>391.29027446560372</v>
      </c>
      <c r="CD18" s="59">
        <f ca="1">AVERAGE(OFFSET($CC$3,0,0,'Données projet'!$E$12+1,1))-AVERAGE(OFFSET($H$3,0,0,'Données projet'!$E$12+1,1))</f>
        <v>353.37479213497227</v>
      </c>
      <c r="CE18" s="59">
        <f t="shared" si="40"/>
        <v>345.4750813433123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21.333333333333332</v>
      </c>
      <c r="N19" s="13">
        <f>IF('Données projet'!$A$36&gt;35,N18+M19-V18,IF(A19&lt;'Données projet'!$A$36,$K$205^A19,IF(A19='Données projet'!$A$36,'Données projet'!$B$36,N18+M19-V18)))</f>
        <v>142.33333333333337</v>
      </c>
      <c r="O19" s="13">
        <f>N19*VLOOKUP('Données projet'!$B$9,Paramètres!$A$1:$I$89,3,0)*VLOOKUP('Données projet'!$B$9,Paramètres!$A$1:$I$89,5,0)</f>
        <v>88.816000000000031</v>
      </c>
      <c r="P19" s="13">
        <f t="shared" si="33"/>
        <v>24.27945299264514</v>
      </c>
      <c r="Q19" s="20">
        <f t="shared" si="2"/>
        <v>196.97458062885698</v>
      </c>
      <c r="R19" s="59">
        <f t="shared" si="0"/>
        <v>473.19680285107921</v>
      </c>
      <c r="S19" s="59">
        <f ca="1">AVERAGE(OFFSET($R$3,0,0,'Données projet'!$E$9+1,1))-AVERAGE(OFFSET($H$3,0,0,'Données projet'!$E$9+1,1))</f>
        <v>232.56424130731699</v>
      </c>
      <c r="T19" s="59">
        <f t="shared" si="34"/>
        <v>384.58890620364178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19.148343560127014</v>
      </c>
      <c r="AB19" s="21">
        <f>EXP(-LN(2)/2)*AB18+(1-EXP(-LN(2)/2))/(LN(2)/2)*V19*Y19*VLOOKUP('Données projet'!$B$9,Paramètres!$A$1:$I$89,3,0)*0.475*44/12</f>
        <v>10.87578309257986</v>
      </c>
      <c r="AC19" s="22">
        <f t="shared" si="3"/>
        <v>30.024126652706876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5.8571428571428568</v>
      </c>
      <c r="AI19" s="13">
        <f>IF('Données projet'!$A$62&gt;35,AI18+AH19-AQ18,IF(A19&lt;'Données projet'!$A$62,$AF$205^A19,IF(A19='Données projet'!$A$62,'Données projet'!$B$62,AI18+AH19-AQ18)))</f>
        <v>39.111876806995937</v>
      </c>
      <c r="AJ19" s="13">
        <f>AI19*VLOOKUP('Données projet'!$B$10,Paramètres!$A$1:$I$89,3,0)*VLOOKUP('Données projet'!$B$10,Paramètres!$A$1:$I$89,5,0)</f>
        <v>23.388902330583573</v>
      </c>
      <c r="AK19" s="13">
        <f t="shared" si="35"/>
        <v>7.4680834082709735</v>
      </c>
      <c r="AL19" s="20">
        <f t="shared" si="4"/>
        <v>53.742583495171665</v>
      </c>
      <c r="AM19" s="59">
        <f t="shared" si="5"/>
        <v>329.96480571739392</v>
      </c>
      <c r="AN19" s="59">
        <f ca="1">AVERAGE(OFFSET($AM$3,0,0,'Données projet'!$E$10+1,1))-AVERAGE(OFFSET($H$3,0,0,'Données projet'!$E$10+1,1))</f>
        <v>279.39350157328471</v>
      </c>
      <c r="AO19" s="59">
        <f t="shared" si="36"/>
        <v>261.55559683031657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10.8125</v>
      </c>
      <c r="BD19" s="12">
        <f>IF('Données projet'!$A$88&gt;35,BD18+BC19-BL18,IF(A19&lt;'Données projet'!$A$88,$BA$205^A19,IF(A19='Données projet'!$A$88,'Données projet'!$B$88,BD18+BC19-BL18)))</f>
        <v>18.601075237738247</v>
      </c>
      <c r="BE19" s="13">
        <f>BD19*VLOOKUP('Données projet'!$B$11,Paramètres!$A$1:$I$89,3,0)*VLOOKUP('Données projet'!$B$11,Paramètres!$A$1:$I$89,5,0)</f>
        <v>10.39800105789568</v>
      </c>
      <c r="BF19" s="13">
        <f t="shared" si="37"/>
        <v>3.6486227250830656</v>
      </c>
      <c r="BG19" s="20">
        <f t="shared" si="7"/>
        <v>24.464536422021315</v>
      </c>
      <c r="BH19" s="59">
        <f t="shared" si="8"/>
        <v>300.68675864424353</v>
      </c>
      <c r="BI19" s="59">
        <f ca="1">AVERAGE(OFFSET($BH$3,0,0,'Données projet'!$E$11+1,1))-AVERAGE(OFFSET($H$3,0,0,'Données projet'!$E$11+1,1))</f>
        <v>342.37397177572871</v>
      </c>
      <c r="BJ19" s="59">
        <f t="shared" si="38"/>
        <v>331.32436050472762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37.234079999999999</v>
      </c>
      <c r="CA19" s="13">
        <f t="shared" si="39"/>
        <v>11.262510356679771</v>
      </c>
      <c r="CB19" s="20">
        <f t="shared" si="10"/>
        <v>84.464894871217254</v>
      </c>
      <c r="CC19" s="59">
        <f t="shared" si="11"/>
        <v>360.6871170934395</v>
      </c>
      <c r="CD19" s="59">
        <f ca="1">AVERAGE(OFFSET($CC$3,0,0,'Données projet'!$E$12+1,1))-AVERAGE(OFFSET($H$3,0,0,'Données projet'!$E$12+1,1))</f>
        <v>353.37479213497227</v>
      </c>
      <c r="CE19" s="59">
        <f t="shared" si="40"/>
        <v>345.4750813433123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21.333333333333332</v>
      </c>
      <c r="N20" s="13">
        <f>IF('Données projet'!$A$36&gt;35,N19+M20-V19,IF(A20&lt;'Données projet'!$A$36,$K$205^A20,IF(A20='Données projet'!$A$36,'Données projet'!$B$36,N19+M20-V19)))</f>
        <v>163.66666666666671</v>
      </c>
      <c r="O20" s="13">
        <f>N20*VLOOKUP('Données projet'!$B$9,Paramètres!$A$1:$I$89,3,0)*VLOOKUP('Données projet'!$B$9,Paramètres!$A$1:$I$89,5,0)</f>
        <v>102.12800000000003</v>
      </c>
      <c r="P20" s="13">
        <f t="shared" si="33"/>
        <v>27.468341244672462</v>
      </c>
      <c r="Q20" s="20">
        <f t="shared" si="2"/>
        <v>225.71362766780456</v>
      </c>
      <c r="R20" s="59">
        <f t="shared" si="0"/>
        <v>503.15807211224899</v>
      </c>
      <c r="S20" s="59">
        <f ca="1">AVERAGE(OFFSET($R$3,0,0,'Données projet'!$E$9+1,1))-AVERAGE(OFFSET($H$3,0,0,'Données projet'!$E$9+1,1))</f>
        <v>232.56424130731699</v>
      </c>
      <c r="T20" s="59">
        <f t="shared" si="34"/>
        <v>384.58890620364178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18.624731098507716</v>
      </c>
      <c r="AB20" s="21">
        <f>EXP(-LN(2)/2)*AB19+(1-EXP(-LN(2)/2))/(LN(2)/2)*V20*Y20*VLOOKUP('Données projet'!$B$9,Paramètres!$A$1:$I$89,3,0)*0.475*44/12</f>
        <v>7.6903399754772206</v>
      </c>
      <c r="AC20" s="22">
        <f t="shared" si="3"/>
        <v>26.315071073984939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5.8571428571428568</v>
      </c>
      <c r="AI20" s="13">
        <f>IF('Données projet'!$A$62&gt;35,AI19+AH20-AQ19,IF(A20&lt;'Données projet'!$A$62,$AF$205^A20,IF(A20='Données projet'!$A$62,'Données projet'!$B$62,AI19+AH20-AQ19)))</f>
        <v>49.184464502567238</v>
      </c>
      <c r="AJ20" s="13">
        <f>AI20*VLOOKUP('Données projet'!$B$10,Paramètres!$A$1:$I$89,3,0)*VLOOKUP('Données projet'!$B$10,Paramètres!$A$1:$I$89,5,0)</f>
        <v>29.41230977253521</v>
      </c>
      <c r="AK20" s="13">
        <f t="shared" si="35"/>
        <v>9.1441723973336995</v>
      </c>
      <c r="AL20" s="20">
        <f t="shared" si="4"/>
        <v>67.152539779188345</v>
      </c>
      <c r="AM20" s="59">
        <f t="shared" si="5"/>
        <v>344.59698422363283</v>
      </c>
      <c r="AN20" s="59">
        <f ca="1">AVERAGE(OFFSET($AM$3,0,0,'Données projet'!$E$10+1,1))-AVERAGE(OFFSET($H$3,0,0,'Données projet'!$E$10+1,1))</f>
        <v>279.39350157328471</v>
      </c>
      <c r="AO20" s="59">
        <f t="shared" si="36"/>
        <v>261.55559683031657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10.8125</v>
      </c>
      <c r="BD20" s="12">
        <f>IF('Données projet'!$A$88&gt;35,BD19+BC20-BL19,IF(A20&lt;'Données projet'!$A$88,$BA$205^A20,IF(A20='Données projet'!$A$88,'Données projet'!$B$88,BD19+BC20-BL19)))</f>
        <v>22.329766281985901</v>
      </c>
      <c r="BE20" s="13">
        <f>BD20*VLOOKUP('Données projet'!$B$11,Paramètres!$A$1:$I$89,3,0)*VLOOKUP('Données projet'!$B$11,Paramètres!$A$1:$I$89,5,0)</f>
        <v>12.48233935163012</v>
      </c>
      <c r="BF20" s="13">
        <f t="shared" si="37"/>
        <v>4.2878461823344187</v>
      </c>
      <c r="BG20" s="20">
        <f t="shared" si="7"/>
        <v>29.20807313832157</v>
      </c>
      <c r="BH20" s="59">
        <f t="shared" si="8"/>
        <v>306.65251758276605</v>
      </c>
      <c r="BI20" s="59">
        <f ca="1">AVERAGE(OFFSET($BH$3,0,0,'Données projet'!$E$11+1,1))-AVERAGE(OFFSET($H$3,0,0,'Données projet'!$E$11+1,1))</f>
        <v>342.37397177572871</v>
      </c>
      <c r="BJ20" s="59">
        <f t="shared" si="38"/>
        <v>331.32436050472762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48.213360000000002</v>
      </c>
      <c r="CA20" s="13">
        <f t="shared" si="39"/>
        <v>14.151379520104694</v>
      </c>
      <c r="CB20" s="20">
        <f t="shared" si="10"/>
        <v>108.61858799751566</v>
      </c>
      <c r="CC20" s="59">
        <f t="shared" si="11"/>
        <v>386.0630324419601</v>
      </c>
      <c r="CD20" s="59">
        <f ca="1">AVERAGE(OFFSET($CC$3,0,0,'Données projet'!$E$12+1,1))-AVERAGE(OFFSET($H$3,0,0,'Données projet'!$E$12+1,1))</f>
        <v>353.37479213497227</v>
      </c>
      <c r="CE20" s="59">
        <f t="shared" si="40"/>
        <v>345.4750813433123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185</v>
      </c>
      <c r="L21" s="12">
        <f>VLOOKUP(A21,'Données projet'!$A$35:$I$55,9,0)</f>
        <v>21.333333333333332</v>
      </c>
      <c r="M21" s="12">
        <f t="array" ref="M21">INDEX(L:L,MIN(IF(ISNUMBER(L21:L217),ROW(L21:L217),"")))</f>
        <v>21.333333333333332</v>
      </c>
      <c r="N21" s="13">
        <f>IF('Données projet'!$A$36&gt;35,N20+M21-V20,IF(A21&lt;'Données projet'!$A$36,$K$205^A21,IF(A21='Données projet'!$A$36,'Données projet'!$B$36,N20+M21-V20)))</f>
        <v>185.00000000000006</v>
      </c>
      <c r="O21" s="13">
        <f>N21*VLOOKUP('Données projet'!$B$9,Paramètres!$A$1:$I$89,3,0)*VLOOKUP('Données projet'!$B$9,Paramètres!$A$1:$I$89,5,0)</f>
        <v>115.44000000000004</v>
      </c>
      <c r="P21" s="13">
        <f t="shared" si="33"/>
        <v>30.60906809471021</v>
      </c>
      <c r="Q21" s="20">
        <f t="shared" si="2"/>
        <v>254.368793598287</v>
      </c>
      <c r="R21" s="59">
        <f t="shared" si="0"/>
        <v>533.03546026495371</v>
      </c>
      <c r="S21" s="59">
        <f ca="1">AVERAGE(OFFSET($R$3,0,0,'Données projet'!$E$9+1,1))-AVERAGE(OFFSET($H$3,0,0,'Données projet'!$E$9+1,1))</f>
        <v>232.56424130731699</v>
      </c>
      <c r="T21" s="59">
        <f t="shared" si="34"/>
        <v>384.58890620364178</v>
      </c>
      <c r="U21" s="15">
        <f>IF(ISNA(VLOOKUP(A21,'Données projet'!$A$35:$I$55,3,0)),0,VLOOKUP(A21,'Données projet'!$A$35:$I$55,3,0))</f>
        <v>3</v>
      </c>
      <c r="V21" s="15">
        <f>IF(ISNA(VLOOKUP(A21,'Données projet'!$A$35:$I$55,4,0)),0,VLOOKUP(A21,'Données projet'!$A$35:$I$55,4,0))</f>
        <v>61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0.36</v>
      </c>
      <c r="Y21" s="16">
        <f>IF(ISNA(VLOOKUP(A21,'Données projet'!$A$35:$I$55,7,0)),0%,VLOOKUP(A21,'Données projet'!$A$35:$I$55,7,0))</f>
        <v>0.4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36.221829064968482</v>
      </c>
      <c r="AB21" s="21">
        <f>EXP(-LN(2)/2)*AB20+(1-EXP(-LN(2)/2))/(LN(2)/2)*V21*Y21*VLOOKUP('Données projet'!$B$9,Paramètres!$A$1:$I$89,3,0)*0.475*44/12</f>
        <v>22.676807615508885</v>
      </c>
      <c r="AC21" s="22">
        <f t="shared" si="3"/>
        <v>58.898636680477367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5.8571428571428568</v>
      </c>
      <c r="AI21" s="13">
        <f>IF('Données projet'!$A$62&gt;35,AI20+AH21-AQ20,IF(A21&lt;'Données projet'!$A$62,$AF$205^A21,IF(A21='Données projet'!$A$62,'Données projet'!$B$62,AI20+AH21-AQ20)))</f>
        <v>61.851073021675873</v>
      </c>
      <c r="AJ21" s="13">
        <f>AI21*VLOOKUP('Données projet'!$B$10,Paramètres!$A$1:$I$89,3,0)*VLOOKUP('Données projet'!$B$10,Paramètres!$A$1:$I$89,5,0)</f>
        <v>36.986941666962174</v>
      </c>
      <c r="AK21" s="13">
        <f t="shared" si="35"/>
        <v>11.196432104595159</v>
      </c>
      <c r="AL21" s="20">
        <f t="shared" si="4"/>
        <v>83.919375985462352</v>
      </c>
      <c r="AM21" s="59">
        <f t="shared" si="5"/>
        <v>362.58604265212904</v>
      </c>
      <c r="AN21" s="59">
        <f ca="1">AVERAGE(OFFSET($AM$3,0,0,'Données projet'!$E$10+1,1))-AVERAGE(OFFSET($H$3,0,0,'Données projet'!$E$10+1,1))</f>
        <v>279.39350157328471</v>
      </c>
      <c r="AO21" s="59">
        <f t="shared" si="36"/>
        <v>261.55559683031657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10.8125</v>
      </c>
      <c r="BD21" s="12">
        <f>IF('Données projet'!$A$88&gt;35,BD20+BC21-BL20,IF(A21&lt;'Données projet'!$A$88,$BA$205^A21,IF(A21='Données projet'!$A$88,'Données projet'!$B$88,BD20+BC21-BL20)))</f>
        <v>26.805894596700888</v>
      </c>
      <c r="BE21" s="13">
        <f>BD21*VLOOKUP('Données projet'!$B$11,Paramètres!$A$1:$I$89,3,0)*VLOOKUP('Données projet'!$B$11,Paramètres!$A$1:$I$89,5,0)</f>
        <v>14.984495079555796</v>
      </c>
      <c r="BF21" s="13">
        <f t="shared" si="37"/>
        <v>5.0390589185790002</v>
      </c>
      <c r="BG21" s="20">
        <f t="shared" si="7"/>
        <v>34.874356546751436</v>
      </c>
      <c r="BH21" s="59">
        <f t="shared" si="8"/>
        <v>313.5410232134181</v>
      </c>
      <c r="BI21" s="59">
        <f ca="1">AVERAGE(OFFSET($BH$3,0,0,'Données projet'!$E$11+1,1))-AVERAGE(OFFSET($H$3,0,0,'Données projet'!$E$11+1,1))</f>
        <v>342.37397177572871</v>
      </c>
      <c r="BJ21" s="59">
        <f t="shared" si="38"/>
        <v>331.32436050472762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59.192639999999997</v>
      </c>
      <c r="CA21" s="13">
        <f t="shared" si="39"/>
        <v>16.963982408330725</v>
      </c>
      <c r="CB21" s="20">
        <f t="shared" si="10"/>
        <v>132.63945069450935</v>
      </c>
      <c r="CC21" s="59">
        <f t="shared" si="11"/>
        <v>411.30611736117601</v>
      </c>
      <c r="CD21" s="59">
        <f ca="1">AVERAGE(OFFSET($CC$3,0,0,'Données projet'!$E$12+1,1))-AVERAGE(OFFSET($H$3,0,0,'Données projet'!$E$12+1,1))</f>
        <v>353.37479213497227</v>
      </c>
      <c r="CE21" s="59">
        <f t="shared" si="40"/>
        <v>345.4750813433123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19.166666666666668</v>
      </c>
      <c r="N22" s="13">
        <f>IF('Données projet'!$A$36&gt;35,N21+M22-V21,IF(A22&lt;'Données projet'!$A$36,$K$205^A22,IF(A22='Données projet'!$A$36,'Données projet'!$B$36,N21+M22-V21)))</f>
        <v>143.16666666666671</v>
      </c>
      <c r="O22" s="13">
        <f>N22*VLOOKUP('Données projet'!$B$9,Paramètres!$A$1:$I$89,3,0)*VLOOKUP('Données projet'!$B$9,Paramètres!$A$1:$I$89,5,0)</f>
        <v>89.336000000000041</v>
      </c>
      <c r="P22" s="13">
        <f t="shared" si="33"/>
        <v>24.405015231137874</v>
      </c>
      <c r="Q22" s="20">
        <f t="shared" si="2"/>
        <v>198.09893486089848</v>
      </c>
      <c r="R22" s="59">
        <f t="shared" si="0"/>
        <v>477.98782374978737</v>
      </c>
      <c r="S22" s="59">
        <f ca="1">AVERAGE(OFFSET($R$3,0,0,'Données projet'!$E$9+1,1))-AVERAGE(OFFSET($H$3,0,0,'Données projet'!$E$9+1,1))</f>
        <v>232.56424130731699</v>
      </c>
      <c r="T22" s="59">
        <f t="shared" si="34"/>
        <v>384.58890620364178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35.231341244363712</v>
      </c>
      <c r="AB22" s="21">
        <f>EXP(-LN(2)/2)*AB21+(1-EXP(-LN(2)/2))/(LN(2)/2)*V22*Y22*VLOOKUP('Données projet'!$B$9,Paramètres!$A$1:$I$89,3,0)*0.475*44/12</f>
        <v>16.034924440589077</v>
      </c>
      <c r="AC22" s="22">
        <f t="shared" si="3"/>
        <v>51.266265684952785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5.8571428571428568</v>
      </c>
      <c r="AI22" s="13">
        <f>IF('Données projet'!$A$62&gt;35,AI21+AH22-AQ21,IF(A22&lt;'Données projet'!$A$62,$AF$205^A22,IF(A22='Données projet'!$A$62,'Données projet'!$B$62,AI21+AH22-AQ21)))</f>
        <v>77.779747581332344</v>
      </c>
      <c r="AJ22" s="13">
        <f>AI22*VLOOKUP('Données projet'!$B$10,Paramètres!$A$1:$I$89,3,0)*VLOOKUP('Données projet'!$B$10,Paramètres!$A$1:$I$89,5,0)</f>
        <v>46.512289053636749</v>
      </c>
      <c r="AK22" s="13">
        <f t="shared" si="35"/>
        <v>13.709287885841063</v>
      </c>
      <c r="AL22" s="20">
        <f t="shared" si="4"/>
        <v>104.88591316959052</v>
      </c>
      <c r="AM22" s="59">
        <f t="shared" si="5"/>
        <v>384.77480205847939</v>
      </c>
      <c r="AN22" s="59">
        <f ca="1">AVERAGE(OFFSET($AM$3,0,0,'Données projet'!$E$10+1,1))-AVERAGE(OFFSET($H$3,0,0,'Données projet'!$E$10+1,1))</f>
        <v>279.39350157328471</v>
      </c>
      <c r="AO22" s="59">
        <f t="shared" si="36"/>
        <v>261.55559683031657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10.8125</v>
      </c>
      <c r="BD22" s="12">
        <f>IF('Données projet'!$A$88&gt;35,BD21+BC22-BL21,IF(A22&lt;'Données projet'!$A$88,$BA$205^A22,IF(A22='Données projet'!$A$88,'Données projet'!$B$88,BD21+BC22-BL21)))</f>
        <v>32.179288222515737</v>
      </c>
      <c r="BE22" s="13">
        <f>BD22*VLOOKUP('Données projet'!$B$11,Paramètres!$A$1:$I$89,3,0)*VLOOKUP('Données projet'!$B$11,Paramètres!$A$1:$I$89,5,0)</f>
        <v>17.988222116386297</v>
      </c>
      <c r="BF22" s="13">
        <f t="shared" si="37"/>
        <v>5.9218809875979312</v>
      </c>
      <c r="BG22" s="20">
        <f t="shared" si="7"/>
        <v>41.643429572772526</v>
      </c>
      <c r="BH22" s="59">
        <f t="shared" si="8"/>
        <v>321.53231846166136</v>
      </c>
      <c r="BI22" s="59">
        <f ca="1">AVERAGE(OFFSET($BH$3,0,0,'Données projet'!$E$11+1,1))-AVERAGE(OFFSET($H$3,0,0,'Données projet'!$E$11+1,1))</f>
        <v>342.37397177572871</v>
      </c>
      <c r="BJ22" s="59">
        <f t="shared" si="38"/>
        <v>331.32436050472762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70.171919999999986</v>
      </c>
      <c r="CA22" s="13">
        <f t="shared" si="39"/>
        <v>19.716145269554726</v>
      </c>
      <c r="CB22" s="20">
        <f t="shared" si="10"/>
        <v>156.55504701114111</v>
      </c>
      <c r="CC22" s="59">
        <f t="shared" si="11"/>
        <v>436.44393590002994</v>
      </c>
      <c r="CD22" s="59">
        <f ca="1">AVERAGE(OFFSET($CC$3,0,0,'Données projet'!$E$12+1,1))-AVERAGE(OFFSET($H$3,0,0,'Données projet'!$E$12+1,1))</f>
        <v>353.37479213497227</v>
      </c>
      <c r="CE22" s="59">
        <f t="shared" si="40"/>
        <v>345.4750813433123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19.166666666666668</v>
      </c>
      <c r="N23" s="13">
        <f>IF('Données projet'!$A$36&gt;35,N22+M23-V22,IF(A23&lt;'Données projet'!$A$36,$K$205^A23,IF(A23='Données projet'!$A$36,'Données projet'!$B$36,N22+M23-V22)))</f>
        <v>162.33333333333337</v>
      </c>
      <c r="O23" s="13">
        <f>N23*VLOOKUP('Données projet'!$B$9,Paramètres!$A$1:$I$89,3,0)*VLOOKUP('Données projet'!$B$9,Paramètres!$A$1:$I$89,5,0)</f>
        <v>101.29600000000002</v>
      </c>
      <c r="P23" s="13">
        <f t="shared" si="33"/>
        <v>27.270519907880892</v>
      </c>
      <c r="Q23" s="20">
        <f t="shared" si="2"/>
        <v>223.9200221728926</v>
      </c>
      <c r="R23" s="59">
        <f t="shared" si="0"/>
        <v>505.03113328400377</v>
      </c>
      <c r="S23" s="59">
        <f ca="1">AVERAGE(OFFSET($R$3,0,0,'Données projet'!$E$9+1,1))-AVERAGE(OFFSET($H$3,0,0,'Données projet'!$E$9+1,1))</f>
        <v>232.56424130731699</v>
      </c>
      <c r="T23" s="59">
        <f t="shared" si="34"/>
        <v>384.58890620364178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34.267938365300871</v>
      </c>
      <c r="AB23" s="21">
        <f>EXP(-LN(2)/2)*AB22+(1-EXP(-LN(2)/2))/(LN(2)/2)*V23*Y23*VLOOKUP('Données projet'!$B$9,Paramètres!$A$1:$I$89,3,0)*0.475*44/12</f>
        <v>11.338403807754444</v>
      </c>
      <c r="AC23" s="22">
        <f t="shared" si="3"/>
        <v>45.606342173055317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5.8571428571428568</v>
      </c>
      <c r="AI23" s="13">
        <f>IF('Données projet'!$A$62&gt;35,AI22+AH23-AQ22,IF(A23&lt;'Données projet'!$A$62,$AF$205^A23,IF(A23='Données projet'!$A$62,'Données projet'!$B$62,AI22+AH23-AQ22)))</f>
        <v>97.810576894852673</v>
      </c>
      <c r="AJ23" s="13">
        <f>AI23*VLOOKUP('Données projet'!$B$10,Paramètres!$A$1:$I$89,3,0)*VLOOKUP('Données projet'!$B$10,Paramètres!$A$1:$I$89,5,0)</f>
        <v>58.490724983121908</v>
      </c>
      <c r="AK23" s="13">
        <f t="shared" si="35"/>
        <v>16.786112985022591</v>
      </c>
      <c r="AL23" s="20">
        <f t="shared" si="4"/>
        <v>131.10715946118498</v>
      </c>
      <c r="AM23" s="59">
        <f t="shared" si="5"/>
        <v>412.21827057229609</v>
      </c>
      <c r="AN23" s="59">
        <f ca="1">AVERAGE(OFFSET($AM$3,0,0,'Données projet'!$E$10+1,1))-AVERAGE(OFFSET($H$3,0,0,'Données projet'!$E$10+1,1))</f>
        <v>279.39350157328471</v>
      </c>
      <c r="AO23" s="59">
        <f t="shared" si="36"/>
        <v>261.55559683031657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10.8125</v>
      </c>
      <c r="BD23" s="12">
        <f>IF('Données projet'!$A$88&gt;35,BD22+BC23-BL22,IF(A23&lt;'Données projet'!$A$88,$BA$205^A23,IF(A23='Données projet'!$A$88,'Données projet'!$B$88,BD22+BC23-BL22)))</f>
        <v>38.629809080693171</v>
      </c>
      <c r="BE23" s="13">
        <f>BD23*VLOOKUP('Données projet'!$B$11,Paramètres!$A$1:$I$89,3,0)*VLOOKUP('Données projet'!$B$11,Paramètres!$A$1:$I$89,5,0)</f>
        <v>21.594063276107484</v>
      </c>
      <c r="BF23" s="13">
        <f t="shared" si="37"/>
        <v>6.959369794620919</v>
      </c>
      <c r="BG23" s="20">
        <f t="shared" si="7"/>
        <v>49.730562598185294</v>
      </c>
      <c r="BH23" s="59">
        <f t="shared" si="8"/>
        <v>330.84167370929646</v>
      </c>
      <c r="BI23" s="59">
        <f ca="1">AVERAGE(OFFSET($BH$3,0,0,'Données projet'!$E$11+1,1))-AVERAGE(OFFSET($H$3,0,0,'Données projet'!$E$11+1,1))</f>
        <v>342.37397177572871</v>
      </c>
      <c r="BJ23" s="59">
        <f t="shared" si="38"/>
        <v>331.32436050472762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81.151200000000003</v>
      </c>
      <c r="CA23" s="13">
        <f t="shared" si="39"/>
        <v>22.418424032002342</v>
      </c>
      <c r="CB23" s="20">
        <f t="shared" si="10"/>
        <v>180.38376185573739</v>
      </c>
      <c r="CC23" s="59">
        <f t="shared" si="11"/>
        <v>461.49487296684856</v>
      </c>
      <c r="CD23" s="59">
        <f ca="1">AVERAGE(OFFSET($CC$3,0,0,'Données projet'!$E$12+1,1))-AVERAGE(OFFSET($H$3,0,0,'Données projet'!$E$12+1,1))</f>
        <v>353.37479213497227</v>
      </c>
      <c r="CE23" s="59">
        <f t="shared" si="40"/>
        <v>345.4750813433123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19.166666666666668</v>
      </c>
      <c r="N24" s="13">
        <f>IF('Données projet'!$A$36&gt;35,N23+M24-V23,IF(A24&lt;'Données projet'!$A$36,$K$205^A24,IF(A24='Données projet'!$A$36,'Données projet'!$B$36,N23+M24-V23)))</f>
        <v>181.50000000000003</v>
      </c>
      <c r="O24" s="13">
        <f>N24*VLOOKUP('Données projet'!$B$9,Paramètres!$A$1:$I$89,3,0)*VLOOKUP('Données projet'!$B$9,Paramètres!$A$1:$I$89,5,0)</f>
        <v>113.25600000000001</v>
      </c>
      <c r="P24" s="13">
        <f t="shared" si="33"/>
        <v>30.096816336106439</v>
      </c>
      <c r="Q24" s="20">
        <f t="shared" si="2"/>
        <v>249.67282178538542</v>
      </c>
      <c r="R24" s="59">
        <f t="shared" si="0"/>
        <v>532.00615511871877</v>
      </c>
      <c r="S24" s="59">
        <f ca="1">AVERAGE(OFFSET($R$3,0,0,'Données projet'!$E$9+1,1))-AVERAGE(OFFSET($H$3,0,0,'Données projet'!$E$9+1,1))</f>
        <v>232.56424130731699</v>
      </c>
      <c r="T24" s="59">
        <f t="shared" si="34"/>
        <v>384.58890620364178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33.330879788629161</v>
      </c>
      <c r="AB24" s="21">
        <f>EXP(-LN(2)/2)*AB23+(1-EXP(-LN(2)/2))/(LN(2)/2)*V24*Y24*VLOOKUP('Données projet'!$B$9,Paramètres!$A$1:$I$89,3,0)*0.475*44/12</f>
        <v>8.01746222029454</v>
      </c>
      <c r="AC24" s="22">
        <f t="shared" si="3"/>
        <v>41.348342008923701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>
        <f>VLOOKUP(A24,'Données projet'!$A$61:$I$81,2,0)</f>
        <v>123</v>
      </c>
      <c r="AG24" s="12">
        <f>VLOOKUP(A24,'Données projet'!$A$61:$I$81,9,0)</f>
        <v>5.8571428571428568</v>
      </c>
      <c r="AH24" s="12">
        <f t="array" ref="AH24">INDEX(AG:AG,MIN(IF(ISNUMBER(AG24:AG220),ROW(AG24:AG220),"")))</f>
        <v>5.8571428571428568</v>
      </c>
      <c r="AI24" s="13">
        <f>IF('Données projet'!$A$62&gt;35,AI23+AH24-AQ23,IF(A24&lt;'Données projet'!$A$62,$AF$205^A24,IF(A24='Données projet'!$A$62,'Données projet'!$B$62,AI23+AH24-AQ23)))</f>
        <v>123</v>
      </c>
      <c r="AJ24" s="13">
        <f>AI24*VLOOKUP('Données projet'!$B$10,Paramètres!$A$1:$I$89,3,0)*VLOOKUP('Données projet'!$B$10,Paramètres!$A$1:$I$89,5,0)</f>
        <v>73.554000000000016</v>
      </c>
      <c r="AK24" s="13">
        <f t="shared" si="35"/>
        <v>20.553481077376691</v>
      </c>
      <c r="AL24" s="20">
        <f t="shared" si="4"/>
        <v>163.90386287643108</v>
      </c>
      <c r="AM24" s="59">
        <f t="shared" si="5"/>
        <v>446.23719620976442</v>
      </c>
      <c r="AN24" s="59">
        <f ca="1">AVERAGE(OFFSET($AM$3,0,0,'Données projet'!$E$10+1,1))-AVERAGE(OFFSET($H$3,0,0,'Données projet'!$E$10+1,1))</f>
        <v>279.39350157328471</v>
      </c>
      <c r="AO24" s="59">
        <f t="shared" si="36"/>
        <v>261.55559683031657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58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0.27</v>
      </c>
      <c r="AT24" s="16">
        <f>IF(ISNA(VLOOKUP(A24,'Données projet'!$A$61:$I$81,7,0)),0%,VLOOKUP(A24,'Données projet'!$A$61:$I$81,7,0))</f>
        <v>0.4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12.373938124242073</v>
      </c>
      <c r="AW24" s="21">
        <f>EXP(-LN(2)/2)*AW23+(1-EXP(-LN(2)/2))/(LN(2)/2)*AQ24*AT24*VLOOKUP('Données projet'!$B$10,Paramètres!$A$1:$I$89,3,0)*0.475*44/12</f>
        <v>15.70813800296318</v>
      </c>
      <c r="AX24" s="21">
        <f t="shared" si="6"/>
        <v>28.082076127205255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10.8125</v>
      </c>
      <c r="BD24" s="12">
        <f>IF('Données projet'!$A$88&gt;35,BD23+BC24-BL23,IF(A24&lt;'Données projet'!$A$88,$BA$205^A24,IF(A24='Données projet'!$A$88,'Données projet'!$B$88,BD23+BC24-BL23)))</f>
        <v>46.373373434862799</v>
      </c>
      <c r="BE24" s="13">
        <f>BD24*VLOOKUP('Données projet'!$B$11,Paramètres!$A$1:$I$89,3,0)*VLOOKUP('Données projet'!$B$11,Paramètres!$A$1:$I$89,5,0)</f>
        <v>25.922715750088308</v>
      </c>
      <c r="BF24" s="13">
        <f t="shared" si="37"/>
        <v>8.1786223059385836</v>
      </c>
      <c r="BG24" s="20">
        <f t="shared" si="7"/>
        <v>59.39316378091349</v>
      </c>
      <c r="BH24" s="59">
        <f t="shared" si="8"/>
        <v>341.7264971142468</v>
      </c>
      <c r="BI24" s="59">
        <f ca="1">AVERAGE(OFFSET($BH$3,0,0,'Données projet'!$E$11+1,1))-AVERAGE(OFFSET($H$3,0,0,'Données projet'!$E$11+1,1))</f>
        <v>342.37397177572871</v>
      </c>
      <c r="BJ24" s="59">
        <f t="shared" si="38"/>
        <v>331.32436050472762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65.080079999999981</v>
      </c>
      <c r="CA24" s="13">
        <f t="shared" si="39"/>
        <v>18.44653442602603</v>
      </c>
      <c r="CB24" s="20">
        <f t="shared" si="10"/>
        <v>145.47552012532864</v>
      </c>
      <c r="CC24" s="59">
        <f t="shared" si="11"/>
        <v>427.80885345866193</v>
      </c>
      <c r="CD24" s="59">
        <f ca="1">AVERAGE(OFFSET($CC$3,0,0,'Données projet'!$E$12+1,1))-AVERAGE(OFFSET($H$3,0,0,'Données projet'!$E$12+1,1))</f>
        <v>353.37479213497227</v>
      </c>
      <c r="CE24" s="59">
        <f t="shared" si="40"/>
        <v>345.4750813433123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19.166666666666668</v>
      </c>
      <c r="N25" s="13">
        <f>IF('Données projet'!$A$36&gt;35,N24+M25-V24,IF(A25&lt;'Données projet'!$A$36,$K$205^A25,IF(A25='Données projet'!$A$36,'Données projet'!$B$36,N24+M25-V24)))</f>
        <v>200.66666666666669</v>
      </c>
      <c r="O25" s="13">
        <f>N25*VLOOKUP('Données projet'!$B$9,Paramètres!$A$1:$I$89,3,0)*VLOOKUP('Données projet'!$B$9,Paramètres!$A$1:$I$89,5,0)</f>
        <v>125.21600000000001</v>
      </c>
      <c r="P25" s="13">
        <f t="shared" si="33"/>
        <v>32.888516733565645</v>
      </c>
      <c r="Q25" s="20">
        <f t="shared" si="2"/>
        <v>275.36536664429349</v>
      </c>
      <c r="R25" s="59">
        <f t="shared" si="0"/>
        <v>558.92092219984897</v>
      </c>
      <c r="S25" s="59">
        <f ca="1">AVERAGE(OFFSET($R$3,0,0,'Données projet'!$E$9+1,1))-AVERAGE(OFFSET($H$3,0,0,'Données projet'!$E$9+1,1))</f>
        <v>232.56424130731699</v>
      </c>
      <c r="T25" s="59">
        <f t="shared" si="34"/>
        <v>384.58890620364178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32.41944512801431</v>
      </c>
      <c r="AB25" s="21">
        <f>EXP(-LN(2)/2)*AB24+(1-EXP(-LN(2)/2))/(LN(2)/2)*V25*Y25*VLOOKUP('Données projet'!$B$9,Paramètres!$A$1:$I$89,3,0)*0.475*44/12</f>
        <v>5.669201903877223</v>
      </c>
      <c r="AC25" s="22">
        <f t="shared" si="3"/>
        <v>38.088647031891533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16.666666666666668</v>
      </c>
      <c r="AI25" s="13">
        <f>IF('Données projet'!$A$62&gt;35,AI24+AH25-AQ24,IF(A25&lt;'Données projet'!$A$62,$AF$205^A25,IF(A25='Données projet'!$A$62,'Données projet'!$B$62,AI24+AH25-AQ24)))</f>
        <v>81.666666666666657</v>
      </c>
      <c r="AJ25" s="13">
        <f>AI25*VLOOKUP('Données projet'!$B$10,Paramètres!$A$1:$I$89,3,0)*VLOOKUP('Données projet'!$B$10,Paramètres!$A$1:$I$89,5,0)</f>
        <v>48.836666666666666</v>
      </c>
      <c r="AK25" s="13">
        <f t="shared" si="35"/>
        <v>14.312913364392591</v>
      </c>
      <c r="AL25" s="20">
        <f t="shared" si="4"/>
        <v>109.98551855409488</v>
      </c>
      <c r="AM25" s="59">
        <f t="shared" si="5"/>
        <v>393.54107410965042</v>
      </c>
      <c r="AN25" s="59">
        <f ca="1">AVERAGE(OFFSET($AM$3,0,0,'Données projet'!$E$10+1,1))-AVERAGE(OFFSET($H$3,0,0,'Données projet'!$E$10+1,1))</f>
        <v>279.39350157328471</v>
      </c>
      <c r="AO25" s="59">
        <f t="shared" si="36"/>
        <v>261.55559683031657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12.035572135517549</v>
      </c>
      <c r="AW25" s="21">
        <f>EXP(-LN(2)/2)*AW24+(1-EXP(-LN(2)/2))/(LN(2)/2)*AQ25*AT25*VLOOKUP('Données projet'!$B$10,Paramètres!$A$1:$I$89,3,0)*0.475*44/12</f>
        <v>11.107330901709378</v>
      </c>
      <c r="AX25" s="21">
        <f t="shared" si="6"/>
        <v>23.14290303722693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10.8125</v>
      </c>
      <c r="BD25" s="12">
        <f>IF('Données projet'!$A$88&gt;35,BD24+BC25-BL24,IF(A25&lt;'Données projet'!$A$88,$BA$205^A25,IF(A25='Données projet'!$A$88,'Données projet'!$B$88,BD24+BC25-BL24)))</f>
        <v>55.669179188463396</v>
      </c>
      <c r="BE25" s="13">
        <f>BD25*VLOOKUP('Données projet'!$B$11,Paramètres!$A$1:$I$89,3,0)*VLOOKUP('Données projet'!$B$11,Paramètres!$A$1:$I$89,5,0)</f>
        <v>31.119071166351038</v>
      </c>
      <c r="BF25" s="13">
        <f t="shared" si="37"/>
        <v>9.6114827631227495</v>
      </c>
      <c r="BG25" s="20">
        <f t="shared" si="7"/>
        <v>70.939048093833506</v>
      </c>
      <c r="BH25" s="59">
        <f t="shared" si="8"/>
        <v>354.49460364938903</v>
      </c>
      <c r="BI25" s="59">
        <f ca="1">AVERAGE(OFFSET($BH$3,0,0,'Données projet'!$E$11+1,1))-AVERAGE(OFFSET($H$3,0,0,'Données projet'!$E$11+1,1))</f>
        <v>342.37397177572871</v>
      </c>
      <c r="BJ25" s="59">
        <f t="shared" si="38"/>
        <v>331.32436050472762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76.854959999999991</v>
      </c>
      <c r="CA25" s="13">
        <f t="shared" si="39"/>
        <v>21.366419773799993</v>
      </c>
      <c r="CB25" s="20">
        <f t="shared" si="10"/>
        <v>171.06890310603498</v>
      </c>
      <c r="CC25" s="59">
        <f t="shared" si="11"/>
        <v>454.62445866159055</v>
      </c>
      <c r="CD25" s="59">
        <f ca="1">AVERAGE(OFFSET($CC$3,0,0,'Données projet'!$E$12+1,1))-AVERAGE(OFFSET($H$3,0,0,'Données projet'!$E$12+1,1))</f>
        <v>353.37479213497227</v>
      </c>
      <c r="CE25" s="59">
        <f t="shared" si="40"/>
        <v>345.4750813433123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19.166666666666668</v>
      </c>
      <c r="N26" s="13">
        <f>IF('Données projet'!$A$36&gt;35,N25+M26-V25,IF(A26&lt;'Données projet'!$A$36,$K$205^A26,IF(A26='Données projet'!$A$36,'Données projet'!$B$36,N25+M26-V25)))</f>
        <v>219.83333333333334</v>
      </c>
      <c r="O26" s="13">
        <f>N26*VLOOKUP('Données projet'!$B$9,Paramètres!$A$1:$I$89,3,0)*VLOOKUP('Données projet'!$B$9,Paramètres!$A$1:$I$89,5,0)</f>
        <v>137.17599999999999</v>
      </c>
      <c r="P26" s="13">
        <f t="shared" si="33"/>
        <v>35.649301496907327</v>
      </c>
      <c r="Q26" s="20">
        <f t="shared" si="2"/>
        <v>301.00406677378027</v>
      </c>
      <c r="R26" s="59">
        <f t="shared" si="0"/>
        <v>585.78184455155804</v>
      </c>
      <c r="S26" s="59">
        <f ca="1">AVERAGE(OFFSET($R$3,0,0,'Données projet'!$E$9+1,1))-AVERAGE(OFFSET($H$3,0,0,'Données projet'!$E$9+1,1))</f>
        <v>232.56424130731699</v>
      </c>
      <c r="T26" s="59">
        <f t="shared" si="34"/>
        <v>384.58890620364178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31.532933696124235</v>
      </c>
      <c r="AB26" s="21">
        <f>EXP(-LN(2)/2)*AB25+(1-EXP(-LN(2)/2))/(LN(2)/2)*V26*Y26*VLOOKUP('Données projet'!$B$9,Paramètres!$A$1:$I$89,3,0)*0.475*44/12</f>
        <v>4.00873111014727</v>
      </c>
      <c r="AC26" s="22">
        <f t="shared" si="3"/>
        <v>35.541664806271505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16.666666666666668</v>
      </c>
      <c r="AI26" s="13">
        <f>IF('Données projet'!$A$62&gt;35,AI25+AH26-AQ25,IF(A26&lt;'Données projet'!$A$62,$AF$205^A26,IF(A26='Données projet'!$A$62,'Données projet'!$B$62,AI25+AH26-AQ25)))</f>
        <v>98.333333333333329</v>
      </c>
      <c r="AJ26" s="13">
        <f>AI26*VLOOKUP('Données projet'!$B$10,Paramètres!$A$1:$I$89,3,0)*VLOOKUP('Données projet'!$B$10,Paramètres!$A$1:$I$89,5,0)</f>
        <v>58.803333333333335</v>
      </c>
      <c r="AK26" s="13">
        <f t="shared" si="35"/>
        <v>16.86536030371628</v>
      </c>
      <c r="AL26" s="20">
        <f t="shared" si="4"/>
        <v>131.78964141786142</v>
      </c>
      <c r="AM26" s="59">
        <f t="shared" si="5"/>
        <v>416.56741919563922</v>
      </c>
      <c r="AN26" s="59">
        <f ca="1">AVERAGE(OFFSET($AM$3,0,0,'Données projet'!$E$10+1,1))-AVERAGE(OFFSET($H$3,0,0,'Données projet'!$E$10+1,1))</f>
        <v>279.39350157328471</v>
      </c>
      <c r="AO26" s="59">
        <f t="shared" si="36"/>
        <v>261.55559683031657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11.706458782548591</v>
      </c>
      <c r="AW26" s="21">
        <f>EXP(-LN(2)/2)*AW25+(1-EXP(-LN(2)/2))/(LN(2)/2)*AQ26*AT26*VLOOKUP('Données projet'!$B$10,Paramètres!$A$1:$I$89,3,0)*0.475*44/12</f>
        <v>7.8540690014815917</v>
      </c>
      <c r="AX26" s="21">
        <f t="shared" si="6"/>
        <v>19.560527784030182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10.8125</v>
      </c>
      <c r="BD26" s="12">
        <f>IF('Données projet'!$A$88&gt;35,BD25+BC26-BL25,IF(A26&lt;'Données projet'!$A$88,$BA$205^A26,IF(A26='Données projet'!$A$88,'Données projet'!$B$88,BD25+BC26-BL25)))</f>
        <v>66.828381934953697</v>
      </c>
      <c r="BE26" s="13">
        <f>BD26*VLOOKUP('Données projet'!$B$11,Paramètres!$A$1:$I$89,3,0)*VLOOKUP('Données projet'!$B$11,Paramètres!$A$1:$I$89,5,0)</f>
        <v>37.35706550163912</v>
      </c>
      <c r="BF26" s="13">
        <f t="shared" si="37"/>
        <v>11.295374385821349</v>
      </c>
      <c r="BG26" s="20">
        <f t="shared" si="7"/>
        <v>84.736332803993648</v>
      </c>
      <c r="BH26" s="59">
        <f t="shared" si="8"/>
        <v>369.51411058177143</v>
      </c>
      <c r="BI26" s="59">
        <f ca="1">AVERAGE(OFFSET($BH$3,0,0,'Données projet'!$E$11+1,1))-AVERAGE(OFFSET($H$3,0,0,'Données projet'!$E$11+1,1))</f>
        <v>342.37397177572871</v>
      </c>
      <c r="BJ26" s="59">
        <f t="shared" si="38"/>
        <v>331.32436050472762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88.629839999999987</v>
      </c>
      <c r="CA26" s="13">
        <f t="shared" si="39"/>
        <v>24.23448093253452</v>
      </c>
      <c r="CB26" s="20">
        <f t="shared" si="10"/>
        <v>196.57202562416424</v>
      </c>
      <c r="CC26" s="59">
        <f t="shared" si="11"/>
        <v>481.34980340194204</v>
      </c>
      <c r="CD26" s="59">
        <f ca="1">AVERAGE(OFFSET($CC$3,0,0,'Données projet'!$E$12+1,1))-AVERAGE(OFFSET($H$3,0,0,'Données projet'!$E$12+1,1))</f>
        <v>353.37479213497227</v>
      </c>
      <c r="CE26" s="59">
        <f t="shared" si="40"/>
        <v>345.4750813433123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239</v>
      </c>
      <c r="L27" s="12">
        <f>VLOOKUP(A27,'Données projet'!$A$35:$I$55,9,0)</f>
        <v>19.166666666666668</v>
      </c>
      <c r="M27" s="12">
        <f t="array" ref="M27">INDEX(L:L,MIN(IF(ISNUMBER(L27:L223),ROW(L27:L223),"")))</f>
        <v>19.166666666666668</v>
      </c>
      <c r="N27" s="13">
        <f>IF('Données projet'!$A$36&gt;35,N26+M27-V26,IF(A27&lt;'Données projet'!$A$36,$K$205^A27,IF(A27='Données projet'!$A$36,'Données projet'!$B$36,N26+M27-V26)))</f>
        <v>239</v>
      </c>
      <c r="O27" s="13">
        <f>N27*VLOOKUP('Données projet'!$B$9,Paramètres!$A$1:$I$89,3,0)*VLOOKUP('Données projet'!$B$9,Paramètres!$A$1:$I$89,5,0)</f>
        <v>149.136</v>
      </c>
      <c r="P27" s="13">
        <f t="shared" si="33"/>
        <v>38.382172557156274</v>
      </c>
      <c r="Q27" s="20">
        <f t="shared" si="2"/>
        <v>326.59415053704714</v>
      </c>
      <c r="R27" s="59">
        <f t="shared" si="0"/>
        <v>612.5941505370472</v>
      </c>
      <c r="S27" s="59">
        <f ca="1">AVERAGE(OFFSET($R$3,0,0,'Données projet'!$E$9+1,1))-AVERAGE(OFFSET($H$3,0,0,'Données projet'!$E$9+1,1))</f>
        <v>232.56424130731699</v>
      </c>
      <c r="T27" s="59">
        <f t="shared" si="34"/>
        <v>384.58890620364178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84</v>
      </c>
      <c r="W27" s="16">
        <f>IF(ISNA(VLOOKUP(A27,'Données projet'!$A$35:$I$55,5,0)),0%,VLOOKUP(A27,'Données projet'!$A$35:$I$55,5,0)*VLOOKUP('Données projet'!$B$9,Paramètres!$A$1:$I$89,7,0))</f>
        <v>0.06</v>
      </c>
      <c r="X27" s="16">
        <f>IF(ISNA(VLOOKUP(A27,'Données projet'!$A$35:$I$55,6,0)),0%,VLOOKUP(A27,'Données projet'!$A$35:$I$55,6,0)*VLOOKUP('Données projet'!$B$9,Paramètres!$A$1:$I$89,7,0))</f>
        <v>0.3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4.1719921497791352</v>
      </c>
      <c r="AA27" s="21">
        <f>EXP(-LN(2)/25)*AA26+(1-EXP(-LN(2)/25))/(LN(2)/25)*Calculateur!V27*Calculateur!X27*VLOOKUP('Données projet'!$B$9,Paramètres!$A$1:$I$89,3,0)*0.475*44/12</f>
        <v>51.448491101117909</v>
      </c>
      <c r="AB27" s="21">
        <f>EXP(-LN(2)/2)*AB26+(1-EXP(-LN(2)/2))/(LN(2)/2)*V27*Y27*VLOOKUP('Données projet'!$B$9,Paramètres!$A$1:$I$89,3,0)*0.475*44/12</f>
        <v>26.573436194797505</v>
      </c>
      <c r="AC27" s="22">
        <f t="shared" si="3"/>
        <v>82.193919445694547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16.666666666666668</v>
      </c>
      <c r="AI27" s="13">
        <f>IF('Données projet'!$A$62&gt;35,AI26+AH27-AQ26,IF(A27&lt;'Données projet'!$A$62,$AF$205^A27,IF(A27='Données projet'!$A$62,'Données projet'!$B$62,AI26+AH27-AQ26)))</f>
        <v>115</v>
      </c>
      <c r="AJ27" s="13">
        <f>AI27*VLOOKUP('Données projet'!$B$10,Paramètres!$A$1:$I$89,3,0)*VLOOKUP('Données projet'!$B$10,Paramètres!$A$1:$I$89,5,0)</f>
        <v>68.77000000000001</v>
      </c>
      <c r="AK27" s="13">
        <f t="shared" si="35"/>
        <v>19.367690785921525</v>
      </c>
      <c r="AL27" s="20">
        <f t="shared" si="4"/>
        <v>153.50647811881331</v>
      </c>
      <c r="AM27" s="59">
        <f t="shared" si="5"/>
        <v>439.50647811881333</v>
      </c>
      <c r="AN27" s="59">
        <f ca="1">AVERAGE(OFFSET($AM$3,0,0,'Données projet'!$E$10+1,1))-AVERAGE(OFFSET($H$3,0,0,'Données projet'!$E$10+1,1))</f>
        <v>279.39350157328471</v>
      </c>
      <c r="AO27" s="59">
        <f t="shared" si="36"/>
        <v>261.55559683031657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11.386345051523888</v>
      </c>
      <c r="AW27" s="21">
        <f>EXP(-LN(2)/2)*AW26+(1-EXP(-LN(2)/2))/(LN(2)/2)*AQ27*AT27*VLOOKUP('Données projet'!$B$10,Paramètres!$A$1:$I$89,3,0)*0.475*44/12</f>
        <v>5.5536654508546901</v>
      </c>
      <c r="AX27" s="21">
        <f t="shared" si="6"/>
        <v>16.940010502378577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10.8125</v>
      </c>
      <c r="BD27" s="12">
        <f>IF('Données projet'!$A$88&gt;35,BD26+BC27-BL26,IF(A27&lt;'Données projet'!$A$88,$BA$205^A27,IF(A27='Données projet'!$A$88,'Données projet'!$B$88,BD26+BC27-BL26)))</f>
        <v>80.224510171501919</v>
      </c>
      <c r="BE27" s="13">
        <f>BD27*VLOOKUP('Données projet'!$B$11,Paramètres!$A$1:$I$89,3,0)*VLOOKUP('Données projet'!$B$11,Paramètres!$A$1:$I$89,5,0)</f>
        <v>44.845501185869573</v>
      </c>
      <c r="BF27" s="13">
        <f t="shared" si="37"/>
        <v>13.274276785407949</v>
      </c>
      <c r="BG27" s="20">
        <f t="shared" si="7"/>
        <v>101.22527996664168</v>
      </c>
      <c r="BH27" s="59">
        <f t="shared" si="8"/>
        <v>387.22527996664166</v>
      </c>
      <c r="BI27" s="59">
        <f ca="1">AVERAGE(OFFSET($BH$3,0,0,'Données projet'!$E$11+1,1))-AVERAGE(OFFSET($H$3,0,0,'Données projet'!$E$11+1,1))</f>
        <v>342.37397177572871</v>
      </c>
      <c r="BJ27" s="59">
        <f t="shared" si="38"/>
        <v>331.32436050472762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100.40472</v>
      </c>
      <c r="CA27" s="13">
        <f t="shared" si="39"/>
        <v>27.058393830330502</v>
      </c>
      <c r="CB27" s="20">
        <f t="shared" si="10"/>
        <v>221.99825658782561</v>
      </c>
      <c r="CC27" s="59">
        <f t="shared" si="11"/>
        <v>507.99825658782561</v>
      </c>
      <c r="CD27" s="59">
        <f ca="1">AVERAGE(OFFSET($CC$3,0,0,'Données projet'!$E$12+1,1))-AVERAGE(OFFSET($H$3,0,0,'Données projet'!$E$12+1,1))</f>
        <v>353.37479213497227</v>
      </c>
      <c r="CE27" s="59">
        <f t="shared" si="40"/>
        <v>345.4750813433123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16.666666666666668</v>
      </c>
      <c r="N28" s="13">
        <f>IF('Données projet'!$A$36&gt;35,N27+M28-V27,IF(A28&lt;'Données projet'!$A$36,$K$205^A28,IF(A28='Données projet'!$A$36,'Données projet'!$B$36,N27+M28-V27)))</f>
        <v>171.66666666666666</v>
      </c>
      <c r="O28" s="13">
        <f>N28*VLOOKUP('Données projet'!$B$9,Paramètres!$A$1:$I$89,3,0)*VLOOKUP('Données projet'!$B$9,Paramètres!$A$1:$I$89,5,0)</f>
        <v>107.11999999999999</v>
      </c>
      <c r="P28" s="13">
        <f t="shared" si="33"/>
        <v>28.651389930625854</v>
      </c>
      <c r="Q28" s="20">
        <f t="shared" si="2"/>
        <v>236.46850412917334</v>
      </c>
      <c r="R28" s="59">
        <f t="shared" si="0"/>
        <v>523.6907263513956</v>
      </c>
      <c r="S28" s="59">
        <f ca="1">AVERAGE(OFFSET($R$3,0,0,'Données projet'!$E$9+1,1))-AVERAGE(OFFSET($H$3,0,0,'Données projet'!$E$9+1,1))</f>
        <v>232.56424130731699</v>
      </c>
      <c r="T28" s="59">
        <f t="shared" si="34"/>
        <v>384.58890620364178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4.0901819283859133</v>
      </c>
      <c r="AA28" s="21">
        <f>EXP(-LN(2)/25)*AA27+(1-EXP(-LN(2)/25))/(LN(2)/25)*Calculateur!V28*Calculateur!X28*VLOOKUP('Données projet'!$B$9,Paramètres!$A$1:$I$89,3,0)*0.475*44/12</f>
        <v>50.041629406399281</v>
      </c>
      <c r="AB28" s="21">
        <f>EXP(-LN(2)/2)*AB27+(1-EXP(-LN(2)/2))/(LN(2)/2)*V28*Y28*VLOOKUP('Données projet'!$B$9,Paramètres!$A$1:$I$89,3,0)*0.475*44/12</f>
        <v>18.790256932769363</v>
      </c>
      <c r="AC28" s="22">
        <f t="shared" si="3"/>
        <v>72.922068267554565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16.666666666666668</v>
      </c>
      <c r="AI28" s="13">
        <f>IF('Données projet'!$A$62&gt;35,AI27+AH28-AQ27,IF(A28&lt;'Données projet'!$A$62,$AF$205^A28,IF(A28='Données projet'!$A$62,'Données projet'!$B$62,AI27+AH28-AQ27)))</f>
        <v>131.66666666666666</v>
      </c>
      <c r="AJ28" s="13">
        <f>AI28*VLOOKUP('Données projet'!$B$10,Paramètres!$A$1:$I$89,3,0)*VLOOKUP('Données projet'!$B$10,Paramètres!$A$1:$I$89,5,0)</f>
        <v>78.736666666666665</v>
      </c>
      <c r="AK28" s="13">
        <f t="shared" si="35"/>
        <v>21.828006984037042</v>
      </c>
      <c r="AL28" s="20">
        <f t="shared" si="4"/>
        <v>175.15013994164227</v>
      </c>
      <c r="AM28" s="59">
        <f t="shared" si="5"/>
        <v>462.37236216386452</v>
      </c>
      <c r="AN28" s="59">
        <f ca="1">AVERAGE(OFFSET($AM$3,0,0,'Données projet'!$E$10+1,1))-AVERAGE(OFFSET($H$3,0,0,'Données projet'!$E$10+1,1))</f>
        <v>279.39350157328471</v>
      </c>
      <c r="AO28" s="59">
        <f t="shared" si="36"/>
        <v>261.55559683031657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11.074984847308105</v>
      </c>
      <c r="AW28" s="21">
        <f>EXP(-LN(2)/2)*AW27+(1-EXP(-LN(2)/2))/(LN(2)/2)*AQ28*AT28*VLOOKUP('Données projet'!$B$10,Paramètres!$A$1:$I$89,3,0)*0.475*44/12</f>
        <v>3.9270345007407963</v>
      </c>
      <c r="AX28" s="21">
        <f t="shared" si="6"/>
        <v>15.002019348048901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10.8125</v>
      </c>
      <c r="BD28" s="12">
        <f>IF('Données projet'!$A$88&gt;35,BD27+BC28-BL27,IF(A28&lt;'Données projet'!$A$88,$BA$205^A28,IF(A28='Données projet'!$A$88,'Données projet'!$B$88,BD27+BC28-BL27)))</f>
        <v>96.305968301338837</v>
      </c>
      <c r="BE28" s="13">
        <f>BD28*VLOOKUP('Données projet'!$B$11,Paramètres!$A$1:$I$89,3,0)*VLOOKUP('Données projet'!$B$11,Paramètres!$A$1:$I$89,5,0)</f>
        <v>53.835036280448413</v>
      </c>
      <c r="BF28" s="13">
        <f t="shared" si="37"/>
        <v>15.599874617419111</v>
      </c>
      <c r="BG28" s="20">
        <f t="shared" si="7"/>
        <v>120.93246981378593</v>
      </c>
      <c r="BH28" s="59">
        <f t="shared" si="8"/>
        <v>408.15469203600816</v>
      </c>
      <c r="BI28" s="59">
        <f ca="1">AVERAGE(OFFSET($BH$3,0,0,'Données projet'!$E$11+1,1))-AVERAGE(OFFSET($H$3,0,0,'Données projet'!$E$11+1,1))</f>
        <v>342.37397177572871</v>
      </c>
      <c r="BJ28" s="59">
        <f t="shared" si="38"/>
        <v>331.32436050472762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112.17959999999998</v>
      </c>
      <c r="CA28" s="13">
        <f t="shared" si="39"/>
        <v>29.8439274472838</v>
      </c>
      <c r="CB28" s="20">
        <f t="shared" si="10"/>
        <v>247.35764363735257</v>
      </c>
      <c r="CC28" s="59">
        <f t="shared" si="11"/>
        <v>534.57986585957474</v>
      </c>
      <c r="CD28" s="59">
        <f ca="1">AVERAGE(OFFSET($CC$3,0,0,'Données projet'!$E$12+1,1))-AVERAGE(OFFSET($H$3,0,0,'Données projet'!$E$12+1,1))</f>
        <v>353.37479213497227</v>
      </c>
      <c r="CE28" s="59">
        <f t="shared" si="40"/>
        <v>345.4750813433123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0.21200000000000002</v>
      </c>
      <c r="CI28" s="16">
        <f>IF(ISNA(VLOOKUP(A28,'Données projet'!$A$113:$I$133,6,0)),0%,VLOOKUP(A28,'Données projet'!$A$113:$I$133,6,0)*VLOOKUP('Données projet'!$B$12,Paramètres!$A$1:$I$89,7,0))</f>
        <v>4.24E-2</v>
      </c>
      <c r="CJ28" s="16">
        <f>IF(ISNA(VLOOKUP(A28,'Données projet'!$A$113:$I$133,7,0)),0%,VLOOKUP(A28,'Données projet'!$A$113:$I$133,7,0))</f>
        <v>0.12</v>
      </c>
      <c r="CK28" s="21">
        <f>EXP(-LN(2)/35)*CK27+(1-EXP(-LN(2)/35))/(LN(2)/35)*CG28*CH28*VLOOKUP('Données projet'!$B$12,Paramètres!$A$1:$I$89,3,0)*0.475*44/12</f>
        <v>6.5259807759566018</v>
      </c>
      <c r="CL28" s="21">
        <f>EXP(-LN(2)/25)*CL27+(1-EXP(-LN(2)/25))/(LN(2)/25)*Calculateur!CG28*Calculateur!CI28*VLOOKUP('Données projet'!$B$12,Paramètres!$A$1:$I$89,3,0)*0.475*44/12</f>
        <v>1.3000571006096076</v>
      </c>
      <c r="CM28" s="21">
        <f>EXP(-LN(2)/2)*CM27+(1-EXP(-LN(2)/2))/(LN(2)/2)*CG28*CJ28*VLOOKUP('Données projet'!$B$12,Paramètres!$A$1:$I$89,3,0)*0.475*44/12</f>
        <v>3.1528140556921969</v>
      </c>
      <c r="CN28" s="22">
        <f t="shared" si="12"/>
        <v>10.978851932258406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16.666666666666668</v>
      </c>
      <c r="N29" s="13">
        <f>IF('Données projet'!$A$36&gt;35,N28+M29-V28,IF(A29&lt;'Données projet'!$A$36,$K$205^A29,IF(A29='Données projet'!$A$36,'Données projet'!$B$36,N28+M29-V28)))</f>
        <v>188.33333333333331</v>
      </c>
      <c r="O29" s="13">
        <f>N29*VLOOKUP('Données projet'!$B$9,Paramètres!$A$1:$I$89,3,0)*VLOOKUP('Données projet'!$B$9,Paramètres!$A$1:$I$89,5,0)</f>
        <v>117.52</v>
      </c>
      <c r="P29" s="13">
        <f t="shared" si="33"/>
        <v>31.095878887738458</v>
      </c>
      <c r="Q29" s="20">
        <f t="shared" si="2"/>
        <v>258.8393223961445</v>
      </c>
      <c r="R29" s="59">
        <f t="shared" si="0"/>
        <v>547.2837668405889</v>
      </c>
      <c r="S29" s="59">
        <f ca="1">AVERAGE(OFFSET($R$3,0,0,'Données projet'!$E$9+1,1))-AVERAGE(OFFSET($H$3,0,0,'Données projet'!$E$9+1,1))</f>
        <v>232.56424130731699</v>
      </c>
      <c r="T29" s="59">
        <f t="shared" si="34"/>
        <v>384.58890620364178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4.0099759555349044</v>
      </c>
      <c r="AA29" s="21">
        <f>EXP(-LN(2)/25)*AA28+(1-EXP(-LN(2)/25))/(LN(2)/25)*Calculateur!V29*Calculateur!X29*VLOOKUP('Données projet'!$B$9,Paramètres!$A$1:$I$89,3,0)*0.475*44/12</f>
        <v>48.673238418706376</v>
      </c>
      <c r="AB29" s="21">
        <f>EXP(-LN(2)/2)*AB28+(1-EXP(-LN(2)/2))/(LN(2)/2)*V29*Y29*VLOOKUP('Données projet'!$B$9,Paramètres!$A$1:$I$89,3,0)*0.475*44/12</f>
        <v>13.286718097398754</v>
      </c>
      <c r="AC29" s="22">
        <f t="shared" si="3"/>
        <v>65.969932471640035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16.666666666666668</v>
      </c>
      <c r="AI29" s="13">
        <f>IF('Données projet'!$A$62&gt;35,AI28+AH29-AQ28,IF(A29&lt;'Données projet'!$A$62,$AF$205^A29,IF(A29='Données projet'!$A$62,'Données projet'!$B$62,AI28+AH29-AQ28)))</f>
        <v>148.33333333333331</v>
      </c>
      <c r="AJ29" s="13">
        <f>AI29*VLOOKUP('Données projet'!$B$10,Paramètres!$A$1:$I$89,3,0)*VLOOKUP('Données projet'!$B$10,Paramètres!$A$1:$I$89,5,0)</f>
        <v>88.703333333333333</v>
      </c>
      <c r="AK29" s="13">
        <f t="shared" si="35"/>
        <v>24.252236577658689</v>
      </c>
      <c r="AL29" s="20">
        <f t="shared" si="4"/>
        <v>196.7309509283111</v>
      </c>
      <c r="AM29" s="59">
        <f t="shared" si="5"/>
        <v>485.17539537275559</v>
      </c>
      <c r="AN29" s="59">
        <f ca="1">AVERAGE(OFFSET($AM$3,0,0,'Données projet'!$E$10+1,1))-AVERAGE(OFFSET($H$3,0,0,'Données projet'!$E$10+1,1))</f>
        <v>279.39350157328471</v>
      </c>
      <c r="AO29" s="59">
        <f t="shared" si="36"/>
        <v>261.55559683031657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10.772138804250325</v>
      </c>
      <c r="AW29" s="21">
        <f>EXP(-LN(2)/2)*AW28+(1-EXP(-LN(2)/2))/(LN(2)/2)*AQ29*AT29*VLOOKUP('Données projet'!$B$10,Paramètres!$A$1:$I$89,3,0)*0.475*44/12</f>
        <v>2.7768327254273455</v>
      </c>
      <c r="AX29" s="21">
        <f t="shared" si="6"/>
        <v>13.54897152967767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10.8125</v>
      </c>
      <c r="BD29" s="12">
        <f>IF('Données projet'!$A$88&gt;35,BD28+BC29-BL28,IF(A29&lt;'Données projet'!$A$88,$BA$205^A29,IF(A29='Données projet'!$A$88,'Données projet'!$B$88,BD28+BC29-BL28)))</f>
        <v>115.61104593385441</v>
      </c>
      <c r="BE29" s="13">
        <f>BD29*VLOOKUP('Données projet'!$B$11,Paramètres!$A$1:$I$89,3,0)*VLOOKUP('Données projet'!$B$11,Paramètres!$A$1:$I$89,5,0)</f>
        <v>64.626574677024621</v>
      </c>
      <c r="BF29" s="13">
        <f t="shared" si="37"/>
        <v>18.332907473099528</v>
      </c>
      <c r="BG29" s="20">
        <f t="shared" si="7"/>
        <v>144.48776474479953</v>
      </c>
      <c r="BH29" s="59">
        <f t="shared" si="8"/>
        <v>432.93220918924396</v>
      </c>
      <c r="BI29" s="59">
        <f ca="1">AVERAGE(OFFSET($BH$3,0,0,'Données projet'!$E$11+1,1))-AVERAGE(OFFSET($H$3,0,0,'Données projet'!$E$11+1,1))</f>
        <v>342.37397177572871</v>
      </c>
      <c r="BJ29" s="59">
        <f t="shared" si="38"/>
        <v>331.32436050472762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95.631119999999967</v>
      </c>
      <c r="CA29" s="13">
        <f t="shared" si="39"/>
        <v>25.918481589892234</v>
      </c>
      <c r="CB29" s="20">
        <f t="shared" si="10"/>
        <v>211.69888943572892</v>
      </c>
      <c r="CC29" s="59">
        <f t="shared" si="11"/>
        <v>500.14333388017337</v>
      </c>
      <c r="CD29" s="59">
        <f ca="1">AVERAGE(OFFSET($CC$3,0,0,'Données projet'!$E$12+1,1))-AVERAGE(OFFSET($H$3,0,0,'Données projet'!$E$12+1,1))</f>
        <v>353.37479213497227</v>
      </c>
      <c r="CE29" s="59">
        <f t="shared" si="40"/>
        <v>345.4750813433123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6.3980102733953288</v>
      </c>
      <c r="CL29" s="21">
        <f>EXP(-LN(2)/25)*CL28+(1-EXP(-LN(2)/25))/(LN(2)/25)*Calculateur!CG29*Calculateur!CI29*VLOOKUP('Données projet'!$B$12,Paramètres!$A$1:$I$89,3,0)*0.475*44/12</f>
        <v>1.2645069708264063</v>
      </c>
      <c r="CM29" s="21">
        <f>EXP(-LN(2)/2)*CM28+(1-EXP(-LN(2)/2))/(LN(2)/2)*CG29*CJ29*VLOOKUP('Données projet'!$B$12,Paramètres!$A$1:$I$89,3,0)*0.475*44/12</f>
        <v>2.2293761986002139</v>
      </c>
      <c r="CN29" s="22">
        <f t="shared" si="12"/>
        <v>9.8918934428219494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16.666666666666668</v>
      </c>
      <c r="N30" s="13">
        <f>IF('Données projet'!$A$36&gt;35,N29+M30-V29,IF(A30&lt;'Données projet'!$A$36,$K$205^A30,IF(A30='Données projet'!$A$36,'Données projet'!$B$36,N29+M30-V29)))</f>
        <v>204.99999999999997</v>
      </c>
      <c r="O30" s="13">
        <f>N30*VLOOKUP('Données projet'!$B$9,Paramètres!$A$1:$I$89,3,0)*VLOOKUP('Données projet'!$B$9,Paramètres!$A$1:$I$89,5,0)</f>
        <v>127.91999999999997</v>
      </c>
      <c r="P30" s="13">
        <f t="shared" si="33"/>
        <v>33.515282155238225</v>
      </c>
      <c r="Q30" s="20">
        <f t="shared" si="2"/>
        <v>281.16644975370656</v>
      </c>
      <c r="R30" s="59">
        <f t="shared" si="0"/>
        <v>570.83311642037324</v>
      </c>
      <c r="S30" s="59">
        <f ca="1">AVERAGE(OFFSET($R$3,0,0,'Données projet'!$E$9+1,1))-AVERAGE(OFFSET($H$3,0,0,'Données projet'!$E$9+1,1))</f>
        <v>232.56424130731699</v>
      </c>
      <c r="T30" s="59">
        <f t="shared" si="34"/>
        <v>384.58890620364178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3.9313427728906909</v>
      </c>
      <c r="AA30" s="21">
        <f>EXP(-LN(2)/25)*AA29+(1-EXP(-LN(2)/25))/(LN(2)/25)*Calculateur!V30*Calculateur!X30*VLOOKUP('Données projet'!$B$9,Paramètres!$A$1:$I$89,3,0)*0.475*44/12</f>
        <v>47.342266154532489</v>
      </c>
      <c r="AB30" s="21">
        <f>EXP(-LN(2)/2)*AB29+(1-EXP(-LN(2)/2))/(LN(2)/2)*V30*Y30*VLOOKUP('Données projet'!$B$9,Paramètres!$A$1:$I$89,3,0)*0.475*44/12</f>
        <v>9.3951284663846835</v>
      </c>
      <c r="AC30" s="22">
        <f t="shared" si="3"/>
        <v>60.668737393807866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165</v>
      </c>
      <c r="AG30" s="12">
        <f>VLOOKUP(A30,'Données projet'!$A$61:$I$81,9,0)</f>
        <v>16.666666666666668</v>
      </c>
      <c r="AH30" s="12">
        <f t="array" ref="AH30">INDEX(AG:AG,MIN(IF(ISNUMBER(AG30:AG226),ROW(AG30:AG226),"")))</f>
        <v>16.666666666666668</v>
      </c>
      <c r="AI30" s="13">
        <f>IF('Données projet'!$A$62&gt;35,AI29+AH30-AQ29,IF(A30&lt;'Données projet'!$A$62,$AF$205^A30,IF(A30='Données projet'!$A$62,'Données projet'!$B$62,AI29+AH30-AQ29)))</f>
        <v>164.99999999999997</v>
      </c>
      <c r="AJ30" s="13">
        <f>AI30*VLOOKUP('Données projet'!$B$10,Paramètres!$A$1:$I$89,3,0)*VLOOKUP('Données projet'!$B$10,Paramètres!$A$1:$I$89,5,0)</f>
        <v>98.669999999999987</v>
      </c>
      <c r="AK30" s="13">
        <f t="shared" si="35"/>
        <v>26.644896901954066</v>
      </c>
      <c r="AL30" s="20">
        <f t="shared" si="4"/>
        <v>218.25677877090331</v>
      </c>
      <c r="AM30" s="59">
        <f t="shared" si="5"/>
        <v>507.92344543756997</v>
      </c>
      <c r="AN30" s="59">
        <f ca="1">AVERAGE(OFFSET($AM$3,0,0,'Données projet'!$E$10+1,1))-AVERAGE(OFFSET($H$3,0,0,'Données projet'!$E$10+1,1))</f>
        <v>279.39350157328471</v>
      </c>
      <c r="AO30" s="59">
        <f t="shared" si="36"/>
        <v>261.55559683031657</v>
      </c>
      <c r="AP30" s="15">
        <f>IF(ISNA(VLOOKUP(A30,'Données projet'!$A$61:$I$81,3,0)),0,VLOOKUP(A30,'Données projet'!$A$61:$I$81,3,0))</f>
        <v>3</v>
      </c>
      <c r="AQ30" s="15">
        <f>IF(ISNA(VLOOKUP(A30,'Données projet'!$A$61:$I$81,4,0)),0,VLOOKUP(A30,'Données projet'!$A$61:$I$81,4,0))</f>
        <v>48</v>
      </c>
      <c r="AR30" s="16">
        <f>IF(ISNA(VLOOKUP(A30,'Données projet'!$A$61:$I$81,5,0)),0%,VLOOKUP(A30,'Données projet'!$A$61:$I$81,5,0)*VLOOKUP('Données projet'!$B$10,Paramètres!$A$1:$I$89,7,0))</f>
        <v>4.5000000000000005E-2</v>
      </c>
      <c r="AS30" s="16">
        <f>IF(ISNA(VLOOKUP(A30,'Données projet'!$A$61:$I$81,6,0)),0%,VLOOKUP(A30,'Données projet'!$A$61:$I$81,6,0)*VLOOKUP('Données projet'!$B$10,Paramètres!$A$1:$I$89,7,0))</f>
        <v>0.24750000000000003</v>
      </c>
      <c r="AT30" s="16">
        <f>IF(ISNA(VLOOKUP(A30,'Données projet'!$A$61:$I$81,7,0)),0%,VLOOKUP(A30,'Données projet'!$A$61:$I$81,7,0))</f>
        <v>0.35</v>
      </c>
      <c r="AU30" s="21">
        <f>EXP(-LN(2)/35)*AU29+(1-EXP(-LN(2)/35))/(LN(2)/35)*AQ30*AR30*VLOOKUP('Données projet'!$B$10,Paramètres!$A$1:$I$89,3,0)*0.475*44/12</f>
        <v>1.7134967758021455</v>
      </c>
      <c r="AV30" s="21">
        <f>EXP(-LN(2)/25)*AV29+(1-EXP(-LN(2)/25))/(LN(2)/25)*Calculateur!AQ30*Calculateur!AS30*VLOOKUP('Données projet'!$B$10,Paramètres!$A$1:$I$89,3,0)*0.475*44/12</f>
        <v>19.864699575728892</v>
      </c>
      <c r="AW30" s="21">
        <f>EXP(-LN(2)/2)*AW29+(1-EXP(-LN(2)/2))/(LN(2)/2)*AQ30*AT30*VLOOKUP('Données projet'!$B$10,Paramètres!$A$1:$I$89,3,0)*0.475*44/12</f>
        <v>13.338375804240282</v>
      </c>
      <c r="AX30" s="21">
        <f t="shared" si="6"/>
        <v>34.91657215577132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10.8125</v>
      </c>
      <c r="BD30" s="12">
        <f>IF('Données projet'!$A$88&gt;35,BD29+BC30-BL29,IF(A30&lt;'Données projet'!$A$88,$BA$205^A30,IF(A30='Données projet'!$A$88,'Données projet'!$B$88,BD29+BC30-BL29)))</f>
        <v>138.78593588403791</v>
      </c>
      <c r="BE30" s="13">
        <f>BD30*VLOOKUP('Données projet'!$B$11,Paramètres!$A$1:$I$89,3,0)*VLOOKUP('Données projet'!$B$11,Paramètres!$A$1:$I$89,5,0)</f>
        <v>77.581338159177193</v>
      </c>
      <c r="BF30" s="13">
        <f t="shared" si="37"/>
        <v>21.544756266306017</v>
      </c>
      <c r="BG30" s="20">
        <f t="shared" si="7"/>
        <v>172.64461445771659</v>
      </c>
      <c r="BH30" s="59">
        <f t="shared" si="8"/>
        <v>462.3112811243833</v>
      </c>
      <c r="BI30" s="59">
        <f ca="1">AVERAGE(OFFSET($BH$3,0,0,'Données projet'!$E$11+1,1))-AVERAGE(OFFSET($H$3,0,0,'Données projet'!$E$11+1,1))</f>
        <v>342.37397177572871</v>
      </c>
      <c r="BJ30" s="59">
        <f t="shared" si="38"/>
        <v>331.32436050472762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106.92863999999996</v>
      </c>
      <c r="CA30" s="13">
        <f t="shared" si="39"/>
        <v>28.606159868782917</v>
      </c>
      <c r="CB30" s="20">
        <f t="shared" si="10"/>
        <v>236.05644310479681</v>
      </c>
      <c r="CC30" s="59">
        <f t="shared" si="11"/>
        <v>525.72310977146344</v>
      </c>
      <c r="CD30" s="59">
        <f ca="1">AVERAGE(OFFSET($CC$3,0,0,'Données projet'!$E$12+1,1))-AVERAGE(OFFSET($H$3,0,0,'Données projet'!$E$12+1,1))</f>
        <v>353.37479213497227</v>
      </c>
      <c r="CE30" s="59">
        <f t="shared" si="40"/>
        <v>345.4750813433123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6.2725491943349834</v>
      </c>
      <c r="CL30" s="21">
        <f>EXP(-LN(2)/25)*CL29+(1-EXP(-LN(2)/25))/(LN(2)/25)*Calculateur!CG30*Calculateur!CI30*VLOOKUP('Données projet'!$B$12,Paramètres!$A$1:$I$89,3,0)*0.475*44/12</f>
        <v>1.2299289612116266</v>
      </c>
      <c r="CM30" s="21">
        <f>EXP(-LN(2)/2)*CM29+(1-EXP(-LN(2)/2))/(LN(2)/2)*CG30*CJ30*VLOOKUP('Données projet'!$B$12,Paramètres!$A$1:$I$89,3,0)*0.475*44/12</f>
        <v>1.5764070278460987</v>
      </c>
      <c r="CN30" s="22">
        <f t="shared" si="12"/>
        <v>9.0788851833927087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16.666666666666668</v>
      </c>
      <c r="N31" s="13">
        <f>IF('Données projet'!$A$36&gt;35,N30+M31-V30,IF(A31&lt;'Données projet'!$A$36,$K$205^A31,IF(A31='Données projet'!$A$36,'Données projet'!$B$36,N30+M31-V30)))</f>
        <v>221.66666666666663</v>
      </c>
      <c r="O31" s="13">
        <f>N31*VLOOKUP('Données projet'!$B$9,Paramètres!$A$1:$I$89,3,0)*VLOOKUP('Données projet'!$B$9,Paramètres!$A$1:$I$89,5,0)</f>
        <v>138.31999999999996</v>
      </c>
      <c r="P31" s="13">
        <f t="shared" si="33"/>
        <v>35.911871089056326</v>
      </c>
      <c r="Q31" s="20">
        <f t="shared" si="2"/>
        <v>303.45384214677301</v>
      </c>
      <c r="R31" s="59">
        <f t="shared" si="0"/>
        <v>594.34273103566193</v>
      </c>
      <c r="S31" s="59">
        <f ca="1">AVERAGE(OFFSET($R$3,0,0,'Données projet'!$E$9+1,1))-AVERAGE(OFFSET($H$3,0,0,'Données projet'!$E$9+1,1))</f>
        <v>232.56424130731699</v>
      </c>
      <c r="T31" s="59">
        <f t="shared" si="34"/>
        <v>384.58890620364178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3.8542515389966248</v>
      </c>
      <c r="AA31" s="21">
        <f>EXP(-LN(2)/25)*AA30+(1-EXP(-LN(2)/25))/(LN(2)/25)*Calculateur!V31*Calculateur!X31*VLOOKUP('Données projet'!$B$9,Paramètres!$A$1:$I$89,3,0)*0.475*44/12</f>
        <v>46.047689396915224</v>
      </c>
      <c r="AB31" s="21">
        <f>EXP(-LN(2)/2)*AB30+(1-EXP(-LN(2)/2))/(LN(2)/2)*V31*Y31*VLOOKUP('Données projet'!$B$9,Paramètres!$A$1:$I$89,3,0)*0.475*44/12</f>
        <v>6.643359048699379</v>
      </c>
      <c r="AC31" s="22">
        <f t="shared" si="3"/>
        <v>56.545299984611233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17.714285714285715</v>
      </c>
      <c r="AI31" s="13">
        <f>IF('Données projet'!$A$62&gt;35,AI30+AH31-AQ30,IF(A31&lt;'Données projet'!$A$62,$AF$205^A31,IF(A31='Données projet'!$A$62,'Données projet'!$B$62,AI30+AH31-AQ30)))</f>
        <v>134.71428571428569</v>
      </c>
      <c r="AJ31" s="13">
        <f>AI31*VLOOKUP('Données projet'!$B$10,Paramètres!$A$1:$I$89,3,0)*VLOOKUP('Données projet'!$B$10,Paramètres!$A$1:$I$89,5,0)</f>
        <v>80.559142857142845</v>
      </c>
      <c r="AK31" s="13">
        <f t="shared" si="35"/>
        <v>22.273841996397653</v>
      </c>
      <c r="AL31" s="20">
        <f t="shared" si="4"/>
        <v>179.10078195324968</v>
      </c>
      <c r="AM31" s="59">
        <f t="shared" si="5"/>
        <v>469.98967084213854</v>
      </c>
      <c r="AN31" s="59">
        <f ca="1">AVERAGE(OFFSET($AM$3,0,0,'Données projet'!$E$10+1,1))-AVERAGE(OFFSET($H$3,0,0,'Données projet'!$E$10+1,1))</f>
        <v>279.39350157328471</v>
      </c>
      <c r="AO31" s="59">
        <f t="shared" si="36"/>
        <v>261.55559683031657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1.6798961491585007</v>
      </c>
      <c r="AV31" s="21">
        <f>EXP(-LN(2)/25)*AV30+(1-EXP(-LN(2)/25))/(LN(2)/25)*Calculateur!AQ31*Calculateur!AS31*VLOOKUP('Données projet'!$B$10,Paramètres!$A$1:$I$89,3,0)*0.475*44/12</f>
        <v>19.321498321191434</v>
      </c>
      <c r="AW31" s="21">
        <f>EXP(-LN(2)/2)*AW30+(1-EXP(-LN(2)/2))/(LN(2)/2)*AQ31*AT31*VLOOKUP('Données projet'!$B$10,Paramètres!$A$1:$I$89,3,0)*0.475*44/12</f>
        <v>9.4316559811928737</v>
      </c>
      <c r="AX31" s="21">
        <f t="shared" si="6"/>
        <v>30.433050451542812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10.8125</v>
      </c>
      <c r="BD31" s="12">
        <f>IF('Données projet'!$A$88&gt;35,BD30+BC31-BL30,IF(A31&lt;'Données projet'!$A$88,$BA$205^A31,IF(A31='Données projet'!$A$88,'Données projet'!$B$88,BD30+BC31-BL30)))</f>
        <v>166.60636398211076</v>
      </c>
      <c r="BE31" s="13">
        <f>BD31*VLOOKUP('Données projet'!$B$11,Paramètres!$A$1:$I$89,3,0)*VLOOKUP('Données projet'!$B$11,Paramètres!$A$1:$I$89,5,0)</f>
        <v>93.132957465999922</v>
      </c>
      <c r="BF31" s="13">
        <f t="shared" si="37"/>
        <v>25.31930754876899</v>
      </c>
      <c r="BG31" s="20">
        <f t="shared" si="7"/>
        <v>206.30436156738918</v>
      </c>
      <c r="BH31" s="59">
        <f t="shared" si="8"/>
        <v>497.19325045627807</v>
      </c>
      <c r="BI31" s="59">
        <f ca="1">AVERAGE(OFFSET($BH$3,0,0,'Données projet'!$E$11+1,1))-AVERAGE(OFFSET($H$3,0,0,'Données projet'!$E$11+1,1))</f>
        <v>342.37397177572871</v>
      </c>
      <c r="BJ31" s="59">
        <f t="shared" si="38"/>
        <v>331.32436050472762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118.22615999999996</v>
      </c>
      <c r="CA31" s="13">
        <f t="shared" si="39"/>
        <v>31.260922342884676</v>
      </c>
      <c r="CB31" s="20">
        <f t="shared" si="10"/>
        <v>260.35666841385739</v>
      </c>
      <c r="CC31" s="59">
        <f t="shared" si="11"/>
        <v>551.24555730274619</v>
      </c>
      <c r="CD31" s="59">
        <f ca="1">AVERAGE(OFFSET($CC$3,0,0,'Données projet'!$E$12+1,1))-AVERAGE(OFFSET($H$3,0,0,'Données projet'!$E$12+1,1))</f>
        <v>353.37479213497227</v>
      </c>
      <c r="CE31" s="59">
        <f t="shared" si="40"/>
        <v>345.4750813433123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6.1495483305113092</v>
      </c>
      <c r="CL31" s="21">
        <f>EXP(-LN(2)/25)*CL30+(1-EXP(-LN(2)/25))/(LN(2)/25)*Calculateur!CG31*Calculateur!CI31*VLOOKUP('Données projet'!$B$12,Paramètres!$A$1:$I$89,3,0)*0.475*44/12</f>
        <v>1.1962964890881418</v>
      </c>
      <c r="CM31" s="21">
        <f>EXP(-LN(2)/2)*CM30+(1-EXP(-LN(2)/2))/(LN(2)/2)*CG31*CJ31*VLOOKUP('Données projet'!$B$12,Paramètres!$A$1:$I$89,3,0)*0.475*44/12</f>
        <v>1.1146880993001071</v>
      </c>
      <c r="CN31" s="22">
        <f t="shared" si="12"/>
        <v>8.4605329188995579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16.666666666666668</v>
      </c>
      <c r="N32" s="13">
        <f>IF('Données projet'!$A$36&gt;35,N31+M32-V31,IF(A32&lt;'Données projet'!$A$36,$K$205^A32,IF(A32='Données projet'!$A$36,'Données projet'!$B$36,N31+M32-V31)))</f>
        <v>238.33333333333329</v>
      </c>
      <c r="O32" s="13">
        <f>N32*VLOOKUP('Données projet'!$B$9,Paramètres!$A$1:$I$89,3,0)*VLOOKUP('Données projet'!$B$9,Paramètres!$A$1:$I$89,5,0)</f>
        <v>148.71999999999997</v>
      </c>
      <c r="P32" s="13">
        <f t="shared" si="33"/>
        <v>38.287556101987391</v>
      </c>
      <c r="Q32" s="20">
        <f t="shared" si="2"/>
        <v>325.70482687762791</v>
      </c>
      <c r="R32" s="59">
        <f t="shared" si="0"/>
        <v>617.81593798873905</v>
      </c>
      <c r="S32" s="59">
        <f ca="1">AVERAGE(OFFSET($R$3,0,0,'Données projet'!$E$9+1,1))-AVERAGE(OFFSET($H$3,0,0,'Données projet'!$E$9+1,1))</f>
        <v>232.56424130731699</v>
      </c>
      <c r="T32" s="59">
        <f t="shared" si="34"/>
        <v>384.58890620364178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3.7786720171782116</v>
      </c>
      <c r="AA32" s="21">
        <f>EXP(-LN(2)/25)*AA31+(1-EXP(-LN(2)/25))/(LN(2)/25)*Calculateur!V32*Calculateur!X32*VLOOKUP('Données projet'!$B$9,Paramètres!$A$1:$I$89,3,0)*0.475*44/12</f>
        <v>44.788512908813836</v>
      </c>
      <c r="AB32" s="21">
        <f>EXP(-LN(2)/2)*AB31+(1-EXP(-LN(2)/2))/(LN(2)/2)*V32*Y32*VLOOKUP('Données projet'!$B$9,Paramètres!$A$1:$I$89,3,0)*0.475*44/12</f>
        <v>4.6975642331923426</v>
      </c>
      <c r="AC32" s="22">
        <f t="shared" si="3"/>
        <v>53.26474915918439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17.714285714285715</v>
      </c>
      <c r="AI32" s="13">
        <f>IF('Données projet'!$A$62&gt;35,AI31+AH32-AQ31,IF(A32&lt;'Données projet'!$A$62,$AF$205^A32,IF(A32='Données projet'!$A$62,'Données projet'!$B$62,AI31+AH32-AQ31)))</f>
        <v>152.42857142857142</v>
      </c>
      <c r="AJ32" s="13">
        <f>AI32*VLOOKUP('Données projet'!$B$10,Paramètres!$A$1:$I$89,3,0)*VLOOKUP('Données projet'!$B$10,Paramètres!$A$1:$I$89,5,0)</f>
        <v>91.152285714285711</v>
      </c>
      <c r="AK32" s="13">
        <f t="shared" si="35"/>
        <v>24.84292246281862</v>
      </c>
      <c r="AL32" s="20">
        <f t="shared" si="4"/>
        <v>202.02498757512339</v>
      </c>
      <c r="AM32" s="59">
        <f t="shared" si="5"/>
        <v>494.1360986862345</v>
      </c>
      <c r="AN32" s="59">
        <f ca="1">AVERAGE(OFFSET($AM$3,0,0,'Données projet'!$E$10+1,1))-AVERAGE(OFFSET($H$3,0,0,'Données projet'!$E$10+1,1))</f>
        <v>279.39350157328471</v>
      </c>
      <c r="AO32" s="59">
        <f t="shared" si="36"/>
        <v>261.55559683031657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1.6469544103089793</v>
      </c>
      <c r="AV32" s="21">
        <f>EXP(-LN(2)/25)*AV31+(1-EXP(-LN(2)/25))/(LN(2)/25)*Calculateur!AQ32*Calculateur!AS32*VLOOKUP('Données projet'!$B$10,Paramètres!$A$1:$I$89,3,0)*0.475*44/12</f>
        <v>18.793150933525016</v>
      </c>
      <c r="AW32" s="21">
        <f>EXP(-LN(2)/2)*AW31+(1-EXP(-LN(2)/2))/(LN(2)/2)*AQ32*AT32*VLOOKUP('Données projet'!$B$10,Paramètres!$A$1:$I$89,3,0)*0.475*44/12</f>
        <v>6.6691879021201421</v>
      </c>
      <c r="AX32" s="21">
        <f t="shared" si="6"/>
        <v>27.109293245954138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10.8125</v>
      </c>
      <c r="BD32" s="12">
        <f>IF('Données projet'!$A$88&gt;35,BD31+BC32-BL31,IF(A32&lt;'Données projet'!$A$88,$BA$205^A32,IF(A32='Données projet'!$A$88,'Données projet'!$B$88,BD31+BC32-BL31)))</f>
        <v>200.00355470119402</v>
      </c>
      <c r="BE32" s="13">
        <f>BD32*VLOOKUP('Données projet'!$B$11,Paramètres!$A$1:$I$89,3,0)*VLOOKUP('Données projet'!$B$11,Paramètres!$A$1:$I$89,5,0)</f>
        <v>111.80198707796745</v>
      </c>
      <c r="BF32" s="13">
        <f t="shared" si="37"/>
        <v>29.755144445598578</v>
      </c>
      <c r="BG32" s="20">
        <f t="shared" si="7"/>
        <v>246.54533740354415</v>
      </c>
      <c r="BH32" s="59">
        <f t="shared" si="8"/>
        <v>538.65644851465527</v>
      </c>
      <c r="BI32" s="59">
        <f ca="1">AVERAGE(OFFSET($BH$3,0,0,'Données projet'!$E$11+1,1))-AVERAGE(OFFSET($H$3,0,0,'Données projet'!$E$11+1,1))</f>
        <v>342.37397177572871</v>
      </c>
      <c r="BJ32" s="59">
        <f t="shared" si="38"/>
        <v>331.32436050472762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129.52367999999996</v>
      </c>
      <c r="CA32" s="13">
        <f t="shared" si="39"/>
        <v>33.886272262901727</v>
      </c>
      <c r="CB32" s="20">
        <f t="shared" si="10"/>
        <v>284.60566685788712</v>
      </c>
      <c r="CC32" s="59">
        <f t="shared" si="11"/>
        <v>576.71677796899826</v>
      </c>
      <c r="CD32" s="59">
        <f ca="1">AVERAGE(OFFSET($CC$3,0,0,'Données projet'!$E$12+1,1))-AVERAGE(OFFSET($H$3,0,0,'Données projet'!$E$12+1,1))</f>
        <v>353.37479213497227</v>
      </c>
      <c r="CE32" s="59">
        <f t="shared" si="40"/>
        <v>345.4750813433123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6.0289594386040983</v>
      </c>
      <c r="CL32" s="21">
        <f>EXP(-LN(2)/25)*CL31+(1-EXP(-LN(2)/25))/(LN(2)/25)*Calculateur!CG32*Calculateur!CI32*VLOOKUP('Données projet'!$B$12,Paramètres!$A$1:$I$89,3,0)*0.475*44/12</f>
        <v>1.1635836986835284</v>
      </c>
      <c r="CM32" s="21">
        <f>EXP(-LN(2)/2)*CM31+(1-EXP(-LN(2)/2))/(LN(2)/2)*CG32*CJ32*VLOOKUP('Données projet'!$B$12,Paramètres!$A$1:$I$89,3,0)*0.475*44/12</f>
        <v>0.78820351392304944</v>
      </c>
      <c r="CN32" s="22">
        <f t="shared" si="12"/>
        <v>7.9807466512106764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255</v>
      </c>
      <c r="L33" s="12">
        <f>VLOOKUP(A33,'Données projet'!$A$35:$I$55,9,0)</f>
        <v>16.666666666666668</v>
      </c>
      <c r="M33" s="12">
        <f t="array" ref="M33">INDEX(L:L,MIN(IF(ISNUMBER(L33:L229),ROW(L33:L229),"")))</f>
        <v>16.666666666666668</v>
      </c>
      <c r="N33" s="13">
        <f>IF('Données projet'!$A$36&gt;35,N32+M33-V32,IF(A33&lt;'Données projet'!$A$36,$K$205^A33,IF(A33='Données projet'!$A$36,'Données projet'!$B$36,N32+M33-V32)))</f>
        <v>254.99999999999994</v>
      </c>
      <c r="O33" s="13">
        <f>N33*VLOOKUP('Données projet'!$B$9,Paramètres!$A$1:$I$89,3,0)*VLOOKUP('Données projet'!$B$9,Paramètres!$A$1:$I$89,5,0)</f>
        <v>159.11999999999995</v>
      </c>
      <c r="P33" s="13">
        <f t="shared" si="33"/>
        <v>40.643965284387697</v>
      </c>
      <c r="Q33" s="20">
        <f t="shared" si="2"/>
        <v>347.92223953697516</v>
      </c>
      <c r="R33" s="59">
        <f t="shared" si="0"/>
        <v>641.25557287030847</v>
      </c>
      <c r="S33" s="59">
        <f ca="1">AVERAGE(OFFSET($R$3,0,0,'Données projet'!$E$9+1,1))-AVERAGE(OFFSET($H$3,0,0,'Données projet'!$E$9+1,1))</f>
        <v>232.56424130731699</v>
      </c>
      <c r="T33" s="59">
        <f t="shared" si="34"/>
        <v>384.58890620364178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76</v>
      </c>
      <c r="W33" s="16">
        <f>IF(ISNA(VLOOKUP(A33,'Données projet'!$A$35:$I$55,5,0)),0%,VLOOKUP(A33,'Données projet'!$A$35:$I$55,5,0)*VLOOKUP('Données projet'!$B$9,Paramètres!$A$1:$I$89,7,0))</f>
        <v>0.18</v>
      </c>
      <c r="X33" s="16">
        <f>IF(ISNA(VLOOKUP(A33,'Données projet'!$A$35:$I$55,6,0)),0%,VLOOKUP(A33,'Données projet'!$A$35:$I$55,6,0)*VLOOKUP('Données projet'!$B$9,Paramètres!$A$1:$I$89,7,0))</f>
        <v>0.3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15.028553255941356</v>
      </c>
      <c r="AA33" s="21">
        <f>EXP(-LN(2)/25)*AA32+(1-EXP(-LN(2)/25))/(LN(2)/25)*Calculateur!V33*Calculateur!X33*VLOOKUP('Données projet'!$B$9,Paramètres!$A$1:$I$89,3,0)*0.475*44/12</f>
        <v>62.362755123616921</v>
      </c>
      <c r="AB33" s="21">
        <f>EXP(-LN(2)/2)*AB32+(1-EXP(-LN(2)/2))/(LN(2)/2)*V33*Y33*VLOOKUP('Données projet'!$B$9,Paramètres!$A$1:$I$89,3,0)*0.475*44/12</f>
        <v>14.060676419928713</v>
      </c>
      <c r="AC33" s="22">
        <f t="shared" si="3"/>
        <v>91.451984799486993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17.714285714285715</v>
      </c>
      <c r="AI33" s="13">
        <f>IF('Données projet'!$A$62&gt;35,AI32+AH33-AQ32,IF(A33&lt;'Données projet'!$A$62,$AF$205^A33,IF(A33='Données projet'!$A$62,'Données projet'!$B$62,AI32+AH33-AQ32)))</f>
        <v>170.14285714285714</v>
      </c>
      <c r="AJ33" s="13">
        <f>AI33*VLOOKUP('Données projet'!$B$10,Paramètres!$A$1:$I$89,3,0)*VLOOKUP('Données projet'!$B$10,Paramètres!$A$1:$I$89,5,0)</f>
        <v>101.74542857142858</v>
      </c>
      <c r="AK33" s="13">
        <f t="shared" si="35"/>
        <v>27.377402144542657</v>
      </c>
      <c r="AL33" s="20">
        <f t="shared" si="4"/>
        <v>224.88893016364992</v>
      </c>
      <c r="AM33" s="59">
        <f t="shared" si="5"/>
        <v>518.22226349698326</v>
      </c>
      <c r="AN33" s="59">
        <f ca="1">AVERAGE(OFFSET($AM$3,0,0,'Données projet'!$E$10+1,1))-AVERAGE(OFFSET($H$3,0,0,'Données projet'!$E$10+1,1))</f>
        <v>279.39350157328471</v>
      </c>
      <c r="AO33" s="59">
        <f t="shared" si="36"/>
        <v>261.55559683031657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1.6146586388658202</v>
      </c>
      <c r="AV33" s="21">
        <f>EXP(-LN(2)/25)*AV32+(1-EXP(-LN(2)/25))/(LN(2)/25)*Calculateur!AQ33*Calculateur!AS33*VLOOKUP('Données projet'!$B$10,Paramètres!$A$1:$I$89,3,0)*0.475*44/12</f>
        <v>18.27925123295892</v>
      </c>
      <c r="AW33" s="21">
        <f>EXP(-LN(2)/2)*AW32+(1-EXP(-LN(2)/2))/(LN(2)/2)*AQ33*AT33*VLOOKUP('Données projet'!$B$10,Paramètres!$A$1:$I$89,3,0)*0.475*44/12</f>
        <v>4.7158279905964378</v>
      </c>
      <c r="AX33" s="21">
        <f t="shared" si="6"/>
        <v>24.609737862421177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10.8125</v>
      </c>
      <c r="BD33" s="12">
        <f>IF('Données projet'!$A$88&gt;35,BD32+BC33-BL32,IF(A33&lt;'Données projet'!$A$88,$BA$205^A33,IF(A33='Données projet'!$A$88,'Données projet'!$B$88,BD32+BC33-BL32)))</f>
        <v>240.09540174232859</v>
      </c>
      <c r="BE33" s="13">
        <f>BD33*VLOOKUP('Données projet'!$B$11,Paramètres!$A$1:$I$89,3,0)*VLOOKUP('Données projet'!$B$11,Paramètres!$A$1:$I$89,5,0)</f>
        <v>134.21332957396169</v>
      </c>
      <c r="BF33" s="13">
        <f t="shared" si="37"/>
        <v>34.968121433537441</v>
      </c>
      <c r="BG33" s="20">
        <f t="shared" si="7"/>
        <v>294.65769383806099</v>
      </c>
      <c r="BH33" s="59">
        <f t="shared" si="8"/>
        <v>587.99102717139431</v>
      </c>
      <c r="BI33" s="59">
        <f ca="1">AVERAGE(OFFSET($BH$3,0,0,'Données projet'!$E$11+1,1))-AVERAGE(OFFSET($H$3,0,0,'Données projet'!$E$11+1,1))</f>
        <v>342.37397177572871</v>
      </c>
      <c r="BJ33" s="59">
        <f t="shared" si="38"/>
        <v>331.32436050472762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140.82119999999992</v>
      </c>
      <c r="CA33" s="13">
        <f t="shared" si="39"/>
        <v>36.485066799987997</v>
      </c>
      <c r="CB33" s="20">
        <f t="shared" si="10"/>
        <v>308.80841467664561</v>
      </c>
      <c r="CC33" s="59">
        <f t="shared" si="11"/>
        <v>602.14174800997898</v>
      </c>
      <c r="CD33" s="59">
        <f ca="1">AVERAGE(OFFSET($CC$3,0,0,'Données projet'!$E$12+1,1))-AVERAGE(OFFSET($H$3,0,0,'Données projet'!$E$12+1,1))</f>
        <v>353.37479213497227</v>
      </c>
      <c r="CE33" s="59">
        <f t="shared" si="40"/>
        <v>345.4750813433123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0.21200000000000002</v>
      </c>
      <c r="CI33" s="16">
        <f>IF(ISNA(VLOOKUP(A33,'Données projet'!$A$113:$I$133,6,0)),0%,VLOOKUP(A33,'Données projet'!$A$113:$I$133,6,0)*VLOOKUP('Données projet'!$B$12,Paramètres!$A$1:$I$89,7,0))</f>
        <v>4.24E-2</v>
      </c>
      <c r="CJ33" s="16">
        <f>IF(ISNA(VLOOKUP(A33,'Données projet'!$A$113:$I$133,7,0)),0%,VLOOKUP(A33,'Données projet'!$A$113:$I$133,7,0))</f>
        <v>0.12</v>
      </c>
      <c r="CK33" s="21">
        <f>EXP(-LN(2)/35)*CK32+(1-EXP(-LN(2)/35))/(LN(2)/35)*CG33*CH33*VLOOKUP('Données projet'!$B$12,Paramètres!$A$1:$I$89,3,0)*0.475*44/12</f>
        <v>12.436715997271829</v>
      </c>
      <c r="CL33" s="21">
        <f>EXP(-LN(2)/25)*CL32+(1-EXP(-LN(2)/25))/(LN(2)/25)*Calculateur!CG33*Calculateur!CI33*VLOOKUP('Données projet'!$B$12,Paramètres!$A$1:$I$89,3,0)*0.475*44/12</f>
        <v>2.4318225418624273</v>
      </c>
      <c r="CM33" s="21">
        <f>EXP(-LN(2)/2)*CM32+(1-EXP(-LN(2)/2))/(LN(2)/2)*CG33*CJ33*VLOOKUP('Données projet'!$B$12,Paramètres!$A$1:$I$89,3,0)*0.475*44/12</f>
        <v>3.7101581053422503</v>
      </c>
      <c r="CN33" s="22">
        <f t="shared" si="12"/>
        <v>18.578696644476508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</v>
      </c>
      <c r="N34" s="13">
        <f>IF('Données projet'!$A$36&gt;35,N33+M34-V33,IF(A34&lt;'Données projet'!$A$36,$K$205^A34,IF(A34='Données projet'!$A$36,'Données projet'!$B$36,N33+M34-V33)))</f>
        <v>193.99999999999994</v>
      </c>
      <c r="O34" s="13">
        <f>N34*VLOOKUP('Données projet'!$B$9,Paramètres!$A$1:$I$89,3,0)*VLOOKUP('Données projet'!$B$9,Paramètres!$A$1:$I$89,5,0)</f>
        <v>121.05599999999997</v>
      </c>
      <c r="P34" s="13">
        <f t="shared" si="33"/>
        <v>31.921168221536526</v>
      </c>
      <c r="Q34" s="20">
        <f t="shared" si="2"/>
        <v>266.43523465250934</v>
      </c>
      <c r="R34" s="59">
        <f t="shared" si="0"/>
        <v>559.76856798584265</v>
      </c>
      <c r="S34" s="59">
        <f ca="1">AVERAGE(OFFSET($R$3,0,0,'Données projet'!$E$9+1,1))-AVERAGE(OFFSET($H$3,0,0,'Données projet'!$E$9+1,1))</f>
        <v>232.56424130731699</v>
      </c>
      <c r="T34" s="59">
        <f t="shared" si="34"/>
        <v>384.58890620364178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14.733852493104713</v>
      </c>
      <c r="AA34" s="21">
        <f>EXP(-LN(2)/25)*AA33+(1-EXP(-LN(2)/25))/(LN(2)/25)*Calculateur!V34*Calculateur!X34*VLOOKUP('Données projet'!$B$9,Paramètres!$A$1:$I$89,3,0)*0.475*44/12</f>
        <v>60.657442305246853</v>
      </c>
      <c r="AB34" s="21">
        <f>EXP(-LN(2)/2)*AB33+(1-EXP(-LN(2)/2))/(LN(2)/2)*V34*Y34*VLOOKUP('Données projet'!$B$9,Paramètres!$A$1:$I$89,3,0)*0.475*44/12</f>
        <v>9.942399644601382</v>
      </c>
      <c r="AC34" s="22">
        <f t="shared" si="3"/>
        <v>85.333694442952947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17.714285714285715</v>
      </c>
      <c r="AI34" s="13">
        <f>IF('Données projet'!$A$62&gt;35,AI33+AH34-AQ33,IF(A34&lt;'Données projet'!$A$62,$AF$205^A34,IF(A34='Données projet'!$A$62,'Données projet'!$B$62,AI33+AH34-AQ33)))</f>
        <v>187.85714285714286</v>
      </c>
      <c r="AJ34" s="13">
        <f>AI34*VLOOKUP('Données projet'!$B$10,Paramètres!$A$1:$I$89,3,0)*VLOOKUP('Données projet'!$B$10,Paramètres!$A$1:$I$89,5,0)</f>
        <v>112.33857142857144</v>
      </c>
      <c r="AK34" s="13">
        <f t="shared" si="35"/>
        <v>29.881293831154089</v>
      </c>
      <c r="AL34" s="20">
        <f t="shared" si="4"/>
        <v>247.69959866068862</v>
      </c>
      <c r="AM34" s="59">
        <f t="shared" si="5"/>
        <v>541.03293199402196</v>
      </c>
      <c r="AN34" s="59">
        <f ca="1">AVERAGE(OFFSET($AM$3,0,0,'Données projet'!$E$10+1,1))-AVERAGE(OFFSET($H$3,0,0,'Données projet'!$E$10+1,1))</f>
        <v>279.39350157328471</v>
      </c>
      <c r="AO34" s="59">
        <f t="shared" si="36"/>
        <v>261.55559683031657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1.5829961678021858</v>
      </c>
      <c r="AV34" s="21">
        <f>EXP(-LN(2)/25)*AV33+(1-EXP(-LN(2)/25))/(LN(2)/25)*Calculateur!AQ34*Calculateur!AS34*VLOOKUP('Données projet'!$B$10,Paramètres!$A$1:$I$89,3,0)*0.475*44/12</f>
        <v>17.779404146729615</v>
      </c>
      <c r="AW34" s="21">
        <f>EXP(-LN(2)/2)*AW33+(1-EXP(-LN(2)/2))/(LN(2)/2)*AQ34*AT34*VLOOKUP('Données projet'!$B$10,Paramètres!$A$1:$I$89,3,0)*0.475*44/12</f>
        <v>3.3345939510600715</v>
      </c>
      <c r="AX34" s="21">
        <f t="shared" si="6"/>
        <v>22.696994265591872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10.8125</v>
      </c>
      <c r="BD34" s="12">
        <f>IF('Données projet'!$A$88&gt;35,BD33+BC34-BL33,IF(A34&lt;'Données projet'!$A$88,$BA$205^A34,IF(A34='Données projet'!$A$88,'Données projet'!$B$88,BD33+BC34-BL33)))</f>
        <v>288.22388694007554</v>
      </c>
      <c r="BE34" s="13">
        <f>BD34*VLOOKUP('Données projet'!$B$11,Paramètres!$A$1:$I$89,3,0)*VLOOKUP('Données projet'!$B$11,Paramètres!$A$1:$I$89,5,0)</f>
        <v>161.11715279950224</v>
      </c>
      <c r="BF34" s="13">
        <f t="shared" si="37"/>
        <v>41.094390209606097</v>
      </c>
      <c r="BG34" s="20">
        <f t="shared" si="7"/>
        <v>352.185104074197</v>
      </c>
      <c r="BH34" s="59">
        <f t="shared" si="8"/>
        <v>645.51843740753031</v>
      </c>
      <c r="BI34" s="59">
        <f ca="1">AVERAGE(OFFSET($BH$3,0,0,'Données projet'!$E$11+1,1))-AVERAGE(OFFSET($H$3,0,0,'Données projet'!$E$11+1,1))</f>
        <v>342.37397177572871</v>
      </c>
      <c r="BJ34" s="59">
        <f t="shared" si="38"/>
        <v>331.32436050472762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123.15887999999995</v>
      </c>
      <c r="CA34" s="13">
        <f t="shared" si="39"/>
        <v>32.410638331814873</v>
      </c>
      <c r="CB34" s="20">
        <f t="shared" si="10"/>
        <v>270.95024442791083</v>
      </c>
      <c r="CC34" s="59">
        <f t="shared" si="11"/>
        <v>564.28357776124415</v>
      </c>
      <c r="CD34" s="59">
        <f ca="1">AVERAGE(OFFSET($CC$3,0,0,'Données projet'!$E$12+1,1))-AVERAGE(OFFSET($H$3,0,0,'Données projet'!$E$12+1,1))</f>
        <v>353.37479213497227</v>
      </c>
      <c r="CE34" s="59">
        <f t="shared" si="40"/>
        <v>345.4750813433123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12.192839582213066</v>
      </c>
      <c r="CL34" s="21">
        <f>EXP(-LN(2)/25)*CL33+(1-EXP(-LN(2)/25))/(LN(2)/25)*Calculateur!CG34*Calculateur!CI34*VLOOKUP('Données projet'!$B$12,Paramètres!$A$1:$I$89,3,0)*0.475*44/12</f>
        <v>2.3653242265712096</v>
      </c>
      <c r="CM34" s="21">
        <f>EXP(-LN(2)/2)*CM33+(1-EXP(-LN(2)/2))/(LN(2)/2)*CG34*CJ34*VLOOKUP('Données projet'!$B$12,Paramètres!$A$1:$I$89,3,0)*0.475*44/12</f>
        <v>2.6234779555617385</v>
      </c>
      <c r="CN34" s="22">
        <f t="shared" si="12"/>
        <v>17.181641764346015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</v>
      </c>
      <c r="N35" s="13">
        <f>IF('Données projet'!$A$36&gt;35,N34+M35-V34,IF(A35&lt;'Données projet'!$A$36,$K$205^A35,IF(A35='Données projet'!$A$36,'Données projet'!$B$36,N34+M35-V34)))</f>
        <v>208.99999999999994</v>
      </c>
      <c r="O35" s="13">
        <f>N35*VLOOKUP('Données projet'!$B$9,Paramètres!$A$1:$I$89,3,0)*VLOOKUP('Données projet'!$B$9,Paramètres!$A$1:$I$89,5,0)</f>
        <v>130.41599999999997</v>
      </c>
      <c r="P35" s="13">
        <f t="shared" si="33"/>
        <v>34.092466837179913</v>
      </c>
      <c r="Q35" s="20">
        <f t="shared" ref="Q35:Q66" si="53">(O35+P35)*0.475*44/12</f>
        <v>286.51891307475495</v>
      </c>
      <c r="R35" s="59">
        <f t="shared" si="0"/>
        <v>579.85224640808826</v>
      </c>
      <c r="S35" s="59">
        <f ca="1">AVERAGE(OFFSET($R$3,0,0,'Données projet'!$E$9+1,1))-AVERAGE(OFFSET($H$3,0,0,'Données projet'!$E$9+1,1))</f>
        <v>232.56424130731699</v>
      </c>
      <c r="T35" s="59">
        <f t="shared" si="34"/>
        <v>384.58890620364178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14.444930632477581</v>
      </c>
      <c r="AA35" s="21">
        <f>EXP(-LN(2)/25)*AA34+(1-EXP(-LN(2)/25))/(LN(2)/25)*Calculateur!V35*Calculateur!X35*VLOOKUP('Données projet'!$B$9,Paramètres!$A$1:$I$89,3,0)*0.475*44/12</f>
        <v>58.99876135557362</v>
      </c>
      <c r="AB35" s="21">
        <f>EXP(-LN(2)/2)*AB34+(1-EXP(-LN(2)/2))/(LN(2)/2)*V35*Y35*VLOOKUP('Données projet'!$B$9,Paramètres!$A$1:$I$89,3,0)*0.475*44/12</f>
        <v>7.0303382099643574</v>
      </c>
      <c r="AC35" s="22">
        <f t="shared" si="3"/>
        <v>80.474030198015555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17.714285714285715</v>
      </c>
      <c r="AI35" s="13">
        <f>IF('Données projet'!$A$62&gt;35,AI34+AH35-AQ34,IF(A35&lt;'Données projet'!$A$62,$AF$205^A35,IF(A35='Données projet'!$A$62,'Données projet'!$B$62,AI34+AH35-AQ34)))</f>
        <v>205.57142857142858</v>
      </c>
      <c r="AJ35" s="13">
        <f>AI35*VLOOKUP('Données projet'!$B$10,Paramètres!$A$1:$I$89,3,0)*VLOOKUP('Données projet'!$B$10,Paramètres!$A$1:$I$89,5,0)</f>
        <v>122.93171428571431</v>
      </c>
      <c r="AK35" s="13">
        <f t="shared" si="35"/>
        <v>32.357809987891564</v>
      </c>
      <c r="AL35" s="20">
        <f t="shared" si="4"/>
        <v>270.46258810986359</v>
      </c>
      <c r="AM35" s="59">
        <f t="shared" si="5"/>
        <v>563.7959214431969</v>
      </c>
      <c r="AN35" s="59">
        <f ca="1">AVERAGE(OFFSET($AM$3,0,0,'Données projet'!$E$10+1,1))-AVERAGE(OFFSET($H$3,0,0,'Données projet'!$E$10+1,1))</f>
        <v>279.39350157328471</v>
      </c>
      <c r="AO35" s="59">
        <f t="shared" si="36"/>
        <v>261.55559683031657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1.5519545784839088</v>
      </c>
      <c r="AV35" s="21">
        <f>EXP(-LN(2)/25)*AV34+(1-EXP(-LN(2)/25))/(LN(2)/25)*Calculateur!AQ35*Calculateur!AS35*VLOOKUP('Données projet'!$B$10,Paramètres!$A$1:$I$89,3,0)*0.475*44/12</f>
        <v>17.293225405359063</v>
      </c>
      <c r="AW35" s="21">
        <f>EXP(-LN(2)/2)*AW34+(1-EXP(-LN(2)/2))/(LN(2)/2)*AQ35*AT35*VLOOKUP('Données projet'!$B$10,Paramètres!$A$1:$I$89,3,0)*0.475*44/12</f>
        <v>2.3579139952982193</v>
      </c>
      <c r="AX35" s="21">
        <f t="shared" si="6"/>
        <v>21.20309397914119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>
        <f>VLOOKUP(A35,'Données projet'!$A$87:$I$107,2,0)</f>
        <v>346</v>
      </c>
      <c r="BB35" s="12">
        <f>VLOOKUP(A35,'Données projet'!$A$87:$I$107,9,0)</f>
        <v>10.8125</v>
      </c>
      <c r="BC35" s="12">
        <f t="array" ref="BC35">INDEX(BB:BB,MIN(IF(ISNUMBER(BB35:BB231),ROW(BB35:BB231),"")))</f>
        <v>10.8125</v>
      </c>
      <c r="BD35" s="12">
        <f>IF('Données projet'!$A$88&gt;35,BD34+BC35-BL34,IF(A35&lt;'Données projet'!$A$88,$BA$205^A35,IF(A35='Données projet'!$A$88,'Données projet'!$B$88,BD34+BC35-BL34)))</f>
        <v>346</v>
      </c>
      <c r="BE35" s="13">
        <f>BD35*VLOOKUP('Données projet'!$B$11,Paramètres!$A$1:$I$89,3,0)*VLOOKUP('Données projet'!$B$11,Paramètres!$A$1:$I$89,5,0)</f>
        <v>193.41400000000002</v>
      </c>
      <c r="BF35" s="13">
        <f t="shared" si="37"/>
        <v>48.293955679292424</v>
      </c>
      <c r="BG35" s="20">
        <f t="shared" si="7"/>
        <v>420.97468947476767</v>
      </c>
      <c r="BH35" s="59">
        <f t="shared" si="8"/>
        <v>714.30802280810099</v>
      </c>
      <c r="BI35" s="59">
        <f ca="1">AVERAGE(OFFSET($BH$3,0,0,'Données projet'!$E$11+1,1))-AVERAGE(OFFSET($H$3,0,0,'Données projet'!$E$11+1,1))</f>
        <v>342.37397177572871</v>
      </c>
      <c r="BJ35" s="59">
        <f t="shared" si="38"/>
        <v>331.32436050472762</v>
      </c>
      <c r="BK35" s="15">
        <f>IF(ISNA(VLOOKUP(A35,'Données projet'!$A$87:$I$107,3,0)),0,VLOOKUP(A35,'Données projet'!$A$87:$I$107,3,0))</f>
        <v>1</v>
      </c>
      <c r="BL35" s="15">
        <f>IF(ISNA(VLOOKUP(A35,'Données projet'!$A$87:$I$107,4,0)),0,VLOOKUP(A35,'Données projet'!$A$87:$I$107,4,0))</f>
        <v>76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0.33</v>
      </c>
      <c r="BO35" s="16">
        <f>IF(ISNA(VLOOKUP(A35,'Données projet'!$A$87:$I$107,7,0)),0%,VLOOKUP(A35,'Données projet'!$A$87:$I$107,7,0))</f>
        <v>0.4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18.524834569809013</v>
      </c>
      <c r="BR35" s="21">
        <f>EXP(-LN(2)/2)*BR34+(1-EXP(-LN(2)/2))/(LN(2)/2)*BL35*BO35*VLOOKUP('Données projet'!$B$11,Paramètres!$A$1:$I$89,3,0)*0.475*44/12</f>
        <v>19.240702771245754</v>
      </c>
      <c r="BS35" s="22">
        <f t="shared" si="9"/>
        <v>37.765537341054767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133.34255999999996</v>
      </c>
      <c r="CA35" s="13">
        <f t="shared" si="39"/>
        <v>34.767581918978188</v>
      </c>
      <c r="CB35" s="20">
        <f t="shared" si="10"/>
        <v>292.7918305088869</v>
      </c>
      <c r="CC35" s="59">
        <f t="shared" si="11"/>
        <v>586.12516384222022</v>
      </c>
      <c r="CD35" s="59">
        <f ca="1">AVERAGE(OFFSET($CC$3,0,0,'Données projet'!$E$12+1,1))-AVERAGE(OFFSET($H$3,0,0,'Données projet'!$E$12+1,1))</f>
        <v>353.37479213497227</v>
      </c>
      <c r="CE35" s="59">
        <f t="shared" si="40"/>
        <v>345.4750813433123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11.953745434903681</v>
      </c>
      <c r="CL35" s="21">
        <f>EXP(-LN(2)/25)*CL34+(1-EXP(-LN(2)/25))/(LN(2)/25)*Calculateur!CG35*Calculateur!CI35*VLOOKUP('Données projet'!$B$12,Paramètres!$A$1:$I$89,3,0)*0.475*44/12</f>
        <v>2.3006443112086248</v>
      </c>
      <c r="CM35" s="21">
        <f>EXP(-LN(2)/2)*CM34+(1-EXP(-LN(2)/2))/(LN(2)/2)*CG35*CJ35*VLOOKUP('Données projet'!$B$12,Paramètres!$A$1:$I$89,3,0)*0.475*44/12</f>
        <v>1.8550790526711254</v>
      </c>
      <c r="CN35" s="22">
        <f t="shared" si="12"/>
        <v>16.109468798783432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</v>
      </c>
      <c r="N36" s="13">
        <f>IF('Données projet'!$A$36&gt;35,N35+M36-V35,IF(A36&lt;'Données projet'!$A$36,$K$205^A36,IF(A36='Données projet'!$A$36,'Données projet'!$B$36,N35+M36-V35)))</f>
        <v>223.99999999999994</v>
      </c>
      <c r="O36" s="13">
        <f>N36*VLOOKUP('Données projet'!$B$9,Paramètres!$A$1:$I$89,3,0)*VLOOKUP('Données projet'!$B$9,Paramètres!$A$1:$I$89,5,0)</f>
        <v>139.77599999999995</v>
      </c>
      <c r="P36" s="13">
        <f t="shared" si="33"/>
        <v>36.245685459195258</v>
      </c>
      <c r="Q36" s="20">
        <f t="shared" si="53"/>
        <v>306.57110217476503</v>
      </c>
      <c r="R36" s="59">
        <f t="shared" si="0"/>
        <v>599.90443550809835</v>
      </c>
      <c r="S36" s="59">
        <f ca="1">AVERAGE(OFFSET($R$3,0,0,'Données projet'!$E$9+1,1))-AVERAGE(OFFSET($H$3,0,0,'Données projet'!$E$9+1,1))</f>
        <v>232.56424130731699</v>
      </c>
      <c r="T36" s="59">
        <f t="shared" si="34"/>
        <v>384.58890620364178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14.161674353312414</v>
      </c>
      <c r="AA36" s="21">
        <f>EXP(-LN(2)/25)*AA35+(1-EXP(-LN(2)/25))/(LN(2)/25)*Calculateur!V36*Calculateur!X36*VLOOKUP('Données projet'!$B$9,Paramètres!$A$1:$I$89,3,0)*0.475*44/12</f>
        <v>57.385437123695446</v>
      </c>
      <c r="AB36" s="21">
        <f>EXP(-LN(2)/2)*AB35+(1-EXP(-LN(2)/2))/(LN(2)/2)*V36*Y36*VLOOKUP('Données projet'!$B$9,Paramètres!$A$1:$I$89,3,0)*0.475*44/12</f>
        <v>4.971199822300691</v>
      </c>
      <c r="AC36" s="22">
        <f t="shared" si="3"/>
        <v>76.51831129930855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17.714285714285715</v>
      </c>
      <c r="AI36" s="13">
        <f>IF('Données projet'!$A$62&gt;35,AI35+AH36-AQ35,IF(A36&lt;'Données projet'!$A$62,$AF$205^A36,IF(A36='Données projet'!$A$62,'Données projet'!$B$62,AI35+AH36-AQ35)))</f>
        <v>223.28571428571431</v>
      </c>
      <c r="AJ36" s="13">
        <f>AI36*VLOOKUP('Données projet'!$B$10,Paramètres!$A$1:$I$89,3,0)*VLOOKUP('Données projet'!$B$10,Paramètres!$A$1:$I$89,5,0)</f>
        <v>133.52485714285717</v>
      </c>
      <c r="AK36" s="13">
        <f t="shared" si="35"/>
        <v>34.809577802999165</v>
      </c>
      <c r="AL36" s="20">
        <f t="shared" si="4"/>
        <v>293.18247419736645</v>
      </c>
      <c r="AM36" s="59">
        <f t="shared" si="5"/>
        <v>586.5158075306997</v>
      </c>
      <c r="AN36" s="59">
        <f ca="1">AVERAGE(OFFSET($AM$3,0,0,'Données projet'!$E$10+1,1))-AVERAGE(OFFSET($H$3,0,0,'Données projet'!$E$10+1,1))</f>
        <v>279.39350157328471</v>
      </c>
      <c r="AO36" s="59">
        <f t="shared" si="36"/>
        <v>261.55559683031657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1.5215216957986635</v>
      </c>
      <c r="AV36" s="21">
        <f>EXP(-LN(2)/25)*AV35+(1-EXP(-LN(2)/25))/(LN(2)/25)*Calculateur!AQ36*Calculateur!AS36*VLOOKUP('Données projet'!$B$10,Paramètres!$A$1:$I$89,3,0)*0.475*44/12</f>
        <v>16.820341247238321</v>
      </c>
      <c r="AW36" s="21">
        <f>EXP(-LN(2)/2)*AW35+(1-EXP(-LN(2)/2))/(LN(2)/2)*AQ36*AT36*VLOOKUP('Données projet'!$B$10,Paramètres!$A$1:$I$89,3,0)*0.475*44/12</f>
        <v>1.6672969755300362</v>
      </c>
      <c r="AX36" s="21">
        <f t="shared" si="6"/>
        <v>20.009159918567022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20.142857142857142</v>
      </c>
      <c r="BD36" s="12">
        <f>IF('Données projet'!$A$88&gt;35,BD35+BC36-BL35,IF(A36&lt;'Données projet'!$A$88,$BA$205^A36,IF(A36='Données projet'!$A$88,'Données projet'!$B$88,BD35+BC36-BL35)))</f>
        <v>290.14285714285717</v>
      </c>
      <c r="BE36" s="13">
        <f>BD36*VLOOKUP('Données projet'!$B$11,Paramètres!$A$1:$I$89,3,0)*VLOOKUP('Données projet'!$B$11,Paramètres!$A$1:$I$89,5,0)</f>
        <v>162.18985714285716</v>
      </c>
      <c r="BF36" s="13">
        <f t="shared" si="37"/>
        <v>41.336052343541226</v>
      </c>
      <c r="BG36" s="20">
        <f t="shared" si="7"/>
        <v>354.47429235547719</v>
      </c>
      <c r="BH36" s="59">
        <f t="shared" si="8"/>
        <v>647.8076256888105</v>
      </c>
      <c r="BI36" s="59">
        <f ca="1">AVERAGE(OFFSET($BH$3,0,0,'Données projet'!$E$11+1,1))-AVERAGE(OFFSET($H$3,0,0,'Données projet'!$E$11+1,1))</f>
        <v>342.37397177572871</v>
      </c>
      <c r="BJ36" s="59">
        <f t="shared" si="38"/>
        <v>331.32436050472762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18.018271994318873</v>
      </c>
      <c r="BR36" s="21">
        <f>EXP(-LN(2)/2)*BR35+(1-EXP(-LN(2)/2))/(LN(2)/2)*BL36*BO36*VLOOKUP('Données projet'!$B$11,Paramètres!$A$1:$I$89,3,0)*0.475*44/12</f>
        <v>13.605231404342671</v>
      </c>
      <c r="BS36" s="22">
        <f t="shared" si="9"/>
        <v>31.623503398661544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143.52623999999997</v>
      </c>
      <c r="CA36" s="13">
        <f t="shared" si="39"/>
        <v>37.103644337236275</v>
      </c>
      <c r="CB36" s="20">
        <f t="shared" si="10"/>
        <v>314.59704855401981</v>
      </c>
      <c r="CC36" s="59">
        <f t="shared" si="11"/>
        <v>607.93038188735318</v>
      </c>
      <c r="CD36" s="59">
        <f ca="1">AVERAGE(OFFSET($CC$3,0,0,'Données projet'!$E$12+1,1))-AVERAGE(OFFSET($H$3,0,0,'Données projet'!$E$12+1,1))</f>
        <v>353.37479213497227</v>
      </c>
      <c r="CE36" s="59">
        <f t="shared" si="40"/>
        <v>345.4750813433123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11.719339777990003</v>
      </c>
      <c r="CL36" s="21">
        <f>EXP(-LN(2)/25)*CL35+(1-EXP(-LN(2)/25))/(LN(2)/25)*Calculateur!CG36*Calculateur!CI36*VLOOKUP('Données projet'!$B$12,Paramètres!$A$1:$I$89,3,0)*0.475*44/12</f>
        <v>2.2377330715329986</v>
      </c>
      <c r="CM36" s="21">
        <f>EXP(-LN(2)/2)*CM35+(1-EXP(-LN(2)/2))/(LN(2)/2)*CG36*CJ36*VLOOKUP('Données projet'!$B$12,Paramètres!$A$1:$I$89,3,0)*0.475*44/12</f>
        <v>1.3117389777808695</v>
      </c>
      <c r="CN36" s="22">
        <f t="shared" si="12"/>
        <v>15.268811827303871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</v>
      </c>
      <c r="N37" s="13">
        <f>IF('Données projet'!$A$36&gt;35,N36+M37-V36,IF(A37&lt;'Données projet'!$A$36,$K$205^A37,IF(A37='Données projet'!$A$36,'Données projet'!$B$36,N36+M37-V36)))</f>
        <v>238.99999999999994</v>
      </c>
      <c r="O37" s="13">
        <f>N37*VLOOKUP('Données projet'!$B$9,Paramètres!$A$1:$I$89,3,0)*VLOOKUP('Données projet'!$B$9,Paramètres!$A$1:$I$89,5,0)</f>
        <v>149.13599999999997</v>
      </c>
      <c r="P37" s="13">
        <f t="shared" si="33"/>
        <v>38.382172557156274</v>
      </c>
      <c r="Q37" s="20">
        <f t="shared" si="53"/>
        <v>326.59415053704714</v>
      </c>
      <c r="R37" s="59">
        <f t="shared" si="0"/>
        <v>619.92748387038046</v>
      </c>
      <c r="S37" s="59">
        <f ca="1">AVERAGE(OFFSET($R$3,0,0,'Données projet'!$E$9+1,1))-AVERAGE(OFFSET($H$3,0,0,'Données projet'!$E$9+1,1))</f>
        <v>232.56424130731699</v>
      </c>
      <c r="T37" s="59">
        <f t="shared" si="34"/>
        <v>384.58890620364178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13.883972557012404</v>
      </c>
      <c r="AA37" s="21">
        <f>EXP(-LN(2)/25)*AA36+(1-EXP(-LN(2)/25))/(LN(2)/25)*Calculateur!V37*Calculateur!X37*VLOOKUP('Données projet'!$B$9,Paramètres!$A$1:$I$89,3,0)*0.475*44/12</f>
        <v>55.816229327779013</v>
      </c>
      <c r="AB37" s="21">
        <f>EXP(-LN(2)/2)*AB36+(1-EXP(-LN(2)/2))/(LN(2)/2)*V37*Y37*VLOOKUP('Données projet'!$B$9,Paramètres!$A$1:$I$89,3,0)*0.475*44/12</f>
        <v>3.5151691049821787</v>
      </c>
      <c r="AC37" s="22">
        <f t="shared" si="3"/>
        <v>73.215370989773589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241</v>
      </c>
      <c r="AG37" s="12">
        <f>VLOOKUP(A37,'Données projet'!$A$61:$I$81,9,0)</f>
        <v>17.714285714285715</v>
      </c>
      <c r="AH37" s="12">
        <f t="array" ref="AH37">INDEX(AG:AG,MIN(IF(ISNUMBER(AG37:AG233),ROW(AG37:AG233),"")))</f>
        <v>17.714285714285715</v>
      </c>
      <c r="AI37" s="13">
        <f>IF('Données projet'!$A$62&gt;35,AI36+AH37-AQ36,IF(A37&lt;'Données projet'!$A$62,$AF$205^A37,IF(A37='Données projet'!$A$62,'Données projet'!$B$62,AI36+AH37-AQ36)))</f>
        <v>241.00000000000003</v>
      </c>
      <c r="AJ37" s="13">
        <f>AI37*VLOOKUP('Données projet'!$B$10,Paramètres!$A$1:$I$89,3,0)*VLOOKUP('Données projet'!$B$10,Paramètres!$A$1:$I$89,5,0)</f>
        <v>144.11800000000002</v>
      </c>
      <c r="AK37" s="13">
        <f t="shared" si="35"/>
        <v>37.238783899454766</v>
      </c>
      <c r="AL37" s="20">
        <f t="shared" si="4"/>
        <v>315.86306529155041</v>
      </c>
      <c r="AM37" s="59">
        <f t="shared" si="5"/>
        <v>609.19639862488373</v>
      </c>
      <c r="AN37" s="59">
        <f ca="1">AVERAGE(OFFSET($AM$3,0,0,'Données projet'!$E$10+1,1))-AVERAGE(OFFSET($H$3,0,0,'Données projet'!$E$10+1,1))</f>
        <v>279.39350157328471</v>
      </c>
      <c r="AO37" s="59">
        <f t="shared" si="36"/>
        <v>261.55559683031657</v>
      </c>
      <c r="AP37" s="15">
        <f>IF(ISNA(VLOOKUP(A37,'Données projet'!$A$61:$I$81,3,0)),0,VLOOKUP(A37,'Données projet'!$A$61:$I$81,3,0))</f>
        <v>4</v>
      </c>
      <c r="AQ37" s="15">
        <f>IF(ISNA(VLOOKUP(A37,'Données projet'!$A$61:$I$81,4,0)),0,VLOOKUP(A37,'Données projet'!$A$61:$I$81,4,0))</f>
        <v>67</v>
      </c>
      <c r="AR37" s="16">
        <f>IF(ISNA(VLOOKUP(A37,'Données projet'!$A$61:$I$81,5,0)),0%,VLOOKUP(A37,'Données projet'!$A$61:$I$81,5,0)*VLOOKUP('Données projet'!$B$10,Paramètres!$A$1:$I$89,7,0))</f>
        <v>9.0000000000000011E-2</v>
      </c>
      <c r="AS37" s="16">
        <f>IF(ISNA(VLOOKUP(A37,'Données projet'!$A$61:$I$81,6,0)),0%,VLOOKUP(A37,'Données projet'!$A$61:$I$81,6,0)*VLOOKUP('Données projet'!$B$10,Paramètres!$A$1:$I$89,7,0))</f>
        <v>0.22500000000000001</v>
      </c>
      <c r="AT37" s="16">
        <f>IF(ISNA(VLOOKUP(A37,'Données projet'!$A$61:$I$81,7,0)),0%,VLOOKUP(A37,'Données projet'!$A$61:$I$81,7,0))</f>
        <v>0.3</v>
      </c>
      <c r="AU37" s="21">
        <f>EXP(-LN(2)/35)*AU36+(1-EXP(-LN(2)/35))/(LN(2)/35)*AQ37*AR37*VLOOKUP('Données projet'!$B$10,Paramètres!$A$1:$I$89,3,0)*0.475*44/12</f>
        <v>6.2751974158283064</v>
      </c>
      <c r="AV37" s="21">
        <f>EXP(-LN(2)/25)*AV36+(1-EXP(-LN(2)/25))/(LN(2)/25)*Calculateur!AQ37*Calculateur!AS37*VLOOKUP('Données projet'!$B$10,Paramètres!$A$1:$I$89,3,0)*0.475*44/12</f>
        <v>28.272081440545307</v>
      </c>
      <c r="AW37" s="21">
        <f>EXP(-LN(2)/2)*AW36+(1-EXP(-LN(2)/2))/(LN(2)/2)*AQ37*AT37*VLOOKUP('Données projet'!$B$10,Paramètres!$A$1:$I$89,3,0)*0.475*44/12</f>
        <v>14.788162767457722</v>
      </c>
      <c r="AX37" s="21">
        <f t="shared" si="6"/>
        <v>49.335441623831336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20.142857142857142</v>
      </c>
      <c r="BD37" s="12">
        <f>IF('Données projet'!$A$88&gt;35,BD36+BC37-BL36,IF(A37&lt;'Données projet'!$A$88,$BA$205^A37,IF(A37='Données projet'!$A$88,'Données projet'!$B$88,BD36+BC37-BL36)))</f>
        <v>310.28571428571433</v>
      </c>
      <c r="BE37" s="13">
        <f>BD37*VLOOKUP('Données projet'!$B$11,Paramètres!$A$1:$I$89,3,0)*VLOOKUP('Données projet'!$B$11,Paramètres!$A$1:$I$89,5,0)</f>
        <v>173.44971428571432</v>
      </c>
      <c r="BF37" s="13">
        <f t="shared" si="37"/>
        <v>43.861739164856985</v>
      </c>
      <c r="BG37" s="20">
        <f t="shared" si="7"/>
        <v>378.48411475974507</v>
      </c>
      <c r="BH37" s="59">
        <f t="shared" si="8"/>
        <v>671.81744809307838</v>
      </c>
      <c r="BI37" s="59">
        <f ca="1">AVERAGE(OFFSET($BH$3,0,0,'Données projet'!$E$11+1,1))-AVERAGE(OFFSET($H$3,0,0,'Données projet'!$E$11+1,1))</f>
        <v>342.37397177572871</v>
      </c>
      <c r="BJ37" s="59">
        <f t="shared" si="38"/>
        <v>331.32436050472762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17.525561399094482</v>
      </c>
      <c r="BR37" s="21">
        <f>EXP(-LN(2)/2)*BR36+(1-EXP(-LN(2)/2))/(LN(2)/2)*BL37*BO37*VLOOKUP('Données projet'!$B$11,Paramètres!$A$1:$I$89,3,0)*0.475*44/12</f>
        <v>9.6203513856228788</v>
      </c>
      <c r="BS37" s="22">
        <f t="shared" si="9"/>
        <v>27.14591278471736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153.70991999999998</v>
      </c>
      <c r="CA37" s="13">
        <f t="shared" si="39"/>
        <v>39.420475690379831</v>
      </c>
      <c r="CB37" s="20">
        <f t="shared" si="10"/>
        <v>336.3687724940782</v>
      </c>
      <c r="CC37" s="59">
        <f t="shared" si="11"/>
        <v>629.70210582741151</v>
      </c>
      <c r="CD37" s="59">
        <f ca="1">AVERAGE(OFFSET($CC$3,0,0,'Données projet'!$E$12+1,1))-AVERAGE(OFFSET($H$3,0,0,'Données projet'!$E$12+1,1))</f>
        <v>353.37479213497227</v>
      </c>
      <c r="CE37" s="59">
        <f t="shared" si="40"/>
        <v>345.4750813433123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11.489530673035068</v>
      </c>
      <c r="CL37" s="21">
        <f>EXP(-LN(2)/25)*CL36+(1-EXP(-LN(2)/25))/(LN(2)/25)*Calculateur!CG37*Calculateur!CI37*VLOOKUP('Données projet'!$B$12,Paramètres!$A$1:$I$89,3,0)*0.475*44/12</f>
        <v>2.176542143014661</v>
      </c>
      <c r="CM37" s="21">
        <f>EXP(-LN(2)/2)*CM36+(1-EXP(-LN(2)/2))/(LN(2)/2)*CG37*CJ37*VLOOKUP('Données projet'!$B$12,Paramètres!$A$1:$I$89,3,0)*0.475*44/12</f>
        <v>0.9275395263355628</v>
      </c>
      <c r="CN37" s="22">
        <f t="shared" si="12"/>
        <v>14.593612342385292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</v>
      </c>
      <c r="N38" s="13">
        <f>IF('Données projet'!$A$36&gt;35,N37+M38-V37,IF(A38&lt;'Données projet'!$A$36,$K$205^A38,IF(A38='Données projet'!$A$36,'Données projet'!$B$36,N37+M38-V37)))</f>
        <v>253.99999999999994</v>
      </c>
      <c r="O38" s="13">
        <f>N38*VLOOKUP('Données projet'!$B$9,Paramètres!$A$1:$I$89,3,0)*VLOOKUP('Données projet'!$B$9,Paramètres!$A$1:$I$89,5,0)</f>
        <v>158.49599999999998</v>
      </c>
      <c r="P38" s="13">
        <f t="shared" si="33"/>
        <v>40.503097769376929</v>
      </c>
      <c r="Q38" s="20">
        <f t="shared" si="53"/>
        <v>346.59009528166479</v>
      </c>
      <c r="R38" s="59">
        <f t="shared" si="0"/>
        <v>639.9234286149981</v>
      </c>
      <c r="S38" s="59">
        <f ca="1">AVERAGE(OFFSET($R$3,0,0,'Données projet'!$E$9+1,1))-AVERAGE(OFFSET($H$3,0,0,'Données projet'!$E$9+1,1))</f>
        <v>232.56424130731699</v>
      </c>
      <c r="T38" s="59">
        <f t="shared" si="34"/>
        <v>384.58890620364178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13.611716323556466</v>
      </c>
      <c r="AA38" s="21">
        <f>EXP(-LN(2)/25)*AA37+(1-EXP(-LN(2)/25))/(LN(2)/25)*Calculateur!V38*Calculateur!X38*VLOOKUP('Données projet'!$B$9,Paramètres!$A$1:$I$89,3,0)*0.475*44/12</f>
        <v>54.289931601562962</v>
      </c>
      <c r="AB38" s="21">
        <f>EXP(-LN(2)/2)*AB37+(1-EXP(-LN(2)/2))/(LN(2)/2)*V38*Y38*VLOOKUP('Données projet'!$B$9,Paramètres!$A$1:$I$89,3,0)*0.475*44/12</f>
        <v>2.4855999111503455</v>
      </c>
      <c r="AC38" s="22">
        <f t="shared" si="3"/>
        <v>70.387247836269779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17.75</v>
      </c>
      <c r="AI38" s="13">
        <f>IF('Données projet'!$A$62&gt;35,AI37+AH38-AQ37,IF(A38&lt;'Données projet'!$A$62,$AF$205^A38,IF(A38='Données projet'!$A$62,'Données projet'!$B$62,AI37+AH38-AQ37)))</f>
        <v>191.75</v>
      </c>
      <c r="AJ38" s="13">
        <f>AI38*VLOOKUP('Données projet'!$B$10,Paramètres!$A$1:$I$89,3,0)*VLOOKUP('Données projet'!$B$10,Paramètres!$A$1:$I$89,5,0)</f>
        <v>114.6665</v>
      </c>
      <c r="AK38" s="13">
        <f t="shared" si="35"/>
        <v>30.427775708421912</v>
      </c>
      <c r="AL38" s="20">
        <f t="shared" si="4"/>
        <v>252.70586352550148</v>
      </c>
      <c r="AM38" s="59">
        <f t="shared" si="5"/>
        <v>546.03919685883477</v>
      </c>
      <c r="AN38" s="59">
        <f ca="1">AVERAGE(OFFSET($AM$3,0,0,'Données projet'!$E$10+1,1))-AVERAGE(OFFSET($H$3,0,0,'Données projet'!$E$10+1,1))</f>
        <v>279.39350157328471</v>
      </c>
      <c r="AO38" s="59">
        <f t="shared" si="36"/>
        <v>261.55559683031657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6.1521446219964036</v>
      </c>
      <c r="AV38" s="21">
        <f>EXP(-LN(2)/25)*AV37+(1-EXP(-LN(2)/25))/(LN(2)/25)*Calculateur!AQ38*Calculateur!AS38*VLOOKUP('Données projet'!$B$10,Paramètres!$A$1:$I$89,3,0)*0.475*44/12</f>
        <v>27.498979886789449</v>
      </c>
      <c r="AW38" s="21">
        <f>EXP(-LN(2)/2)*AW37+(1-EXP(-LN(2)/2))/(LN(2)/2)*AQ38*AT38*VLOOKUP('Données projet'!$B$10,Paramètres!$A$1:$I$89,3,0)*0.475*44/12</f>
        <v>10.456810174159777</v>
      </c>
      <c r="AX38" s="21">
        <f t="shared" si="6"/>
        <v>44.107934682945633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20.142857142857142</v>
      </c>
      <c r="BD38" s="12">
        <f>IF('Données projet'!$A$88&gt;35,BD37+BC38-BL37,IF(A38&lt;'Données projet'!$A$88,$BA$205^A38,IF(A38='Données projet'!$A$88,'Données projet'!$B$88,BD37+BC38-BL37)))</f>
        <v>330.4285714285715</v>
      </c>
      <c r="BE38" s="13">
        <f>BD38*VLOOKUP('Données projet'!$B$11,Paramètres!$A$1:$I$89,3,0)*VLOOKUP('Données projet'!$B$11,Paramètres!$A$1:$I$89,5,0)</f>
        <v>184.70957142857148</v>
      </c>
      <c r="BF38" s="13">
        <f t="shared" si="37"/>
        <v>46.368398825652129</v>
      </c>
      <c r="BG38" s="20">
        <f t="shared" si="7"/>
        <v>402.46079819277276</v>
      </c>
      <c r="BH38" s="59">
        <f t="shared" si="8"/>
        <v>695.79413152610607</v>
      </c>
      <c r="BI38" s="59">
        <f ca="1">AVERAGE(OFFSET($BH$3,0,0,'Données projet'!$E$11+1,1))-AVERAGE(OFFSET($H$3,0,0,'Données projet'!$E$11+1,1))</f>
        <v>342.37397177572871</v>
      </c>
      <c r="BJ38" s="59">
        <f t="shared" si="38"/>
        <v>331.32436050472762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17.046324001007026</v>
      </c>
      <c r="BR38" s="21">
        <f>EXP(-LN(2)/2)*BR37+(1-EXP(-LN(2)/2))/(LN(2)/2)*BL38*BO38*VLOOKUP('Données projet'!$B$11,Paramètres!$A$1:$I$89,3,0)*0.475*44/12</f>
        <v>6.8026157021713365</v>
      </c>
      <c r="BS38" s="22">
        <f t="shared" si="9"/>
        <v>23.848939703178363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163.89359999999999</v>
      </c>
      <c r="CA38" s="13">
        <f t="shared" si="39"/>
        <v>41.71949506642347</v>
      </c>
      <c r="CB38" s="20">
        <f t="shared" si="10"/>
        <v>358.10947390735419</v>
      </c>
      <c r="CC38" s="59">
        <f t="shared" si="11"/>
        <v>651.44280724068744</v>
      </c>
      <c r="CD38" s="59">
        <f ca="1">AVERAGE(OFFSET($CC$3,0,0,'Données projet'!$E$12+1,1))-AVERAGE(OFFSET($H$3,0,0,'Données projet'!$E$12+1,1))</f>
        <v>353.37479213497227</v>
      </c>
      <c r="CE38" s="59">
        <f t="shared" si="40"/>
        <v>345.4750813433123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0.21200000000000002</v>
      </c>
      <c r="CI38" s="16">
        <f>IF(ISNA(VLOOKUP(A38,'Données projet'!$A$113:$I$133,6,0)),0%,VLOOKUP(A38,'Données projet'!$A$113:$I$133,6,0)*VLOOKUP('Données projet'!$B$12,Paramètres!$A$1:$I$89,7,0))</f>
        <v>4.24E-2</v>
      </c>
      <c r="CJ38" s="16">
        <f>IF(ISNA(VLOOKUP(A38,'Données projet'!$A$113:$I$133,7,0)),0%,VLOOKUP(A38,'Données projet'!$A$113:$I$133,7,0))</f>
        <v>0.12</v>
      </c>
      <c r="CK38" s="21">
        <f>EXP(-LN(2)/35)*CK37+(1-EXP(-LN(2)/35))/(LN(2)/35)*CG38*CH38*VLOOKUP('Données projet'!$B$12,Paramètres!$A$1:$I$89,3,0)*0.475*44/12</f>
        <v>17.790208760415187</v>
      </c>
      <c r="CL38" s="21">
        <f>EXP(-LN(2)/25)*CL37+(1-EXP(-LN(2)/25))/(LN(2)/25)*Calculateur!CG38*Calculateur!CI38*VLOOKUP('Données projet'!$B$12,Paramètres!$A$1:$I$89,3,0)*0.475*44/12</f>
        <v>3.4170815842641558</v>
      </c>
      <c r="CM38" s="21">
        <f>EXP(-LN(2)/2)*CM37+(1-EXP(-LN(2)/2))/(LN(2)/2)*CG38*CJ38*VLOOKUP('Données projet'!$B$12,Paramètres!$A$1:$I$89,3,0)*0.475*44/12</f>
        <v>3.8086835445826317</v>
      </c>
      <c r="CN38" s="22">
        <f t="shared" si="12"/>
        <v>25.015973889261975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269</v>
      </c>
      <c r="L39" s="12">
        <f>VLOOKUP(A39,'Données projet'!$A$35:$I$55,9,0)</f>
        <v>15</v>
      </c>
      <c r="M39" s="12">
        <f t="array" ref="M39">INDEX(L:L,MIN(IF(ISNUMBER(L39:L235),ROW(L39:L235),"")))</f>
        <v>15</v>
      </c>
      <c r="N39" s="13">
        <f>IF('Données projet'!$A$36&gt;35,N38+M39-V38,IF(A39&lt;'Données projet'!$A$36,$K$205^A39,IF(A39='Données projet'!$A$36,'Données projet'!$B$36,N38+M39-V38)))</f>
        <v>268.99999999999994</v>
      </c>
      <c r="O39" s="13">
        <f>N39*VLOOKUP('Données projet'!$B$9,Paramètres!$A$1:$I$89,3,0)*VLOOKUP('Données projet'!$B$9,Paramètres!$A$1:$I$89,5,0)</f>
        <v>167.85599999999997</v>
      </c>
      <c r="P39" s="13">
        <f t="shared" si="33"/>
        <v>42.609484783744854</v>
      </c>
      <c r="Q39" s="20">
        <f t="shared" si="53"/>
        <v>366.56071933168886</v>
      </c>
      <c r="R39" s="59">
        <f t="shared" si="0"/>
        <v>659.89405266502217</v>
      </c>
      <c r="S39" s="59">
        <f ca="1">AVERAGE(OFFSET($R$3,0,0,'Données projet'!$E$9+1,1))-AVERAGE(OFFSET($H$3,0,0,'Données projet'!$E$9+1,1))</f>
        <v>232.56424130731699</v>
      </c>
      <c r="T39" s="59">
        <f t="shared" si="34"/>
        <v>384.58890620364178</v>
      </c>
      <c r="U39" s="15">
        <f>IF(ISNA(VLOOKUP(A39,'Données projet'!$A$35:$I$55,3,0)),0,VLOOKUP(A39,'Données projet'!$A$35:$I$55,3,0))</f>
        <v>6</v>
      </c>
      <c r="V39" s="15">
        <f>IF(ISNA(VLOOKUP(A39,'Données projet'!$A$35:$I$55,4,0)),0,VLOOKUP(A39,'Données projet'!$A$35:$I$55,4,0))</f>
        <v>75</v>
      </c>
      <c r="W39" s="16">
        <f>IF(ISNA(VLOOKUP(A39,'Données projet'!$A$35:$I$55,5,0)),0%,VLOOKUP(A39,'Données projet'!$A$35:$I$55,5,0)*VLOOKUP('Données projet'!$B$9,Paramètres!$A$1:$I$89,7,0))</f>
        <v>0.24</v>
      </c>
      <c r="X39" s="16">
        <f>IF(ISNA(VLOOKUP(A39,'Données projet'!$A$35:$I$55,6,0)),0%,VLOOKUP(A39,'Données projet'!$A$35:$I$55,6,0)*VLOOKUP('Données projet'!$B$9,Paramètres!$A$1:$I$89,7,0))</f>
        <v>0.24</v>
      </c>
      <c r="Y39" s="16">
        <f>IF(ISNA(VLOOKUP(A39,'Données projet'!$A$35:$I$55,7,0)),0%,VLOOKUP(A39,'Données projet'!$A$35:$I$55,7,0))</f>
        <v>0.2</v>
      </c>
      <c r="Z39" s="21">
        <f>EXP(-LN(2)/35)*Z38+(1-EXP(-LN(2)/35))/(LN(2)/35)*V39*W39*VLOOKUP('Données projet'!$B$9,Paramètres!$A$1:$I$89,3,0)*0.475*44/12</f>
        <v>28.244770832275609</v>
      </c>
      <c r="AA39" s="21">
        <f>EXP(-LN(2)/25)*AA38+(1-EXP(-LN(2)/25))/(LN(2)/25)*Calculateur!V39*Calculateur!X39*VLOOKUP('Données projet'!$B$9,Paramètres!$A$1:$I$89,3,0)*0.475*44/12</f>
        <v>67.646675663477026</v>
      </c>
      <c r="AB39" s="21">
        <f>EXP(-LN(2)/2)*AB38+(1-EXP(-LN(2)/2))/(LN(2)/2)*V39*Y39*VLOOKUP('Données projet'!$B$9,Paramètres!$A$1:$I$89,3,0)*0.475*44/12</f>
        <v>12.355278857338812</v>
      </c>
      <c r="AC39" s="22">
        <f t="shared" si="3"/>
        <v>108.24672535309145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17.75</v>
      </c>
      <c r="AI39" s="13">
        <f>IF('Données projet'!$A$62&gt;35,AI38+AH39-AQ38,IF(A39&lt;'Données projet'!$A$62,$AF$205^A39,IF(A39='Données projet'!$A$62,'Données projet'!$B$62,AI38+AH39-AQ38)))</f>
        <v>209.5</v>
      </c>
      <c r="AJ39" s="13">
        <f>AI39*VLOOKUP('Données projet'!$B$10,Paramètres!$A$1:$I$89,3,0)*VLOOKUP('Données projet'!$B$10,Paramètres!$A$1:$I$89,5,0)</f>
        <v>125.28100000000001</v>
      </c>
      <c r="AK39" s="13">
        <f t="shared" si="35"/>
        <v>32.903601563087939</v>
      </c>
      <c r="AL39" s="20">
        <f t="shared" si="4"/>
        <v>275.50484772237814</v>
      </c>
      <c r="AM39" s="59">
        <f t="shared" si="5"/>
        <v>568.8381810557114</v>
      </c>
      <c r="AN39" s="59">
        <f ca="1">AVERAGE(OFFSET($AM$3,0,0,'Données projet'!$E$10+1,1))-AVERAGE(OFFSET($H$3,0,0,'Données projet'!$E$10+1,1))</f>
        <v>279.39350157328471</v>
      </c>
      <c r="AO39" s="59">
        <f t="shared" si="36"/>
        <v>261.55559683031657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6.0315048183967512</v>
      </c>
      <c r="AV39" s="21">
        <f>EXP(-LN(2)/25)*AV38+(1-EXP(-LN(2)/25))/(LN(2)/25)*Calculateur!AQ39*Calculateur!AS39*VLOOKUP('Données projet'!$B$10,Paramètres!$A$1:$I$89,3,0)*0.475*44/12</f>
        <v>26.747018835676688</v>
      </c>
      <c r="AW39" s="21">
        <f>EXP(-LN(2)/2)*AW38+(1-EXP(-LN(2)/2))/(LN(2)/2)*AQ39*AT39*VLOOKUP('Données projet'!$B$10,Paramètres!$A$1:$I$89,3,0)*0.475*44/12</f>
        <v>7.3940813837288619</v>
      </c>
      <c r="AX39" s="21">
        <f t="shared" si="6"/>
        <v>40.172605037802299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20.142857142857142</v>
      </c>
      <c r="BD39" s="12">
        <f>IF('Données projet'!$A$88&gt;35,BD38+BC39-BL38,IF(A39&lt;'Données projet'!$A$88,$BA$205^A39,IF(A39='Données projet'!$A$88,'Données projet'!$B$88,BD38+BC39-BL38)))</f>
        <v>350.57142857142867</v>
      </c>
      <c r="BE39" s="13">
        <f>BD39*VLOOKUP('Données projet'!$B$11,Paramètres!$A$1:$I$89,3,0)*VLOOKUP('Données projet'!$B$11,Paramètres!$A$1:$I$89,5,0)</f>
        <v>195.96942857142861</v>
      </c>
      <c r="BF39" s="13">
        <f t="shared" si="37"/>
        <v>48.85732329413505</v>
      </c>
      <c r="BG39" s="20">
        <f t="shared" si="7"/>
        <v>426.40659283252336</v>
      </c>
      <c r="BH39" s="59">
        <f t="shared" si="8"/>
        <v>719.73992616585667</v>
      </c>
      <c r="BI39" s="59">
        <f ca="1">AVERAGE(OFFSET($BH$3,0,0,'Données projet'!$E$11+1,1))-AVERAGE(OFFSET($H$3,0,0,'Données projet'!$E$11+1,1))</f>
        <v>342.37397177572871</v>
      </c>
      <c r="BJ39" s="59">
        <f t="shared" si="38"/>
        <v>331.32436050472762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16.580191374772269</v>
      </c>
      <c r="BR39" s="21">
        <f>EXP(-LN(2)/2)*BR38+(1-EXP(-LN(2)/2))/(LN(2)/2)*BL39*BO39*VLOOKUP('Données projet'!$B$11,Paramètres!$A$1:$I$89,3,0)*0.475*44/12</f>
        <v>4.8101756928114403</v>
      </c>
      <c r="BS39" s="22">
        <f t="shared" si="9"/>
        <v>21.390367067583711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145.11743999999999</v>
      </c>
      <c r="CA39" s="13">
        <f t="shared" si="39"/>
        <v>37.466878406916173</v>
      </c>
      <c r="CB39" s="20">
        <f t="shared" si="10"/>
        <v>318.00102122537896</v>
      </c>
      <c r="CC39" s="59">
        <f t="shared" si="11"/>
        <v>611.33435455871222</v>
      </c>
      <c r="CD39" s="59">
        <f ca="1">AVERAGE(OFFSET($CC$3,0,0,'Données projet'!$E$12+1,1))-AVERAGE(OFFSET($H$3,0,0,'Données projet'!$E$12+1,1))</f>
        <v>353.37479213497227</v>
      </c>
      <c r="CE39" s="59">
        <f t="shared" si="40"/>
        <v>345.4750813433123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17.441353617579345</v>
      </c>
      <c r="CL39" s="21">
        <f>EXP(-LN(2)/25)*CL38+(1-EXP(-LN(2)/25))/(LN(2)/25)*Calculateur!CG39*Calculateur!CI39*VLOOKUP('Données projet'!$B$12,Paramètres!$A$1:$I$89,3,0)*0.475*44/12</f>
        <v>3.3236413086459415</v>
      </c>
      <c r="CM39" s="21">
        <f>EXP(-LN(2)/2)*CM38+(1-EXP(-LN(2)/2))/(LN(2)/2)*CG39*CJ39*VLOOKUP('Données projet'!$B$12,Paramètres!$A$1:$I$89,3,0)*0.475*44/12</f>
        <v>2.6931459617679954</v>
      </c>
      <c r="CN39" s="22">
        <f t="shared" si="12"/>
        <v>23.458140887993284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</v>
      </c>
      <c r="N40" s="13">
        <f>IF('Données projet'!$A$36&gt;35,N39+M40-V39,IF(A40&lt;'Données projet'!$A$36,$K$205^A40,IF(A40='Données projet'!$A$36,'Données projet'!$B$36,N39+M40-V39)))</f>
        <v>207.99999999999994</v>
      </c>
      <c r="O40" s="13">
        <f>N40*VLOOKUP('Données projet'!$B$9,Paramètres!$A$1:$I$89,3,0)*VLOOKUP('Données projet'!$B$9,Paramètres!$A$1:$I$89,5,0)</f>
        <v>129.79199999999997</v>
      </c>
      <c r="P40" s="13">
        <f t="shared" si="33"/>
        <v>33.948292161114985</v>
      </c>
      <c r="Q40" s="20">
        <f t="shared" si="53"/>
        <v>285.18100884727517</v>
      </c>
      <c r="R40" s="59">
        <f t="shared" si="0"/>
        <v>578.51434218060854</v>
      </c>
      <c r="S40" s="59">
        <f ca="1">AVERAGE(OFFSET($R$3,0,0,'Données projet'!$E$9+1,1))-AVERAGE(OFFSET($H$3,0,0,'Données projet'!$E$9+1,1))</f>
        <v>232.56424130731699</v>
      </c>
      <c r="T40" s="59">
        <f t="shared" si="34"/>
        <v>384.58890620364178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27.690908103863809</v>
      </c>
      <c r="AA40" s="21">
        <f>EXP(-LN(2)/25)*AA39+(1-EXP(-LN(2)/25))/(LN(2)/25)*Calculateur!V40*Calculateur!X40*VLOOKUP('Données projet'!$B$9,Paramètres!$A$1:$I$89,3,0)*0.475*44/12</f>
        <v>65.796873760075187</v>
      </c>
      <c r="AB40" s="21">
        <f>EXP(-LN(2)/2)*AB39+(1-EXP(-LN(2)/2))/(LN(2)/2)*V40*Y40*VLOOKUP('Données projet'!$B$9,Paramètres!$A$1:$I$89,3,0)*0.475*44/12</f>
        <v>8.7365014634750526</v>
      </c>
      <c r="AC40" s="22">
        <f t="shared" si="3"/>
        <v>102.22428332741404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17.75</v>
      </c>
      <c r="AI40" s="13">
        <f>IF('Données projet'!$A$62&gt;35,AI39+AH40-AQ39,IF(A40&lt;'Données projet'!$A$62,$AF$205^A40,IF(A40='Données projet'!$A$62,'Données projet'!$B$62,AI39+AH40-AQ39)))</f>
        <v>227.25</v>
      </c>
      <c r="AJ40" s="13">
        <f>AI40*VLOOKUP('Données projet'!$B$10,Paramètres!$A$1:$I$89,3,0)*VLOOKUP('Données projet'!$B$10,Paramètres!$A$1:$I$89,5,0)</f>
        <v>135.89550000000003</v>
      </c>
      <c r="AK40" s="13">
        <f t="shared" si="35"/>
        <v>35.355099996655177</v>
      </c>
      <c r="AL40" s="20">
        <f t="shared" si="4"/>
        <v>298.26146166084112</v>
      </c>
      <c r="AM40" s="59">
        <f t="shared" si="5"/>
        <v>591.59479499417444</v>
      </c>
      <c r="AN40" s="59">
        <f ca="1">AVERAGE(OFFSET($AM$3,0,0,'Données projet'!$E$10+1,1))-AVERAGE(OFFSET($H$3,0,0,'Données projet'!$E$10+1,1))</f>
        <v>279.39350157328471</v>
      </c>
      <c r="AO40" s="59">
        <f t="shared" si="36"/>
        <v>261.55559683031657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5.913230687762673</v>
      </c>
      <c r="AV40" s="21">
        <f>EXP(-LN(2)/25)*AV39+(1-EXP(-LN(2)/25))/(LN(2)/25)*Calculateur!AQ40*Calculateur!AS40*VLOOKUP('Données projet'!$B$10,Paramètres!$A$1:$I$89,3,0)*0.475*44/12</f>
        <v>26.01562019905052</v>
      </c>
      <c r="AW40" s="21">
        <f>EXP(-LN(2)/2)*AW39+(1-EXP(-LN(2)/2))/(LN(2)/2)*AQ40*AT40*VLOOKUP('Données projet'!$B$10,Paramètres!$A$1:$I$89,3,0)*0.475*44/12</f>
        <v>5.2284050870798895</v>
      </c>
      <c r="AX40" s="21">
        <f t="shared" si="6"/>
        <v>37.157255973893086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20.142857142857142</v>
      </c>
      <c r="BD40" s="12">
        <f>IF('Données projet'!$A$88&gt;35,BD39+BC40-BL39,IF(A40&lt;'Données projet'!$A$88,$BA$205^A40,IF(A40='Données projet'!$A$88,'Données projet'!$B$88,BD39+BC40-BL39)))</f>
        <v>370.71428571428584</v>
      </c>
      <c r="BE40" s="13">
        <f>BD40*VLOOKUP('Données projet'!$B$11,Paramètres!$A$1:$I$89,3,0)*VLOOKUP('Données projet'!$B$11,Paramètres!$A$1:$I$89,5,0)</f>
        <v>207.22928571428577</v>
      </c>
      <c r="BF40" s="13">
        <f t="shared" si="37"/>
        <v>51.329647686763998</v>
      </c>
      <c r="BG40" s="20">
        <f t="shared" si="7"/>
        <v>450.32347567349501</v>
      </c>
      <c r="BH40" s="59">
        <f t="shared" si="8"/>
        <v>743.65680900682833</v>
      </c>
      <c r="BI40" s="59">
        <f ca="1">AVERAGE(OFFSET($BH$3,0,0,'Données projet'!$E$11+1,1))-AVERAGE(OFFSET($H$3,0,0,'Données projet'!$E$11+1,1))</f>
        <v>342.37397177572871</v>
      </c>
      <c r="BJ40" s="59">
        <f t="shared" si="38"/>
        <v>331.32436050472762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16.126805169714753</v>
      </c>
      <c r="BR40" s="21">
        <f>EXP(-LN(2)/2)*BR39+(1-EXP(-LN(2)/2))/(LN(2)/2)*BL40*BO40*VLOOKUP('Données projet'!$B$11,Paramètres!$A$1:$I$89,3,0)*0.475*44/12</f>
        <v>3.4013078510856691</v>
      </c>
      <c r="BS40" s="22">
        <f t="shared" si="9"/>
        <v>19.528113020800422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154.18727999999999</v>
      </c>
      <c r="CA40" s="13">
        <f t="shared" si="39"/>
        <v>39.528629863903078</v>
      </c>
      <c r="CB40" s="20">
        <f t="shared" si="10"/>
        <v>337.38854301296448</v>
      </c>
      <c r="CC40" s="59">
        <f t="shared" si="11"/>
        <v>630.72187634629779</v>
      </c>
      <c r="CD40" s="59">
        <f ca="1">AVERAGE(OFFSET($CC$3,0,0,'Données projet'!$E$12+1,1))-AVERAGE(OFFSET($H$3,0,0,'Données projet'!$E$12+1,1))</f>
        <v>353.37479213497227</v>
      </c>
      <c r="CE40" s="59">
        <f t="shared" si="40"/>
        <v>345.4750813433123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17.099339311313887</v>
      </c>
      <c r="CL40" s="21">
        <f>EXP(-LN(2)/25)*CL39+(1-EXP(-LN(2)/25))/(LN(2)/25)*Calculateur!CG40*Calculateur!CI40*VLOOKUP('Données projet'!$B$12,Paramètres!$A$1:$I$89,3,0)*0.475*44/12</f>
        <v>3.2327561622783181</v>
      </c>
      <c r="CM40" s="21">
        <f>EXP(-LN(2)/2)*CM39+(1-EXP(-LN(2)/2))/(LN(2)/2)*CG40*CJ40*VLOOKUP('Données projet'!$B$12,Paramètres!$A$1:$I$89,3,0)*0.475*44/12</f>
        <v>1.9043417722913161</v>
      </c>
      <c r="CN40" s="22">
        <f t="shared" si="12"/>
        <v>22.236437245883522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</v>
      </c>
      <c r="N41" s="13">
        <f>IF('Données projet'!$A$36&gt;35,N40+M41-V40,IF(A41&lt;'Données projet'!$A$36,$K$205^A41,IF(A41='Données projet'!$A$36,'Données projet'!$B$36,N40+M41-V40)))</f>
        <v>221.99999999999994</v>
      </c>
      <c r="O41" s="13">
        <f>N41*VLOOKUP('Données projet'!$B$9,Paramètres!$A$1:$I$89,3,0)*VLOOKUP('Données projet'!$B$9,Paramètres!$A$1:$I$89,5,0)</f>
        <v>138.52799999999996</v>
      </c>
      <c r="P41" s="13">
        <f t="shared" si="33"/>
        <v>35.959583801423776</v>
      </c>
      <c r="Q41" s="20">
        <f t="shared" si="53"/>
        <v>303.89920845414628</v>
      </c>
      <c r="R41" s="59">
        <f t="shared" si="0"/>
        <v>597.23254178747959</v>
      </c>
      <c r="S41" s="59">
        <f ca="1">AVERAGE(OFFSET($R$3,0,0,'Données projet'!$E$9+1,1))-AVERAGE(OFFSET($H$3,0,0,'Données projet'!$E$9+1,1))</f>
        <v>232.56424130731699</v>
      </c>
      <c r="T41" s="59">
        <f t="shared" si="34"/>
        <v>384.58890620364178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27.147906285733256</v>
      </c>
      <c r="AA41" s="21">
        <f>EXP(-LN(2)/25)*AA40+(1-EXP(-LN(2)/25))/(LN(2)/25)*Calculateur!V41*Calculateur!X41*VLOOKUP('Données projet'!$B$9,Paramètres!$A$1:$I$89,3,0)*0.475*44/12</f>
        <v>63.997654786998723</v>
      </c>
      <c r="AB41" s="21">
        <f>EXP(-LN(2)/2)*AB40+(1-EXP(-LN(2)/2))/(LN(2)/2)*V41*Y41*VLOOKUP('Données projet'!$B$9,Paramètres!$A$1:$I$89,3,0)*0.475*44/12</f>
        <v>6.1776394286694067</v>
      </c>
      <c r="AC41" s="22">
        <f t="shared" si="3"/>
        <v>97.323200501401388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17.75</v>
      </c>
      <c r="AI41" s="13">
        <f>IF('Données projet'!$A$62&gt;35,AI40+AH41-AQ40,IF(A41&lt;'Données projet'!$A$62,$AF$205^A41,IF(A41='Données projet'!$A$62,'Données projet'!$B$62,AI40+AH41-AQ40)))</f>
        <v>245</v>
      </c>
      <c r="AJ41" s="13">
        <f>AI41*VLOOKUP('Données projet'!$B$10,Paramètres!$A$1:$I$89,3,0)*VLOOKUP('Données projet'!$B$10,Paramètres!$A$1:$I$89,5,0)</f>
        <v>146.51000000000002</v>
      </c>
      <c r="AK41" s="13">
        <f t="shared" si="35"/>
        <v>37.784387209607431</v>
      </c>
      <c r="AL41" s="20">
        <f t="shared" si="4"/>
        <v>320.97939105673299</v>
      </c>
      <c r="AM41" s="59">
        <f t="shared" si="5"/>
        <v>614.31272439006625</v>
      </c>
      <c r="AN41" s="59">
        <f ca="1">AVERAGE(OFFSET($AM$3,0,0,'Données projet'!$E$10+1,1))-AVERAGE(OFFSET($H$3,0,0,'Données projet'!$E$10+1,1))</f>
        <v>279.39350157328471</v>
      </c>
      <c r="AO41" s="59">
        <f t="shared" si="36"/>
        <v>261.55559683031657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5.7972758406902329</v>
      </c>
      <c r="AV41" s="21">
        <f>EXP(-LN(2)/25)*AV40+(1-EXP(-LN(2)/25))/(LN(2)/25)*Calculateur!AQ41*Calculateur!AS41*VLOOKUP('Données projet'!$B$10,Paramètres!$A$1:$I$89,3,0)*0.475*44/12</f>
        <v>25.304221696605477</v>
      </c>
      <c r="AW41" s="21">
        <f>EXP(-LN(2)/2)*AW40+(1-EXP(-LN(2)/2))/(LN(2)/2)*AQ41*AT41*VLOOKUP('Données projet'!$B$10,Paramètres!$A$1:$I$89,3,0)*0.475*44/12</f>
        <v>3.6970406918644314</v>
      </c>
      <c r="AX41" s="21">
        <f t="shared" si="6"/>
        <v>34.798538229160144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20.142857142857142</v>
      </c>
      <c r="BD41" s="12">
        <f>IF('Données projet'!$A$88&gt;35,BD40+BC41-BL40,IF(A41&lt;'Données projet'!$A$88,$BA$205^A41,IF(A41='Données projet'!$A$88,'Données projet'!$B$88,BD40+BC41-BL40)))</f>
        <v>390.857142857143</v>
      </c>
      <c r="BE41" s="13">
        <f>BD41*VLOOKUP('Données projet'!$B$11,Paramètres!$A$1:$I$89,3,0)*VLOOKUP('Données projet'!$B$11,Paramètres!$A$1:$I$89,5,0)</f>
        <v>218.48914285714295</v>
      </c>
      <c r="BF41" s="13">
        <f t="shared" si="37"/>
        <v>53.786376799533151</v>
      </c>
      <c r="BG41" s="20">
        <f t="shared" si="7"/>
        <v>474.21319673537755</v>
      </c>
      <c r="BH41" s="59">
        <f t="shared" si="8"/>
        <v>767.54653006871081</v>
      </c>
      <c r="BI41" s="59">
        <f ca="1">AVERAGE(OFFSET($BH$3,0,0,'Données projet'!$E$11+1,1))-AVERAGE(OFFSET($H$3,0,0,'Données projet'!$E$11+1,1))</f>
        <v>342.37397177572871</v>
      </c>
      <c r="BJ41" s="59">
        <f t="shared" si="38"/>
        <v>331.32436050472762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15.685816834277079</v>
      </c>
      <c r="BR41" s="21">
        <f>EXP(-LN(2)/2)*BR40+(1-EXP(-LN(2)/2))/(LN(2)/2)*BL41*BO41*VLOOKUP('Données projet'!$B$11,Paramètres!$A$1:$I$89,3,0)*0.475*44/12</f>
        <v>2.4050878464057206</v>
      </c>
      <c r="BS41" s="22">
        <f t="shared" si="9"/>
        <v>18.090904680682797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163.25712000000001</v>
      </c>
      <c r="CA41" s="13">
        <f t="shared" si="39"/>
        <v>41.576304038313076</v>
      </c>
      <c r="CB41" s="20">
        <f t="shared" si="10"/>
        <v>356.75154686672863</v>
      </c>
      <c r="CC41" s="59">
        <f t="shared" si="11"/>
        <v>650.08488020006189</v>
      </c>
      <c r="CD41" s="59">
        <f ca="1">AVERAGE(OFFSET($CC$3,0,0,'Données projet'!$E$12+1,1))-AVERAGE(OFFSET($H$3,0,0,'Données projet'!$E$12+1,1))</f>
        <v>353.37479213497227</v>
      </c>
      <c r="CE41" s="59">
        <f t="shared" si="40"/>
        <v>345.4750813433123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16.764031696986166</v>
      </c>
      <c r="CL41" s="21">
        <f>EXP(-LN(2)/25)*CL40+(1-EXP(-LN(2)/25))/(LN(2)/25)*Calculateur!CG41*Calculateur!CI41*VLOOKUP('Données projet'!$B$12,Paramètres!$A$1:$I$89,3,0)*0.475*44/12</f>
        <v>3.1443562750175595</v>
      </c>
      <c r="CM41" s="21">
        <f>EXP(-LN(2)/2)*CM40+(1-EXP(-LN(2)/2))/(LN(2)/2)*CG41*CJ41*VLOOKUP('Données projet'!$B$12,Paramètres!$A$1:$I$89,3,0)*0.475*44/12</f>
        <v>1.3465729808839979</v>
      </c>
      <c r="CN41" s="22">
        <f t="shared" si="12"/>
        <v>21.254960952887725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</v>
      </c>
      <c r="N42" s="13">
        <f>IF('Données projet'!$A$36&gt;35,N41+M42-V41,IF(A42&lt;'Données projet'!$A$36,$K$205^A42,IF(A42='Données projet'!$A$36,'Données projet'!$B$36,N41+M42-V41)))</f>
        <v>235.99999999999994</v>
      </c>
      <c r="O42" s="13">
        <f>N42*VLOOKUP('Données projet'!$B$9,Paramètres!$A$1:$I$89,3,0)*VLOOKUP('Données projet'!$B$9,Paramètres!$A$1:$I$89,5,0)</f>
        <v>147.26399999999998</v>
      </c>
      <c r="P42" s="13">
        <f t="shared" si="33"/>
        <v>37.956155232452218</v>
      </c>
      <c r="Q42" s="20">
        <f t="shared" si="53"/>
        <v>322.59177036318761</v>
      </c>
      <c r="R42" s="59">
        <f t="shared" si="0"/>
        <v>615.92510369652086</v>
      </c>
      <c r="S42" s="59">
        <f ca="1">AVERAGE(OFFSET($R$3,0,0,'Données projet'!$E$9+1,1))-AVERAGE(OFFSET($H$3,0,0,'Données projet'!$E$9+1,1))</f>
        <v>232.56424130731699</v>
      </c>
      <c r="T42" s="59">
        <f t="shared" si="34"/>
        <v>384.58890620364178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26.615552402057837</v>
      </c>
      <c r="AA42" s="21">
        <f>EXP(-LN(2)/25)*AA41+(1-EXP(-LN(2)/25))/(LN(2)/25)*Calculateur!V42*Calculateur!X42*VLOOKUP('Données projet'!$B$9,Paramètres!$A$1:$I$89,3,0)*0.475*44/12</f>
        <v>62.247635551357845</v>
      </c>
      <c r="AB42" s="21">
        <f>EXP(-LN(2)/2)*AB41+(1-EXP(-LN(2)/2))/(LN(2)/2)*V42*Y42*VLOOKUP('Données projet'!$B$9,Paramètres!$A$1:$I$89,3,0)*0.475*44/12</f>
        <v>4.3682507317375272</v>
      </c>
      <c r="AC42" s="22">
        <f t="shared" si="3"/>
        <v>93.231438685153222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17.75</v>
      </c>
      <c r="AI42" s="13">
        <f>IF('Données projet'!$A$62&gt;35,AI41+AH42-AQ41,IF(A42&lt;'Données projet'!$A$62,$AF$205^A42,IF(A42='Données projet'!$A$62,'Données projet'!$B$62,AI41+AH42-AQ41)))</f>
        <v>262.75</v>
      </c>
      <c r="AJ42" s="13">
        <f>AI42*VLOOKUP('Données projet'!$B$10,Paramètres!$A$1:$I$89,3,0)*VLOOKUP('Données projet'!$B$10,Paramètres!$A$1:$I$89,5,0)</f>
        <v>157.12450000000001</v>
      </c>
      <c r="AK42" s="13">
        <f t="shared" si="35"/>
        <v>40.193255386893625</v>
      </c>
      <c r="AL42" s="20">
        <f t="shared" si="4"/>
        <v>343.66175729883975</v>
      </c>
      <c r="AM42" s="59">
        <f t="shared" si="5"/>
        <v>636.99509063217306</v>
      </c>
      <c r="AN42" s="59">
        <f ca="1">AVERAGE(OFFSET($AM$3,0,0,'Données projet'!$E$10+1,1))-AVERAGE(OFFSET($H$3,0,0,'Données projet'!$E$10+1,1))</f>
        <v>279.39350157328471</v>
      </c>
      <c r="AO42" s="59">
        <f t="shared" si="36"/>
        <v>261.55559683031657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5.6835947974434102</v>
      </c>
      <c r="AV42" s="21">
        <f>EXP(-LN(2)/25)*AV41+(1-EXP(-LN(2)/25))/(LN(2)/25)*Calculateur!AQ42*Calculateur!AS42*VLOOKUP('Données projet'!$B$10,Paramètres!$A$1:$I$89,3,0)*0.475*44/12</f>
        <v>24.612276423620614</v>
      </c>
      <c r="AW42" s="21">
        <f>EXP(-LN(2)/2)*AW41+(1-EXP(-LN(2)/2))/(LN(2)/2)*AQ42*AT42*VLOOKUP('Données projet'!$B$10,Paramètres!$A$1:$I$89,3,0)*0.475*44/12</f>
        <v>2.6142025435399447</v>
      </c>
      <c r="AX42" s="21">
        <f t="shared" si="6"/>
        <v>32.910073764603972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>
        <f>VLOOKUP(A42,'Données projet'!$A$87:$I$107,2,0)</f>
        <v>411</v>
      </c>
      <c r="BB42" s="12">
        <f>VLOOKUP(A42,'Données projet'!$A$87:$I$107,9,0)</f>
        <v>20.142857142857142</v>
      </c>
      <c r="BC42" s="12">
        <f t="array" ref="BC42">INDEX(BB:BB,MIN(IF(ISNUMBER(BB42:BB238),ROW(BB42:BB238),"")))</f>
        <v>20.142857142857142</v>
      </c>
      <c r="BD42" s="12">
        <f>IF('Données projet'!$A$88&gt;35,BD41+BC42-BL41,IF(A42&lt;'Données projet'!$A$88,$BA$205^A42,IF(A42='Données projet'!$A$88,'Données projet'!$B$88,BD41+BC42-BL41)))</f>
        <v>411.00000000000017</v>
      </c>
      <c r="BE42" s="13">
        <f>BD42*VLOOKUP('Données projet'!$B$11,Paramètres!$A$1:$I$89,3,0)*VLOOKUP('Données projet'!$B$11,Paramètres!$A$1:$I$89,5,0)</f>
        <v>229.74900000000011</v>
      </c>
      <c r="BF42" s="13">
        <f t="shared" si="37"/>
        <v>56.228406014327945</v>
      </c>
      <c r="BG42" s="20">
        <f t="shared" si="7"/>
        <v>498.07731547495467</v>
      </c>
      <c r="BH42" s="59">
        <f t="shared" si="8"/>
        <v>791.41064880828799</v>
      </c>
      <c r="BI42" s="59">
        <f ca="1">AVERAGE(OFFSET($BH$3,0,0,'Données projet'!$E$11+1,1))-AVERAGE(OFFSET($H$3,0,0,'Données projet'!$E$11+1,1))</f>
        <v>342.37397177572871</v>
      </c>
      <c r="BJ42" s="59">
        <f t="shared" si="38"/>
        <v>331.32436050472762</v>
      </c>
      <c r="BK42" s="15">
        <f>IF(ISNA(VLOOKUP(A42,'Données projet'!$A$87:$I$107,3,0)),0,VLOOKUP(A42,'Données projet'!$A$87:$I$107,3,0))</f>
        <v>2</v>
      </c>
      <c r="BL42" s="15">
        <f>IF(ISNA(VLOOKUP(A42,'Données projet'!$A$87:$I$107,4,0)),0,VLOOKUP(A42,'Données projet'!$A$87:$I$107,4,0))</f>
        <v>79</v>
      </c>
      <c r="BM42" s="16">
        <f>IF(ISNA(VLOOKUP(A42,'Données projet'!$A$87:$I$107,5,0)),0%,VLOOKUP(A42,'Données projet'!$A$87:$I$107,5,0)*VLOOKUP('Données projet'!$B$11,Paramètres!$A$1:$I$89,7,0))</f>
        <v>5.5000000000000007E-2</v>
      </c>
      <c r="BN42" s="16">
        <f>IF(ISNA(VLOOKUP(A42,'Données projet'!$A$87:$I$107,6,0)),0%,VLOOKUP(A42,'Données projet'!$A$87:$I$107,6,0)*VLOOKUP('Données projet'!$B$11,Paramètres!$A$1:$I$89,7,0))</f>
        <v>0.30250000000000005</v>
      </c>
      <c r="BO42" s="16">
        <f>IF(ISNA(VLOOKUP(A42,'Données projet'!$A$87:$I$107,7,0)),0%,VLOOKUP(A42,'Données projet'!$A$87:$I$107,7,0))</f>
        <v>0.35</v>
      </c>
      <c r="BP42" s="21">
        <f>EXP(-LN(2)/35)*BP41+(1-EXP(-LN(2)/35))/(LN(2)/35)*BL42*BM42*VLOOKUP('Données projet'!$B$11,Paramètres!$A$1:$I$89,3,0)*0.475*44/12</f>
        <v>3.2220327104166047</v>
      </c>
      <c r="BQ42" s="21">
        <f>EXP(-LN(2)/25)*BQ41+(1-EXP(-LN(2)/25))/(LN(2)/25)*Calculateur!BL42*Calculateur!BN42*VLOOKUP('Données projet'!$B$11,Paramètres!$A$1:$I$89,3,0)*0.475*44/12</f>
        <v>32.908292217759922</v>
      </c>
      <c r="BR42" s="21">
        <f>EXP(-LN(2)/2)*BR41+(1-EXP(-LN(2)/2))/(LN(2)/2)*BL42*BO42*VLOOKUP('Données projet'!$B$11,Paramètres!$A$1:$I$89,3,0)*0.475*44/12</f>
        <v>19.200832597416024</v>
      </c>
      <c r="BS42" s="22">
        <f t="shared" si="9"/>
        <v>55.331157525592552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172.32695999999999</v>
      </c>
      <c r="CA42" s="13">
        <f t="shared" si="39"/>
        <v>43.61077213808133</v>
      </c>
      <c r="CB42" s="20">
        <f t="shared" si="10"/>
        <v>376.09155014049156</v>
      </c>
      <c r="CC42" s="59">
        <f t="shared" si="11"/>
        <v>669.42488347382482</v>
      </c>
      <c r="CD42" s="59">
        <f ca="1">AVERAGE(OFFSET($CC$3,0,0,'Données projet'!$E$12+1,1))-AVERAGE(OFFSET($H$3,0,0,'Données projet'!$E$12+1,1))</f>
        <v>353.37479213497227</v>
      </c>
      <c r="CE42" s="59">
        <f t="shared" si="40"/>
        <v>345.4750813433123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16.435299260457963</v>
      </c>
      <c r="CL42" s="21">
        <f>EXP(-LN(2)/25)*CL41+(1-EXP(-LN(2)/25))/(LN(2)/25)*Calculateur!CG42*Calculateur!CI42*VLOOKUP('Données projet'!$B$12,Paramètres!$A$1:$I$89,3,0)*0.475*44/12</f>
        <v>3.0583736873226943</v>
      </c>
      <c r="CM42" s="21">
        <f>EXP(-LN(2)/2)*CM41+(1-EXP(-LN(2)/2))/(LN(2)/2)*CG42*CJ42*VLOOKUP('Données projet'!$B$12,Paramètres!$A$1:$I$89,3,0)*0.475*44/12</f>
        <v>0.95217088614565826</v>
      </c>
      <c r="CN42" s="22">
        <f t="shared" si="12"/>
        <v>20.445843833926318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</v>
      </c>
      <c r="N43" s="13">
        <f>IF('Données projet'!$A$36&gt;35,N42+M43-V42,IF(A43&lt;'Données projet'!$A$36,$K$205^A43,IF(A43='Données projet'!$A$36,'Données projet'!$B$36,N42+M43-V42)))</f>
        <v>249.99999999999994</v>
      </c>
      <c r="O43" s="13">
        <f>N43*VLOOKUP('Données projet'!$B$9,Paramètres!$A$1:$I$89,3,0)*VLOOKUP('Données projet'!$B$9,Paramètres!$A$1:$I$89,5,0)</f>
        <v>155.99999999999997</v>
      </c>
      <c r="P43" s="13">
        <f t="shared" si="33"/>
        <v>39.938979147366325</v>
      </c>
      <c r="Q43" s="20">
        <f t="shared" si="53"/>
        <v>341.26038868166296</v>
      </c>
      <c r="R43" s="59">
        <f t="shared" si="0"/>
        <v>634.59372201499627</v>
      </c>
      <c r="S43" s="59">
        <f ca="1">AVERAGE(OFFSET($R$3,0,0,'Données projet'!$E$9+1,1))-AVERAGE(OFFSET($H$3,0,0,'Données projet'!$E$9+1,1))</f>
        <v>232.56424130731699</v>
      </c>
      <c r="T43" s="59">
        <f t="shared" si="34"/>
        <v>384.58890620364178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26.093637653337485</v>
      </c>
      <c r="AA43" s="21">
        <f>EXP(-LN(2)/25)*AA42+(1-EXP(-LN(2)/25))/(LN(2)/25)*Calculateur!V43*Calculateur!X43*VLOOKUP('Données projet'!$B$9,Paramètres!$A$1:$I$89,3,0)*0.475*44/12</f>
        <v>60.54547068374508</v>
      </c>
      <c r="AB43" s="21">
        <f>EXP(-LN(2)/2)*AB42+(1-EXP(-LN(2)/2))/(LN(2)/2)*V43*Y43*VLOOKUP('Données projet'!$B$9,Paramètres!$A$1:$I$89,3,0)*0.475*44/12</f>
        <v>3.0888197143347038</v>
      </c>
      <c r="AC43" s="22">
        <f t="shared" si="3"/>
        <v>89.727928051417265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17.75</v>
      </c>
      <c r="AI43" s="13">
        <f>IF('Données projet'!$A$62&gt;35,AI42+AH43-AQ42,IF(A43&lt;'Données projet'!$A$62,$AF$205^A43,IF(A43='Données projet'!$A$62,'Données projet'!$B$62,AI42+AH43-AQ42)))</f>
        <v>280.5</v>
      </c>
      <c r="AJ43" s="13">
        <f>AI43*VLOOKUP('Données projet'!$B$10,Paramètres!$A$1:$I$89,3,0)*VLOOKUP('Données projet'!$B$10,Paramètres!$A$1:$I$89,5,0)</f>
        <v>167.739</v>
      </c>
      <c r="AK43" s="13">
        <f t="shared" si="35"/>
        <v>42.583240869838001</v>
      </c>
      <c r="AL43" s="20">
        <f t="shared" si="4"/>
        <v>366.31123618163451</v>
      </c>
      <c r="AM43" s="59">
        <f t="shared" si="5"/>
        <v>659.64456951496777</v>
      </c>
      <c r="AN43" s="59">
        <f ca="1">AVERAGE(OFFSET($AM$3,0,0,'Données projet'!$E$10+1,1))-AVERAGE(OFFSET($H$3,0,0,'Données projet'!$E$10+1,1))</f>
        <v>279.39350157328471</v>
      </c>
      <c r="AO43" s="59">
        <f t="shared" si="36"/>
        <v>261.55559683031657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5.5721429701160679</v>
      </c>
      <c r="AV43" s="21">
        <f>EXP(-LN(2)/25)*AV42+(1-EXP(-LN(2)/25))/(LN(2)/25)*Calculateur!AQ43*Calculateur!AS43*VLOOKUP('Données projet'!$B$10,Paramètres!$A$1:$I$89,3,0)*0.475*44/12</f>
        <v>23.939252430513342</v>
      </c>
      <c r="AW43" s="21">
        <f>EXP(-LN(2)/2)*AW42+(1-EXP(-LN(2)/2))/(LN(2)/2)*AQ43*AT43*VLOOKUP('Données projet'!$B$10,Paramètres!$A$1:$I$89,3,0)*0.475*44/12</f>
        <v>1.8485203459322157</v>
      </c>
      <c r="AX43" s="21">
        <f t="shared" si="6"/>
        <v>31.359915746561626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19.142857142857142</v>
      </c>
      <c r="BD43" s="12">
        <f>IF('Données projet'!$A$88&gt;35,BD42+BC43-BL42,IF(A43&lt;'Données projet'!$A$88,$BA$205^A43,IF(A43='Données projet'!$A$88,'Données projet'!$B$88,BD42+BC43-BL42)))</f>
        <v>351.14285714285734</v>
      </c>
      <c r="BE43" s="13">
        <f>BD43*VLOOKUP('Données projet'!$B$11,Paramètres!$A$1:$I$89,3,0)*VLOOKUP('Données projet'!$B$11,Paramètres!$A$1:$I$89,5,0)</f>
        <v>196.28885714285727</v>
      </c>
      <c r="BF43" s="13">
        <f t="shared" si="37"/>
        <v>48.927683910220793</v>
      </c>
      <c r="BG43" s="20">
        <f t="shared" si="7"/>
        <v>427.0854756674442</v>
      </c>
      <c r="BH43" s="59">
        <f t="shared" si="8"/>
        <v>720.41880900077751</v>
      </c>
      <c r="BI43" s="59">
        <f ca="1">AVERAGE(OFFSET($BH$3,0,0,'Données projet'!$E$11+1,1))-AVERAGE(OFFSET($H$3,0,0,'Données projet'!$E$11+1,1))</f>
        <v>342.37397177572871</v>
      </c>
      <c r="BJ43" s="59">
        <f t="shared" si="38"/>
        <v>331.32436050472762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3.1588506142112367</v>
      </c>
      <c r="BQ43" s="21">
        <f>EXP(-LN(2)/25)*BQ42+(1-EXP(-LN(2)/25))/(LN(2)/25)*Calculateur!BL43*Calculateur!BN43*VLOOKUP('Données projet'!$B$11,Paramètres!$A$1:$I$89,3,0)*0.475*44/12</f>
        <v>32.008413236493404</v>
      </c>
      <c r="BR43" s="21">
        <f>EXP(-LN(2)/2)*BR42+(1-EXP(-LN(2)/2))/(LN(2)/2)*BL43*BO43*VLOOKUP('Données projet'!$B$11,Paramètres!$A$1:$I$89,3,0)*0.475*44/12</f>
        <v>13.577038934060582</v>
      </c>
      <c r="BS43" s="22">
        <f t="shared" si="9"/>
        <v>48.744302784765225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181.39680000000001</v>
      </c>
      <c r="CA43" s="13">
        <f t="shared" si="39"/>
        <v>45.63280848550832</v>
      </c>
      <c r="CB43" s="20">
        <f t="shared" si="10"/>
        <v>395.40990144559368</v>
      </c>
      <c r="CC43" s="59">
        <f t="shared" si="11"/>
        <v>688.74323477892699</v>
      </c>
      <c r="CD43" s="59">
        <f ca="1">AVERAGE(OFFSET($CC$3,0,0,'Données projet'!$E$12+1,1))-AVERAGE(OFFSET($H$3,0,0,'Données projet'!$E$12+1,1))</f>
        <v>353.37479213497227</v>
      </c>
      <c r="CE43" s="59">
        <f t="shared" si="40"/>
        <v>345.4750813433123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0.318</v>
      </c>
      <c r="CI43" s="16">
        <f>IF(ISNA(VLOOKUP(A43,'Données projet'!$A$113:$I$133,6,0)),0%,VLOOKUP(A43,'Données projet'!$A$113:$I$133,6,0)*VLOOKUP('Données projet'!$B$12,Paramètres!$A$1:$I$89,7,0))</f>
        <v>2.12E-2</v>
      </c>
      <c r="CJ43" s="16">
        <f>IF(ISNA(VLOOKUP(A43,'Données projet'!$A$113:$I$133,7,0)),0%,VLOOKUP(A43,'Données projet'!$A$113:$I$133,7,0))</f>
        <v>0.06</v>
      </c>
      <c r="CK43" s="21">
        <f>EXP(-LN(2)/35)*CK42+(1-EXP(-LN(2)/35))/(LN(2)/35)*CG43*CH43*VLOOKUP('Données projet'!$B$12,Paramètres!$A$1:$I$89,3,0)*0.475*44/12</f>
        <v>25.901984230437993</v>
      </c>
      <c r="CL43" s="21">
        <f>EXP(-LN(2)/25)*CL42+(1-EXP(-LN(2)/25))/(LN(2)/25)*Calculateur!CG43*Calculateur!CI43*VLOOKUP('Données projet'!$B$12,Paramètres!$A$1:$I$89,3,0)*0.475*44/12</f>
        <v>3.6247708483147769</v>
      </c>
      <c r="CM43" s="21">
        <f>EXP(-LN(2)/2)*CM42+(1-EXP(-LN(2)/2))/(LN(2)/2)*CG43*CJ43*VLOOKUP('Données projet'!$B$12,Paramètres!$A$1:$I$89,3,0)*0.475*44/12</f>
        <v>2.2496935182880975</v>
      </c>
      <c r="CN43" s="22">
        <f t="shared" si="12"/>
        <v>31.776448597040869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</v>
      </c>
      <c r="N44" s="13">
        <f>IF('Données projet'!$A$36&gt;35,N43+M44-V43,IF(A44&lt;'Données projet'!$A$36,$K$205^A44,IF(A44='Données projet'!$A$36,'Données projet'!$B$36,N43+M44-V43)))</f>
        <v>263.99999999999994</v>
      </c>
      <c r="O44" s="13">
        <f>N44*VLOOKUP('Données projet'!$B$9,Paramètres!$A$1:$I$89,3,0)*VLOOKUP('Données projet'!$B$9,Paramètres!$A$1:$I$89,5,0)</f>
        <v>164.73599999999996</v>
      </c>
      <c r="P44" s="13">
        <f t="shared" si="33"/>
        <v>41.908913144700293</v>
      </c>
      <c r="Q44" s="20">
        <f t="shared" si="53"/>
        <v>359.9065570603529</v>
      </c>
      <c r="R44" s="59">
        <f t="shared" si="0"/>
        <v>653.23989039368621</v>
      </c>
      <c r="S44" s="59">
        <f ca="1">AVERAGE(OFFSET($R$3,0,0,'Données projet'!$E$9+1,1))-AVERAGE(OFFSET($H$3,0,0,'Données projet'!$E$9+1,1))</f>
        <v>232.56424130731699</v>
      </c>
      <c r="T44" s="59">
        <f t="shared" si="34"/>
        <v>384.58890620364178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25.581957334502974</v>
      </c>
      <c r="AA44" s="21">
        <f>EXP(-LN(2)/25)*AA43+(1-EXP(-LN(2)/25))/(LN(2)/25)*Calculateur!V44*Calculateur!X44*VLOOKUP('Données projet'!$B$9,Paramètres!$A$1:$I$89,3,0)*0.475*44/12</f>
        <v>58.889851603950149</v>
      </c>
      <c r="AB44" s="21">
        <f>EXP(-LN(2)/2)*AB43+(1-EXP(-LN(2)/2))/(LN(2)/2)*V44*Y44*VLOOKUP('Données projet'!$B$9,Paramètres!$A$1:$I$89,3,0)*0.475*44/12</f>
        <v>2.1841253658687636</v>
      </c>
      <c r="AC44" s="22">
        <f t="shared" si="3"/>
        <v>86.655934304321889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17.75</v>
      </c>
      <c r="AI44" s="13">
        <f>IF('Données projet'!$A$62&gt;35,AI43+AH44-AQ43,IF(A44&lt;'Données projet'!$A$62,$AF$205^A44,IF(A44='Données projet'!$A$62,'Données projet'!$B$62,AI43+AH44-AQ43)))</f>
        <v>298.25</v>
      </c>
      <c r="AJ44" s="13">
        <f>AI44*VLOOKUP('Données projet'!$B$10,Paramètres!$A$1:$I$89,3,0)*VLOOKUP('Données projet'!$B$10,Paramètres!$A$1:$I$89,5,0)</f>
        <v>178.3535</v>
      </c>
      <c r="AK44" s="13">
        <f t="shared" si="35"/>
        <v>44.955674569473814</v>
      </c>
      <c r="AL44" s="20">
        <f t="shared" si="4"/>
        <v>388.93014570850022</v>
      </c>
      <c r="AM44" s="59">
        <f t="shared" si="5"/>
        <v>682.26347904183353</v>
      </c>
      <c r="AN44" s="59">
        <f ca="1">AVERAGE(OFFSET($AM$3,0,0,'Données projet'!$E$10+1,1))-AVERAGE(OFFSET($H$3,0,0,'Données projet'!$E$10+1,1))</f>
        <v>279.39350157328471</v>
      </c>
      <c r="AO44" s="59">
        <f t="shared" si="36"/>
        <v>261.55559683031657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5.4628766451437123</v>
      </c>
      <c r="AV44" s="21">
        <f>EXP(-LN(2)/25)*AV43+(1-EXP(-LN(2)/25))/(LN(2)/25)*Calculateur!AQ44*Calculateur!AS44*VLOOKUP('Données projet'!$B$10,Paramètres!$A$1:$I$89,3,0)*0.475*44/12</f>
        <v>23.284632313890384</v>
      </c>
      <c r="AW44" s="21">
        <f>EXP(-LN(2)/2)*AW43+(1-EXP(-LN(2)/2))/(LN(2)/2)*AQ44*AT44*VLOOKUP('Données projet'!$B$10,Paramètres!$A$1:$I$89,3,0)*0.475*44/12</f>
        <v>1.3071012717699724</v>
      </c>
      <c r="AX44" s="21">
        <f t="shared" si="6"/>
        <v>30.054610230804069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19.142857142857142</v>
      </c>
      <c r="BD44" s="12">
        <f>IF('Données projet'!$A$88&gt;35,BD43+BC44-BL43,IF(A44&lt;'Données projet'!$A$88,$BA$205^A44,IF(A44='Données projet'!$A$88,'Données projet'!$B$88,BD43+BC44-BL43)))</f>
        <v>370.2857142857145</v>
      </c>
      <c r="BE44" s="13">
        <f>BD44*VLOOKUP('Données projet'!$B$11,Paramètres!$A$1:$I$89,3,0)*VLOOKUP('Données projet'!$B$11,Paramètres!$A$1:$I$89,5,0)</f>
        <v>206.98971428571443</v>
      </c>
      <c r="BF44" s="13">
        <f t="shared" si="37"/>
        <v>51.27721077389397</v>
      </c>
      <c r="BG44" s="20">
        <f t="shared" si="7"/>
        <v>449.81489447881796</v>
      </c>
      <c r="BH44" s="59">
        <f t="shared" si="8"/>
        <v>743.14822781215128</v>
      </c>
      <c r="BI44" s="59">
        <f ca="1">AVERAGE(OFFSET($BH$3,0,0,'Données projet'!$E$11+1,1))-AVERAGE(OFFSET($H$3,0,0,'Données projet'!$E$11+1,1))</f>
        <v>342.37397177572871</v>
      </c>
      <c r="BJ44" s="59">
        <f t="shared" si="38"/>
        <v>331.32436050472762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3.0969074803751822</v>
      </c>
      <c r="BQ44" s="21">
        <f>EXP(-LN(2)/25)*BQ43+(1-EXP(-LN(2)/25))/(LN(2)/25)*Calculateur!BL44*Calculateur!BN44*VLOOKUP('Données projet'!$B$11,Paramètres!$A$1:$I$89,3,0)*0.475*44/12</f>
        <v>31.133141493292197</v>
      </c>
      <c r="BR44" s="21">
        <f>EXP(-LN(2)/2)*BR43+(1-EXP(-LN(2)/2))/(LN(2)/2)*BL44*BO44*VLOOKUP('Données projet'!$B$11,Paramètres!$A$1:$I$89,3,0)*0.475*44/12</f>
        <v>9.6004162987080122</v>
      </c>
      <c r="BS44" s="22">
        <f t="shared" si="9"/>
        <v>43.830465272375392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161.34768000000003</v>
      </c>
      <c r="CA44" s="13">
        <f t="shared" si="39"/>
        <v>41.146339844316657</v>
      </c>
      <c r="CB44" s="20">
        <f t="shared" si="10"/>
        <v>352.6770845621848</v>
      </c>
      <c r="CC44" s="59">
        <f t="shared" si="11"/>
        <v>646.01041789551812</v>
      </c>
      <c r="CD44" s="59">
        <f ca="1">AVERAGE(OFFSET($CC$3,0,0,'Données projet'!$E$12+1,1))-AVERAGE(OFFSET($H$3,0,0,'Données projet'!$E$12+1,1))</f>
        <v>353.37479213497227</v>
      </c>
      <c r="CE44" s="59">
        <f t="shared" si="40"/>
        <v>345.4750813433123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25.394062118329497</v>
      </c>
      <c r="CL44" s="21">
        <f>EXP(-LN(2)/25)*CL43+(1-EXP(-LN(2)/25))/(LN(2)/25)*Calculateur!CG44*Calculateur!CI44*VLOOKUP('Données projet'!$B$12,Paramètres!$A$1:$I$89,3,0)*0.475*44/12</f>
        <v>3.525651298849195</v>
      </c>
      <c r="CM44" s="21">
        <f>EXP(-LN(2)/2)*CM43+(1-EXP(-LN(2)/2))/(LN(2)/2)*CG44*CJ44*VLOOKUP('Données projet'!$B$12,Paramètres!$A$1:$I$89,3,0)*0.475*44/12</f>
        <v>1.5907735423729361</v>
      </c>
      <c r="CN44" s="22">
        <f t="shared" si="12"/>
        <v>30.510486959551628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278</v>
      </c>
      <c r="L45" s="12">
        <f>VLOOKUP(A45,'Données projet'!$A$35:$I$55,9,0)</f>
        <v>14</v>
      </c>
      <c r="M45" s="12">
        <f t="array" ref="M45">INDEX(L:L,MIN(IF(ISNUMBER(L45:L241),ROW(L45:L241),"")))</f>
        <v>14</v>
      </c>
      <c r="N45" s="13">
        <f>IF('Données projet'!$A$36&gt;35,N44+M45-V44,IF(A45&lt;'Données projet'!$A$36,$K$205^A45,IF(A45='Données projet'!$A$36,'Données projet'!$B$36,N44+M45-V44)))</f>
        <v>277.99999999999994</v>
      </c>
      <c r="O45" s="13">
        <f>N45*VLOOKUP('Données projet'!$B$9,Paramètres!$A$1:$I$89,3,0)*VLOOKUP('Données projet'!$B$9,Paramètres!$A$1:$I$89,5,0)</f>
        <v>173.47199999999998</v>
      </c>
      <c r="P45" s="13">
        <f t="shared" si="33"/>
        <v>43.866718728383574</v>
      </c>
      <c r="Q45" s="20">
        <f t="shared" si="53"/>
        <v>378.53160178526804</v>
      </c>
      <c r="R45" s="59">
        <f t="shared" si="0"/>
        <v>671.86493511860135</v>
      </c>
      <c r="S45" s="59">
        <f ca="1">AVERAGE(OFFSET($R$3,0,0,'Données projet'!$E$9+1,1))-AVERAGE(OFFSET($H$3,0,0,'Données projet'!$E$9+1,1))</f>
        <v>232.56424130731699</v>
      </c>
      <c r="T45" s="59">
        <f t="shared" si="34"/>
        <v>384.58890620364178</v>
      </c>
      <c r="U45" s="15">
        <f>IF(ISNA(VLOOKUP(A45,'Données projet'!$A$35:$I$55,3,0)),0,VLOOKUP(A45,'Données projet'!$A$35:$I$55,3,0))</f>
        <v>7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0.3</v>
      </c>
      <c r="X45" s="16">
        <f>IF(ISNA(VLOOKUP(A45,'Données projet'!$A$35:$I$55,6,0)),0%,VLOOKUP(A45,'Données projet'!$A$35:$I$55,6,0)*VLOOKUP('Données projet'!$B$9,Paramètres!$A$1:$I$89,7,0))</f>
        <v>0.18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25.08031075462663</v>
      </c>
      <c r="AA45" s="21">
        <f>EXP(-LN(2)/25)*AA44+(1-EXP(-LN(2)/25))/(LN(2)/25)*Calculateur!V45*Calculateur!X45*VLOOKUP('Données projet'!$B$9,Paramètres!$A$1:$I$89,3,0)*0.475*44/12</f>
        <v>57.279505514957428</v>
      </c>
      <c r="AB45" s="21">
        <f>EXP(-LN(2)/2)*AB44+(1-EXP(-LN(2)/2))/(LN(2)/2)*V45*Y45*VLOOKUP('Données projet'!$B$9,Paramètres!$A$1:$I$89,3,0)*0.475*44/12</f>
        <v>1.5444098571673519</v>
      </c>
      <c r="AC45" s="22">
        <f t="shared" si="3"/>
        <v>83.904226126751411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316</v>
      </c>
      <c r="AG45" s="12">
        <f>VLOOKUP(A45,'Données projet'!$A$61:$I$81,9,0)</f>
        <v>17.75</v>
      </c>
      <c r="AH45" s="12">
        <f t="array" ref="AH45">INDEX(AG:AG,MIN(IF(ISNUMBER(AG45:AG241),ROW(AG45:AG241),"")))</f>
        <v>17.75</v>
      </c>
      <c r="AI45" s="13">
        <f>IF('Données projet'!$A$62&gt;35,AI44+AH45-AQ44,IF(A45&lt;'Données projet'!$A$62,$AF$205^A45,IF(A45='Données projet'!$A$62,'Données projet'!$B$62,AI44+AH45-AQ44)))</f>
        <v>316</v>
      </c>
      <c r="AJ45" s="13">
        <f>AI45*VLOOKUP('Données projet'!$B$10,Paramètres!$A$1:$I$89,3,0)*VLOOKUP('Données projet'!$B$10,Paramètres!$A$1:$I$89,5,0)</f>
        <v>188.96800000000002</v>
      </c>
      <c r="AK45" s="13">
        <f t="shared" si="35"/>
        <v>47.311720031947068</v>
      </c>
      <c r="AL45" s="20">
        <f t="shared" si="4"/>
        <v>411.52051238897451</v>
      </c>
      <c r="AM45" s="59">
        <f t="shared" si="5"/>
        <v>704.85384572230782</v>
      </c>
      <c r="AN45" s="59">
        <f ca="1">AVERAGE(OFFSET($AM$3,0,0,'Données projet'!$E$10+1,1))-AVERAGE(OFFSET($H$3,0,0,'Données projet'!$E$10+1,1))</f>
        <v>279.39350157328471</v>
      </c>
      <c r="AO45" s="59">
        <f t="shared" si="36"/>
        <v>261.55559683031657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77</v>
      </c>
      <c r="AR45" s="16">
        <f>IF(ISNA(VLOOKUP(A45,'Données projet'!$A$61:$I$81,5,0)),0%,VLOOKUP(A45,'Données projet'!$A$61:$I$81,5,0)*VLOOKUP('Données projet'!$B$10,Paramètres!$A$1:$I$89,7,0))</f>
        <v>0.13500000000000001</v>
      </c>
      <c r="AS45" s="16">
        <f>IF(ISNA(VLOOKUP(A45,'Données projet'!$A$61:$I$81,6,0)),0%,VLOOKUP(A45,'Données projet'!$A$61:$I$81,6,0)*VLOOKUP('Données projet'!$B$10,Paramètres!$A$1:$I$89,7,0))</f>
        <v>0.18000000000000002</v>
      </c>
      <c r="AT45" s="16">
        <f>IF(ISNA(VLOOKUP(A45,'Données projet'!$A$61:$I$81,7,0)),0%,VLOOKUP(A45,'Données projet'!$A$61:$I$81,7,0))</f>
        <v>0.3</v>
      </c>
      <c r="AU45" s="21">
        <f>EXP(-LN(2)/35)*AU44+(1-EXP(-LN(2)/35))/(LN(2)/35)*AQ45*AR45*VLOOKUP('Données projet'!$B$10,Paramètres!$A$1:$I$89,3,0)*0.475*44/12</f>
        <v>13.601956199706013</v>
      </c>
      <c r="AV45" s="21">
        <f>EXP(-LN(2)/25)*AV44+(1-EXP(-LN(2)/25))/(LN(2)/25)*Calculateur!AQ45*Calculateur!AS45*VLOOKUP('Données projet'!$B$10,Paramètres!$A$1:$I$89,3,0)*0.475*44/12</f>
        <v>33.599559204604901</v>
      </c>
      <c r="AW45" s="21">
        <f>EXP(-LN(2)/2)*AW44+(1-EXP(-LN(2)/2))/(LN(2)/2)*AQ45*AT45*VLOOKUP('Données projet'!$B$10,Paramètres!$A$1:$I$89,3,0)*0.475*44/12</f>
        <v>16.564690684537204</v>
      </c>
      <c r="AX45" s="21">
        <f t="shared" si="6"/>
        <v>63.766206088848115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19.142857142857142</v>
      </c>
      <c r="BD45" s="12">
        <f>IF('Données projet'!$A$88&gt;35,BD44+BC45-BL44,IF(A45&lt;'Données projet'!$A$88,$BA$205^A45,IF(A45='Données projet'!$A$88,'Données projet'!$B$88,BD44+BC45-BL44)))</f>
        <v>389.42857142857167</v>
      </c>
      <c r="BE45" s="13">
        <f>BD45*VLOOKUP('Données projet'!$B$11,Paramètres!$A$1:$I$89,3,0)*VLOOKUP('Données projet'!$B$11,Paramètres!$A$1:$I$89,5,0)</f>
        <v>217.69057142857156</v>
      </c>
      <c r="BF45" s="13">
        <f t="shared" si="37"/>
        <v>53.612634964962567</v>
      </c>
      <c r="BG45" s="20">
        <f t="shared" si="7"/>
        <v>472.51975113540533</v>
      </c>
      <c r="BH45" s="59">
        <f t="shared" si="8"/>
        <v>765.85308446873864</v>
      </c>
      <c r="BI45" s="59">
        <f ca="1">AVERAGE(OFFSET($BH$3,0,0,'Données projet'!$E$11+1,1))-AVERAGE(OFFSET($H$3,0,0,'Données projet'!$E$11+1,1))</f>
        <v>342.37397177572871</v>
      </c>
      <c r="BJ45" s="59">
        <f t="shared" si="38"/>
        <v>331.32436050472762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3.0361790136120717</v>
      </c>
      <c r="BQ45" s="21">
        <f>EXP(-LN(2)/25)*BQ44+(1-EXP(-LN(2)/25))/(LN(2)/25)*Calculateur!BL45*Calculateur!BN45*VLOOKUP('Données projet'!$B$11,Paramètres!$A$1:$I$89,3,0)*0.475*44/12</f>
        <v>30.281804101937364</v>
      </c>
      <c r="BR45" s="21">
        <f>EXP(-LN(2)/2)*BR44+(1-EXP(-LN(2)/2))/(LN(2)/2)*BL45*BO45*VLOOKUP('Données projet'!$B$11,Paramètres!$A$1:$I$89,3,0)*0.475*44/12</f>
        <v>6.7885194670302909</v>
      </c>
      <c r="BS45" s="22">
        <f t="shared" si="9"/>
        <v>40.106502582579729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169.14456000000004</v>
      </c>
      <c r="CA45" s="13">
        <f t="shared" si="39"/>
        <v>42.898377267189964</v>
      </c>
      <c r="CB45" s="20">
        <f t="shared" si="10"/>
        <v>369.30811574035596</v>
      </c>
      <c r="CC45" s="59">
        <f t="shared" si="11"/>
        <v>662.64144907368927</v>
      </c>
      <c r="CD45" s="59">
        <f ca="1">AVERAGE(OFFSET($CC$3,0,0,'Données projet'!$E$12+1,1))-AVERAGE(OFFSET($H$3,0,0,'Données projet'!$E$12+1,1))</f>
        <v>353.37479213497227</v>
      </c>
      <c r="CE45" s="59">
        <f t="shared" si="40"/>
        <v>345.4750813433123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24.89610004903755</v>
      </c>
      <c r="CL45" s="21">
        <f>EXP(-LN(2)/25)*CL44+(1-EXP(-LN(2)/25))/(LN(2)/25)*Calculateur!CG45*Calculateur!CI45*VLOOKUP('Données projet'!$B$12,Paramètres!$A$1:$I$89,3,0)*0.475*44/12</f>
        <v>3.4292421786762199</v>
      </c>
      <c r="CM45" s="21">
        <f>EXP(-LN(2)/2)*CM44+(1-EXP(-LN(2)/2))/(LN(2)/2)*CG45*CJ45*VLOOKUP('Données projet'!$B$12,Paramètres!$A$1:$I$89,3,0)*0.475*44/12</f>
        <v>1.124846759144049</v>
      </c>
      <c r="CN45" s="22">
        <f t="shared" si="12"/>
        <v>29.450188986857817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277.99999999999994</v>
      </c>
      <c r="O46" s="13">
        <f>N46*VLOOKUP('Données projet'!$B$9,Paramètres!$A$1:$I$89,3,0)*VLOOKUP('Données projet'!$B$9,Paramètres!$A$1:$I$89,5,0)</f>
        <v>173.47199999999998</v>
      </c>
      <c r="P46" s="13">
        <f t="shared" si="33"/>
        <v>43.866718728383574</v>
      </c>
      <c r="Q46" s="20">
        <f t="shared" si="53"/>
        <v>378.53160178526804</v>
      </c>
      <c r="R46" s="59">
        <f t="shared" si="0"/>
        <v>671.86493511860135</v>
      </c>
      <c r="S46" s="59">
        <f ca="1">AVERAGE(OFFSET($R$3,0,0,'Données projet'!$E$9+1,1))-AVERAGE(OFFSET($H$3,0,0,'Données projet'!$E$9+1,1))</f>
        <v>232.56424130731699</v>
      </c>
      <c r="T46" s="59">
        <f t="shared" si="34"/>
        <v>384.58890620364178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24.58850115820746</v>
      </c>
      <c r="AA46" s="21">
        <f>EXP(-LN(2)/25)*AA45+(1-EXP(-LN(2)/25))/(LN(2)/25)*Calculateur!V46*Calculateur!X46*VLOOKUP('Données projet'!$B$9,Paramètres!$A$1:$I$89,3,0)*0.475*44/12</f>
        <v>55.713194424452638</v>
      </c>
      <c r="AB46" s="21">
        <f>EXP(-LN(2)/2)*AB45+(1-EXP(-LN(2)/2))/(LN(2)/2)*V46*Y46*VLOOKUP('Données projet'!$B$9,Paramètres!$A$1:$I$89,3,0)*0.475*44/12</f>
        <v>1.0920626829343818</v>
      </c>
      <c r="AC46" s="22">
        <f t="shared" si="3"/>
        <v>81.393758265594485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16.899999999999999</v>
      </c>
      <c r="AI46" s="13">
        <f>IF('Données projet'!$A$62&gt;35,AI45+AH46-AQ45,IF(A46&lt;'Données projet'!$A$62,$AF$205^A46,IF(A46='Données projet'!$A$62,'Données projet'!$B$62,AI45+AH46-AQ45)))</f>
        <v>255.89999999999998</v>
      </c>
      <c r="AJ46" s="13">
        <f>AI46*VLOOKUP('Données projet'!$B$10,Paramètres!$A$1:$I$89,3,0)*VLOOKUP('Données projet'!$B$10,Paramètres!$A$1:$I$89,5,0)</f>
        <v>153.0282</v>
      </c>
      <c r="AK46" s="13">
        <f t="shared" si="35"/>
        <v>39.265952388702431</v>
      </c>
      <c r="AL46" s="20">
        <f t="shared" si="4"/>
        <v>334.9123154103234</v>
      </c>
      <c r="AM46" s="59">
        <f t="shared" si="5"/>
        <v>628.24564874365672</v>
      </c>
      <c r="AN46" s="59">
        <f ca="1">AVERAGE(OFFSET($AM$3,0,0,'Données projet'!$E$10+1,1))-AVERAGE(OFFSET($H$3,0,0,'Données projet'!$E$10+1,1))</f>
        <v>279.39350157328471</v>
      </c>
      <c r="AO46" s="59">
        <f t="shared" si="36"/>
        <v>261.55559683031657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13.335230135003862</v>
      </c>
      <c r="AV46" s="21">
        <f>EXP(-LN(2)/25)*AV45+(1-EXP(-LN(2)/25))/(LN(2)/25)*Calculateur!AQ46*Calculateur!AS46*VLOOKUP('Données projet'!$B$10,Paramètres!$A$1:$I$89,3,0)*0.475*44/12</f>
        <v>32.680777491230955</v>
      </c>
      <c r="AW46" s="21">
        <f>EXP(-LN(2)/2)*AW45+(1-EXP(-LN(2)/2))/(LN(2)/2)*AQ46*AT46*VLOOKUP('Données projet'!$B$10,Paramètres!$A$1:$I$89,3,0)*0.475*44/12</f>
        <v>11.713005111293892</v>
      </c>
      <c r="AX46" s="21">
        <f t="shared" si="6"/>
        <v>57.729012737528706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19.142857142857142</v>
      </c>
      <c r="BD46" s="12">
        <f>IF('Données projet'!$A$88&gt;35,BD45+BC46-BL45,IF(A46&lt;'Données projet'!$A$88,$BA$205^A46,IF(A46='Données projet'!$A$88,'Données projet'!$B$88,BD45+BC46-BL45)))</f>
        <v>408.57142857142884</v>
      </c>
      <c r="BE46" s="13">
        <f>BD46*VLOOKUP('Données projet'!$B$11,Paramètres!$A$1:$I$89,3,0)*VLOOKUP('Données projet'!$B$11,Paramètres!$A$1:$I$89,5,0)</f>
        <v>228.39142857142872</v>
      </c>
      <c r="BF46" s="13">
        <f t="shared" si="37"/>
        <v>55.934728837678989</v>
      </c>
      <c r="BG46" s="20">
        <f t="shared" si="7"/>
        <v>495.20139082086257</v>
      </c>
      <c r="BH46" s="59">
        <f t="shared" si="8"/>
        <v>788.53472415419583</v>
      </c>
      <c r="BI46" s="59">
        <f ca="1">AVERAGE(OFFSET($BH$3,0,0,'Données projet'!$E$11+1,1))-AVERAGE(OFFSET($H$3,0,0,'Données projet'!$E$11+1,1))</f>
        <v>342.37397177572871</v>
      </c>
      <c r="BJ46" s="59">
        <f t="shared" si="38"/>
        <v>331.32436050472762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2.9766413950414785</v>
      </c>
      <c r="BQ46" s="21">
        <f>EXP(-LN(2)/25)*BQ45+(1-EXP(-LN(2)/25))/(LN(2)/25)*Calculateur!BL46*Calculateur!BN46*VLOOKUP('Données projet'!$B$11,Paramètres!$A$1:$I$89,3,0)*0.475*44/12</f>
        <v>29.45374657631902</v>
      </c>
      <c r="BR46" s="21">
        <f>EXP(-LN(2)/2)*BR45+(1-EXP(-LN(2)/2))/(LN(2)/2)*BL46*BO46*VLOOKUP('Données projet'!$B$11,Paramètres!$A$1:$I$89,3,0)*0.475*44/12</f>
        <v>4.8002081493540061</v>
      </c>
      <c r="BS46" s="22">
        <f t="shared" si="9"/>
        <v>37.230596120714502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176.94144000000003</v>
      </c>
      <c r="CA46" s="13">
        <f t="shared" si="39"/>
        <v>44.641035679901449</v>
      </c>
      <c r="CB46" s="20">
        <f t="shared" si="10"/>
        <v>385.92281180916171</v>
      </c>
      <c r="CC46" s="59">
        <f t="shared" si="11"/>
        <v>679.25614514249503</v>
      </c>
      <c r="CD46" s="59">
        <f ca="1">AVERAGE(OFFSET($CC$3,0,0,'Données projet'!$E$12+1,1))-AVERAGE(OFFSET($H$3,0,0,'Données projet'!$E$12+1,1))</f>
        <v>353.37479213497227</v>
      </c>
      <c r="CE46" s="59">
        <f t="shared" si="40"/>
        <v>345.4750813433123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24.407902712197547</v>
      </c>
      <c r="CL46" s="21">
        <f>EXP(-LN(2)/25)*CL45+(1-EXP(-LN(2)/25))/(LN(2)/25)*Calculateur!CG46*Calculateur!CI46*VLOOKUP('Données projet'!$B$12,Paramètres!$A$1:$I$89,3,0)*0.475*44/12</f>
        <v>3.3354693709643102</v>
      </c>
      <c r="CM46" s="21">
        <f>EXP(-LN(2)/2)*CM45+(1-EXP(-LN(2)/2))/(LN(2)/2)*CG46*CJ46*VLOOKUP('Données projet'!$B$12,Paramètres!$A$1:$I$89,3,0)*0.475*44/12</f>
        <v>0.79538677118646817</v>
      </c>
      <c r="CN46" s="22">
        <f t="shared" si="12"/>
        <v>28.538758854348327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277.99999999999994</v>
      </c>
      <c r="O47" s="13">
        <f>N47*VLOOKUP('Données projet'!$B$9,Paramètres!$A$1:$I$89,3,0)*VLOOKUP('Données projet'!$B$9,Paramètres!$A$1:$I$89,5,0)</f>
        <v>173.47199999999998</v>
      </c>
      <c r="P47" s="13">
        <f t="shared" si="33"/>
        <v>43.866718728383574</v>
      </c>
      <c r="Q47" s="20">
        <f t="shared" si="53"/>
        <v>378.53160178526804</v>
      </c>
      <c r="R47" s="59">
        <f t="shared" si="0"/>
        <v>671.86493511860135</v>
      </c>
      <c r="S47" s="59">
        <f ca="1">AVERAGE(OFFSET($R$3,0,0,'Données projet'!$E$9+1,1))-AVERAGE(OFFSET($H$3,0,0,'Données projet'!$E$9+1,1))</f>
        <v>232.56424130731699</v>
      </c>
      <c r="T47" s="59">
        <f t="shared" si="34"/>
        <v>384.58890620364178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24.106335647999838</v>
      </c>
      <c r="AA47" s="21">
        <f>EXP(-LN(2)/25)*AA46+(1-EXP(-LN(2)/25))/(LN(2)/25)*Calculateur!V47*Calculateur!X47*VLOOKUP('Données projet'!$B$9,Paramètres!$A$1:$I$89,3,0)*0.475*44/12</f>
        <v>54.189714193086417</v>
      </c>
      <c r="AB47" s="21">
        <f>EXP(-LN(2)/2)*AB46+(1-EXP(-LN(2)/2))/(LN(2)/2)*V47*Y47*VLOOKUP('Données projet'!$B$9,Paramètres!$A$1:$I$89,3,0)*0.475*44/12</f>
        <v>0.77220492858367595</v>
      </c>
      <c r="AC47" s="22">
        <f t="shared" si="3"/>
        <v>79.068254769669934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16.899999999999999</v>
      </c>
      <c r="AI47" s="13">
        <f>IF('Données projet'!$A$62&gt;35,AI46+AH47-AQ46,IF(A47&lt;'Données projet'!$A$62,$AF$205^A47,IF(A47='Données projet'!$A$62,'Données projet'!$B$62,AI46+AH47-AQ46)))</f>
        <v>272.79999999999995</v>
      </c>
      <c r="AJ47" s="13">
        <f>AI47*VLOOKUP('Données projet'!$B$10,Paramètres!$A$1:$I$89,3,0)*VLOOKUP('Données projet'!$B$10,Paramètres!$A$1:$I$89,5,0)</f>
        <v>163.1344</v>
      </c>
      <c r="AK47" s="13">
        <f t="shared" si="35"/>
        <v>41.54868784542596</v>
      </c>
      <c r="AL47" s="20">
        <f t="shared" si="4"/>
        <v>356.48971133078356</v>
      </c>
      <c r="AM47" s="59">
        <f t="shared" si="5"/>
        <v>649.82304466411688</v>
      </c>
      <c r="AN47" s="59">
        <f ca="1">AVERAGE(OFFSET($AM$3,0,0,'Données projet'!$E$10+1,1))-AVERAGE(OFFSET($H$3,0,0,'Données projet'!$E$10+1,1))</f>
        <v>279.39350157328471</v>
      </c>
      <c r="AO47" s="59">
        <f t="shared" si="36"/>
        <v>261.55559683031657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13.073734405743684</v>
      </c>
      <c r="AV47" s="21">
        <f>EXP(-LN(2)/25)*AV46+(1-EXP(-LN(2)/25))/(LN(2)/25)*Calculateur!AQ47*Calculateur!AS47*VLOOKUP('Données projet'!$B$10,Paramètres!$A$1:$I$89,3,0)*0.475*44/12</f>
        <v>31.787119912125849</v>
      </c>
      <c r="AW47" s="21">
        <f>EXP(-LN(2)/2)*AW46+(1-EXP(-LN(2)/2))/(LN(2)/2)*AQ47*AT47*VLOOKUP('Données projet'!$B$10,Paramètres!$A$1:$I$89,3,0)*0.475*44/12</f>
        <v>8.282345342268604</v>
      </c>
      <c r="AX47" s="21">
        <f t="shared" si="6"/>
        <v>53.143199660138137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19.142857142857142</v>
      </c>
      <c r="BD47" s="12">
        <f>IF('Données projet'!$A$88&gt;35,BD46+BC47-BL46,IF(A47&lt;'Données projet'!$A$88,$BA$205^A47,IF(A47='Données projet'!$A$88,'Données projet'!$B$88,BD46+BC47-BL46)))</f>
        <v>427.71428571428601</v>
      </c>
      <c r="BE47" s="13">
        <f>BD47*VLOOKUP('Données projet'!$B$11,Paramètres!$A$1:$I$89,3,0)*VLOOKUP('Données projet'!$B$11,Paramètres!$A$1:$I$89,5,0)</f>
        <v>239.09228571428588</v>
      </c>
      <c r="BF47" s="13">
        <f t="shared" si="37"/>
        <v>58.24418828179526</v>
      </c>
      <c r="BG47" s="20">
        <f t="shared" si="7"/>
        <v>517.86102554317472</v>
      </c>
      <c r="BH47" s="59">
        <f t="shared" si="8"/>
        <v>811.19435887650798</v>
      </c>
      <c r="BI47" s="59">
        <f ca="1">AVERAGE(OFFSET($BH$3,0,0,'Données projet'!$E$11+1,1))-AVERAGE(OFFSET($H$3,0,0,'Données projet'!$E$11+1,1))</f>
        <v>342.37397177572871</v>
      </c>
      <c r="BJ47" s="59">
        <f t="shared" si="38"/>
        <v>331.32436050472762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2.9182712728566931</v>
      </c>
      <c r="BQ47" s="21">
        <f>EXP(-LN(2)/25)*BQ46+(1-EXP(-LN(2)/25))/(LN(2)/25)*Calculateur!BL47*Calculateur!BN47*VLOOKUP('Données projet'!$B$11,Paramètres!$A$1:$I$89,3,0)*0.475*44/12</f>
        <v>28.648332327284361</v>
      </c>
      <c r="BR47" s="21">
        <f>EXP(-LN(2)/2)*BR46+(1-EXP(-LN(2)/2))/(LN(2)/2)*BL47*BO47*VLOOKUP('Données projet'!$B$11,Paramètres!$A$1:$I$89,3,0)*0.475*44/12</f>
        <v>3.3942597335151454</v>
      </c>
      <c r="BS47" s="22">
        <f t="shared" si="9"/>
        <v>34.960863333656199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184.73832000000004</v>
      </c>
      <c r="CA47" s="13">
        <f t="shared" si="39"/>
        <v>46.374775595471988</v>
      </c>
      <c r="CB47" s="20">
        <f t="shared" si="10"/>
        <v>402.52197482878046</v>
      </c>
      <c r="CC47" s="59">
        <f t="shared" si="11"/>
        <v>695.85530816211372</v>
      </c>
      <c r="CD47" s="59">
        <f ca="1">AVERAGE(OFFSET($CC$3,0,0,'Données projet'!$E$12+1,1))-AVERAGE(OFFSET($H$3,0,0,'Données projet'!$E$12+1,1))</f>
        <v>353.37479213497227</v>
      </c>
      <c r="CE47" s="59">
        <f t="shared" si="40"/>
        <v>345.4750813433123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23.929278627362002</v>
      </c>
      <c r="CL47" s="21">
        <f>EXP(-LN(2)/25)*CL46+(1-EXP(-LN(2)/25))/(LN(2)/25)*Calculateur!CG47*Calculateur!CI47*VLOOKUP('Données projet'!$B$12,Paramètres!$A$1:$I$89,3,0)*0.475*44/12</f>
        <v>3.2442607856105803</v>
      </c>
      <c r="CM47" s="21">
        <f>EXP(-LN(2)/2)*CM46+(1-EXP(-LN(2)/2))/(LN(2)/2)*CG47*CJ47*VLOOKUP('Données projet'!$B$12,Paramètres!$A$1:$I$89,3,0)*0.475*44/12</f>
        <v>0.56242337957202448</v>
      </c>
      <c r="CN47" s="22">
        <f t="shared" si="12"/>
        <v>27.735962792544608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277.99999999999994</v>
      </c>
      <c r="O48" s="13">
        <f>N48*VLOOKUP('Données projet'!$B$9,Paramètres!$A$1:$I$89,3,0)*VLOOKUP('Données projet'!$B$9,Paramètres!$A$1:$I$89,5,0)</f>
        <v>173.47199999999998</v>
      </c>
      <c r="P48" s="13">
        <f t="shared" si="33"/>
        <v>43.866718728383574</v>
      </c>
      <c r="Q48" s="20">
        <f t="shared" si="53"/>
        <v>378.53160178526804</v>
      </c>
      <c r="R48" s="59">
        <f t="shared" si="0"/>
        <v>671.86493511860135</v>
      </c>
      <c r="S48" s="59">
        <f ca="1">AVERAGE(OFFSET($R$3,0,0,'Données projet'!$E$9+1,1))-AVERAGE(OFFSET($H$3,0,0,'Données projet'!$E$9+1,1))</f>
        <v>232.56424130731699</v>
      </c>
      <c r="T48" s="59">
        <f t="shared" si="34"/>
        <v>384.58890620364178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23.633625109355464</v>
      </c>
      <c r="AA48" s="21">
        <f>EXP(-LN(2)/25)*AA47+(1-EXP(-LN(2)/25))/(LN(2)/25)*Calculateur!V48*Calculateur!X48*VLOOKUP('Données projet'!$B$9,Paramètres!$A$1:$I$89,3,0)*0.475*44/12</f>
        <v>52.70789360876325</v>
      </c>
      <c r="AB48" s="21">
        <f>EXP(-LN(2)/2)*AB47+(1-EXP(-LN(2)/2))/(LN(2)/2)*V48*Y48*VLOOKUP('Données projet'!$B$9,Paramètres!$A$1:$I$89,3,0)*0.475*44/12</f>
        <v>0.5460313414671909</v>
      </c>
      <c r="AC48" s="22">
        <f t="shared" si="3"/>
        <v>76.887550059585905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16.899999999999999</v>
      </c>
      <c r="AI48" s="13">
        <f>IF('Données projet'!$A$62&gt;35,AI47+AH48-AQ47,IF(A48&lt;'Données projet'!$A$62,$AF$205^A48,IF(A48='Données projet'!$A$62,'Données projet'!$B$62,AI47+AH48-AQ47)))</f>
        <v>289.69999999999993</v>
      </c>
      <c r="AJ48" s="13">
        <f>AI48*VLOOKUP('Données projet'!$B$10,Paramètres!$A$1:$I$89,3,0)*VLOOKUP('Données projet'!$B$10,Paramètres!$A$1:$I$89,5,0)</f>
        <v>173.24059999999997</v>
      </c>
      <c r="AK48" s="13">
        <f t="shared" si="35"/>
        <v>43.815010631001542</v>
      </c>
      <c r="AL48" s="20">
        <f t="shared" si="4"/>
        <v>378.03852184899432</v>
      </c>
      <c r="AM48" s="59">
        <f t="shared" si="5"/>
        <v>671.37185518232764</v>
      </c>
      <c r="AN48" s="59">
        <f ca="1">AVERAGE(OFFSET($AM$3,0,0,'Données projet'!$E$10+1,1))-AVERAGE(OFFSET($H$3,0,0,'Données projet'!$E$10+1,1))</f>
        <v>279.39350157328471</v>
      </c>
      <c r="AO48" s="59">
        <f t="shared" si="36"/>
        <v>261.55559683031657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12.817366448237651</v>
      </c>
      <c r="AV48" s="21">
        <f>EXP(-LN(2)/25)*AV47+(1-EXP(-LN(2)/25))/(LN(2)/25)*Calculateur!AQ48*Calculateur!AS48*VLOOKUP('Données projet'!$B$10,Paramètres!$A$1:$I$89,3,0)*0.475*44/12</f>
        <v>30.917899446516781</v>
      </c>
      <c r="AW48" s="21">
        <f>EXP(-LN(2)/2)*AW47+(1-EXP(-LN(2)/2))/(LN(2)/2)*AQ48*AT48*VLOOKUP('Données projet'!$B$10,Paramètres!$A$1:$I$89,3,0)*0.475*44/12</f>
        <v>5.856502555646947</v>
      </c>
      <c r="AX48" s="21">
        <f t="shared" si="6"/>
        <v>49.591768450401382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19.142857142857142</v>
      </c>
      <c r="BD48" s="12">
        <f>IF('Données projet'!$A$88&gt;35,BD47+BC48-BL47,IF(A48&lt;'Données projet'!$A$88,$BA$205^A48,IF(A48='Données projet'!$A$88,'Données projet'!$B$88,BD47+BC48-BL47)))</f>
        <v>446.85714285714317</v>
      </c>
      <c r="BE48" s="13">
        <f>BD48*VLOOKUP('Données projet'!$B$11,Paramètres!$A$1:$I$89,3,0)*VLOOKUP('Données projet'!$B$11,Paramètres!$A$1:$I$89,5,0)</f>
        <v>249.79314285714304</v>
      </c>
      <c r="BF48" s="13">
        <f t="shared" si="37"/>
        <v>60.54164337477782</v>
      </c>
      <c r="BG48" s="20">
        <f t="shared" si="7"/>
        <v>540.49975268726223</v>
      </c>
      <c r="BH48" s="59">
        <f t="shared" si="8"/>
        <v>833.8330860205956</v>
      </c>
      <c r="BI48" s="59">
        <f ca="1">AVERAGE(OFFSET($BH$3,0,0,'Données projet'!$E$11+1,1))-AVERAGE(OFFSET($H$3,0,0,'Données projet'!$E$11+1,1))</f>
        <v>342.37397177572871</v>
      </c>
      <c r="BJ48" s="59">
        <f t="shared" si="38"/>
        <v>331.32436050472762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2.8610457531656923</v>
      </c>
      <c r="BQ48" s="21">
        <f>EXP(-LN(2)/25)*BQ47+(1-EXP(-LN(2)/25))/(LN(2)/25)*Calculateur!BL48*Calculateur!BN48*VLOOKUP('Données projet'!$B$11,Paramètres!$A$1:$I$89,3,0)*0.475*44/12</f>
        <v>27.864942173244451</v>
      </c>
      <c r="BR48" s="21">
        <f>EXP(-LN(2)/2)*BR47+(1-EXP(-LN(2)/2))/(LN(2)/2)*BL48*BO48*VLOOKUP('Données projet'!$B$11,Paramètres!$A$1:$I$89,3,0)*0.475*44/12</f>
        <v>2.400104074677003</v>
      </c>
      <c r="BS48" s="22">
        <f t="shared" si="9"/>
        <v>33.126092001087144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192.53520000000006</v>
      </c>
      <c r="CA48" s="13">
        <f t="shared" si="39"/>
        <v>48.100016456123079</v>
      </c>
      <c r="CB48" s="20">
        <f t="shared" si="10"/>
        <v>419.10633532774779</v>
      </c>
      <c r="CC48" s="59">
        <f t="shared" si="11"/>
        <v>712.4396686610811</v>
      </c>
      <c r="CD48" s="59">
        <f ca="1">AVERAGE(OFFSET($CC$3,0,0,'Données projet'!$E$12+1,1))-AVERAGE(OFFSET($H$3,0,0,'Données projet'!$E$12+1,1))</f>
        <v>353.37479213497227</v>
      </c>
      <c r="CE48" s="59">
        <f t="shared" si="40"/>
        <v>345.4750813433123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0.318</v>
      </c>
      <c r="CI48" s="16">
        <f>IF(ISNA(VLOOKUP(A48,'Données projet'!$A$113:$I$133,6,0)),0%,VLOOKUP(A48,'Données projet'!$A$113:$I$133,6,0)*VLOOKUP('Données projet'!$B$12,Paramètres!$A$1:$I$89,7,0))</f>
        <v>2.12E-2</v>
      </c>
      <c r="CJ48" s="16">
        <f>IF(ISNA(VLOOKUP(A48,'Données projet'!$A$113:$I$133,7,0)),0%,VLOOKUP(A48,'Données projet'!$A$113:$I$133,7,0))</f>
        <v>0.06</v>
      </c>
      <c r="CK48" s="21">
        <f>EXP(-LN(2)/35)*CK47+(1-EXP(-LN(2)/35))/(LN(2)/35)*CG48*CH48*VLOOKUP('Données projet'!$B$12,Paramètres!$A$1:$I$89,3,0)*0.475*44/12</f>
        <v>30.17247743845358</v>
      </c>
      <c r="CL48" s="21">
        <f>EXP(-LN(2)/25)*CL47+(1-EXP(-LN(2)/25))/(LN(2)/25)*Calculateur!CG48*Calculateur!CI48*VLOOKUP('Données projet'!$B$12,Paramètres!$A$1:$I$89,3,0)*0.475*44/12</f>
        <v>3.6012801668859504</v>
      </c>
      <c r="CM48" s="21">
        <f>EXP(-LN(2)/2)*CM47+(1-EXP(-LN(2)/2))/(LN(2)/2)*CG48*CJ48*VLOOKUP('Données projet'!$B$12,Paramètres!$A$1:$I$89,3,0)*0.475*44/12</f>
        <v>1.4786582046877013</v>
      </c>
      <c r="CN48" s="22">
        <f t="shared" si="12"/>
        <v>35.252415810027237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277.99999999999994</v>
      </c>
      <c r="O49" s="13">
        <f>N49*VLOOKUP('Données projet'!$B$9,Paramètres!$A$1:$I$89,3,0)*VLOOKUP('Données projet'!$B$9,Paramètres!$A$1:$I$89,5,0)</f>
        <v>173.47199999999998</v>
      </c>
      <c r="P49" s="13">
        <f t="shared" si="33"/>
        <v>43.866718728383574</v>
      </c>
      <c r="Q49" s="20">
        <f t="shared" si="53"/>
        <v>378.53160178526804</v>
      </c>
      <c r="R49" s="59">
        <f t="shared" si="0"/>
        <v>671.86493511860135</v>
      </c>
      <c r="S49" s="59">
        <f ca="1">AVERAGE(OFFSET($R$3,0,0,'Données projet'!$E$9+1,1))-AVERAGE(OFFSET($H$3,0,0,'Données projet'!$E$9+1,1))</f>
        <v>232.56424130731699</v>
      </c>
      <c r="T49" s="59">
        <f t="shared" si="34"/>
        <v>384.58890620364178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23.170184136048949</v>
      </c>
      <c r="AA49" s="21">
        <f>EXP(-LN(2)/25)*AA48+(1-EXP(-LN(2)/25))/(LN(2)/25)*Calculateur!V49*Calculateur!X49*VLOOKUP('Données projet'!$B$9,Paramètres!$A$1:$I$89,3,0)*0.475*44/12</f>
        <v>51.266593486243963</v>
      </c>
      <c r="AB49" s="21">
        <f>EXP(-LN(2)/2)*AB48+(1-EXP(-LN(2)/2))/(LN(2)/2)*V49*Y49*VLOOKUP('Données projet'!$B$9,Paramètres!$A$1:$I$89,3,0)*0.475*44/12</f>
        <v>0.38610246429183798</v>
      </c>
      <c r="AC49" s="22">
        <f t="shared" si="3"/>
        <v>74.822880086584746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16.899999999999999</v>
      </c>
      <c r="AI49" s="13">
        <f>IF('Données projet'!$A$62&gt;35,AI48+AH49-AQ48,IF(A49&lt;'Données projet'!$A$62,$AF$205^A49,IF(A49='Données projet'!$A$62,'Données projet'!$B$62,AI48+AH49-AQ48)))</f>
        <v>306.59999999999991</v>
      </c>
      <c r="AJ49" s="13">
        <f>AI49*VLOOKUP('Données projet'!$B$10,Paramètres!$A$1:$I$89,3,0)*VLOOKUP('Données projet'!$B$10,Paramètres!$A$1:$I$89,5,0)</f>
        <v>183.34679999999997</v>
      </c>
      <c r="AK49" s="13">
        <f t="shared" si="35"/>
        <v>46.06598726946973</v>
      </c>
      <c r="AL49" s="20">
        <f t="shared" si="4"/>
        <v>399.56060449432636</v>
      </c>
      <c r="AM49" s="59">
        <f t="shared" si="5"/>
        <v>692.89393782765967</v>
      </c>
      <c r="AN49" s="59">
        <f ca="1">AVERAGE(OFFSET($AM$3,0,0,'Données projet'!$E$10+1,1))-AVERAGE(OFFSET($H$3,0,0,'Données projet'!$E$10+1,1))</f>
        <v>279.39350157328471</v>
      </c>
      <c r="AO49" s="59">
        <f t="shared" si="36"/>
        <v>261.55559683031657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12.566025710009299</v>
      </c>
      <c r="AV49" s="21">
        <f>EXP(-LN(2)/25)*AV48+(1-EXP(-LN(2)/25))/(LN(2)/25)*Calculateur!AQ49*Calculateur!AS49*VLOOKUP('Données projet'!$B$10,Paramètres!$A$1:$I$89,3,0)*0.475*44/12</f>
        <v>30.072447860250112</v>
      </c>
      <c r="AW49" s="21">
        <f>EXP(-LN(2)/2)*AW48+(1-EXP(-LN(2)/2))/(LN(2)/2)*AQ49*AT49*VLOOKUP('Données projet'!$B$10,Paramètres!$A$1:$I$89,3,0)*0.475*44/12</f>
        <v>4.141172671134302</v>
      </c>
      <c r="AX49" s="21">
        <f t="shared" si="6"/>
        <v>46.779646241393706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466</v>
      </c>
      <c r="BB49" s="12">
        <f>VLOOKUP(A49,'Données projet'!$A$87:$I$107,9,0)</f>
        <v>19.142857142857142</v>
      </c>
      <c r="BC49" s="12">
        <f t="array" ref="BC49">INDEX(BB:BB,MIN(IF(ISNUMBER(BB49:BB245),ROW(BB49:BB245),"")))</f>
        <v>19.142857142857142</v>
      </c>
      <c r="BD49" s="12">
        <f>IF('Données projet'!$A$88&gt;35,BD48+BC49-BL48,IF(A49&lt;'Données projet'!$A$88,$BA$205^A49,IF(A49='Données projet'!$A$88,'Données projet'!$B$88,BD48+BC49-BL48)))</f>
        <v>466.00000000000034</v>
      </c>
      <c r="BE49" s="13">
        <f>BD49*VLOOKUP('Données projet'!$B$11,Paramètres!$A$1:$I$89,3,0)*VLOOKUP('Données projet'!$B$11,Paramètres!$A$1:$I$89,5,0)</f>
        <v>260.4940000000002</v>
      </c>
      <c r="BF49" s="13">
        <f t="shared" si="37"/>
        <v>62.827667157228902</v>
      </c>
      <c r="BG49" s="20">
        <f t="shared" si="7"/>
        <v>563.11857029884072</v>
      </c>
      <c r="BH49" s="59">
        <f t="shared" si="8"/>
        <v>856.45190363217398</v>
      </c>
      <c r="BI49" s="59">
        <f ca="1">AVERAGE(OFFSET($BH$3,0,0,'Données projet'!$E$11+1,1))-AVERAGE(OFFSET($H$3,0,0,'Données projet'!$E$11+1,1))</f>
        <v>342.37397177572871</v>
      </c>
      <c r="BJ49" s="59">
        <f t="shared" si="38"/>
        <v>331.32436050472762</v>
      </c>
      <c r="BK49" s="15">
        <f>IF(ISNA(VLOOKUP(A49,'Données projet'!$A$87:$I$107,3,0)),0,VLOOKUP(A49,'Données projet'!$A$87:$I$107,3,0))</f>
        <v>3</v>
      </c>
      <c r="BL49" s="15">
        <f>IF(ISNA(VLOOKUP(A49,'Données projet'!$A$87:$I$107,4,0)),0,VLOOKUP(A49,'Données projet'!$A$87:$I$107,4,0))</f>
        <v>85</v>
      </c>
      <c r="BM49" s="16">
        <f>IF(ISNA(VLOOKUP(A49,'Données projet'!$A$87:$I$107,5,0)),0%,VLOOKUP(A49,'Données projet'!$A$87:$I$107,5,0)*VLOOKUP('Données projet'!$B$11,Paramètres!$A$1:$I$89,7,0))</f>
        <v>0.11000000000000001</v>
      </c>
      <c r="BN49" s="16">
        <f>IF(ISNA(VLOOKUP(A49,'Données projet'!$A$87:$I$107,6,0)),0%,VLOOKUP(A49,'Données projet'!$A$87:$I$107,6,0)*VLOOKUP('Données projet'!$B$11,Paramètres!$A$1:$I$89,7,0))</f>
        <v>0.27500000000000002</v>
      </c>
      <c r="BO49" s="16">
        <f>IF(ISNA(VLOOKUP(A49,'Données projet'!$A$87:$I$107,7,0)),0%,VLOOKUP(A49,'Données projet'!$A$87:$I$107,7,0))</f>
        <v>0.3</v>
      </c>
      <c r="BP49" s="21">
        <f>EXP(-LN(2)/35)*BP48+(1-EXP(-LN(2)/35))/(LN(2)/35)*BL49*BM49*VLOOKUP('Données projet'!$B$11,Paramètres!$A$1:$I$89,3,0)*0.475*44/12</f>
        <v>9.7384305020347846</v>
      </c>
      <c r="BQ49" s="21">
        <f>EXP(-LN(2)/25)*BQ48+(1-EXP(-LN(2)/25))/(LN(2)/25)*Calculateur!BL49*Calculateur!BN49*VLOOKUP('Données projet'!$B$11,Paramètres!$A$1:$I$89,3,0)*0.475*44/12</f>
        <v>44.368444680323179</v>
      </c>
      <c r="BR49" s="21">
        <f>EXP(-LN(2)/2)*BR48+(1-EXP(-LN(2)/2))/(LN(2)/2)*BL49*BO49*VLOOKUP('Données projet'!$B$11,Paramètres!$A$1:$I$89,3,0)*0.475*44/12</f>
        <v>17.83653515184858</v>
      </c>
      <c r="BS49" s="22">
        <f t="shared" si="9"/>
        <v>71.943410334206547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180.28296000000006</v>
      </c>
      <c r="CA49" s="13">
        <f t="shared" si="39"/>
        <v>45.385133797071397</v>
      </c>
      <c r="CB49" s="20">
        <f t="shared" si="10"/>
        <v>393.03859669656612</v>
      </c>
      <c r="CC49" s="59">
        <f t="shared" si="11"/>
        <v>686.37193002989943</v>
      </c>
      <c r="CD49" s="59">
        <f ca="1">AVERAGE(OFFSET($CC$3,0,0,'Données projet'!$E$12+1,1))-AVERAGE(OFFSET($H$3,0,0,'Données projet'!$E$12+1,1))</f>
        <v>353.37479213497227</v>
      </c>
      <c r="CE49" s="59">
        <f t="shared" si="40"/>
        <v>345.4750813433123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29.580813559279559</v>
      </c>
      <c r="CL49" s="21">
        <f>EXP(-LN(2)/25)*CL48+(1-EXP(-LN(2)/25))/(LN(2)/25)*Calculateur!CG49*Calculateur!CI49*VLOOKUP('Données projet'!$B$12,Paramètres!$A$1:$I$89,3,0)*0.475*44/12</f>
        <v>3.5028029713393609</v>
      </c>
      <c r="CM49" s="21">
        <f>EXP(-LN(2)/2)*CM48+(1-EXP(-LN(2)/2))/(LN(2)/2)*CG49*CJ49*VLOOKUP('Données projet'!$B$12,Paramètres!$A$1:$I$89,3,0)*0.475*44/12</f>
        <v>1.0455692435917996</v>
      </c>
      <c r="CN49" s="22">
        <f t="shared" si="12"/>
        <v>34.129185774210718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277.99999999999994</v>
      </c>
      <c r="O50" s="13">
        <f>N50*VLOOKUP('Données projet'!$B$9,Paramètres!$A$1:$I$89,3,0)*VLOOKUP('Données projet'!$B$9,Paramètres!$A$1:$I$89,5,0)</f>
        <v>173.47199999999998</v>
      </c>
      <c r="P50" s="13">
        <f t="shared" si="33"/>
        <v>43.866718728383574</v>
      </c>
      <c r="Q50" s="20">
        <f t="shared" si="53"/>
        <v>378.53160178526804</v>
      </c>
      <c r="R50" s="59">
        <f t="shared" si="0"/>
        <v>671.86493511860135</v>
      </c>
      <c r="S50" s="59">
        <f ca="1">AVERAGE(OFFSET($R$3,0,0,'Données projet'!$E$9+1,1))-AVERAGE(OFFSET($H$3,0,0,'Données projet'!$E$9+1,1))</f>
        <v>232.56424130731699</v>
      </c>
      <c r="T50" s="59">
        <f t="shared" si="34"/>
        <v>384.58890620364178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22.715830957557891</v>
      </c>
      <c r="AA50" s="21">
        <f>EXP(-LN(2)/25)*AA49+(1-EXP(-LN(2)/25))/(LN(2)/25)*Calculateur!V50*Calculateur!X50*VLOOKUP('Données projet'!$B$9,Paramètres!$A$1:$I$89,3,0)*0.475*44/12</f>
        <v>49.864705791369644</v>
      </c>
      <c r="AB50" s="21">
        <f>EXP(-LN(2)/2)*AB49+(1-EXP(-LN(2)/2))/(LN(2)/2)*V50*Y50*VLOOKUP('Données projet'!$B$9,Paramètres!$A$1:$I$89,3,0)*0.475*44/12</f>
        <v>0.27301567073359545</v>
      </c>
      <c r="AC50" s="22">
        <f t="shared" si="3"/>
        <v>72.853552419661128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16.899999999999999</v>
      </c>
      <c r="AI50" s="13">
        <f>IF('Données projet'!$A$62&gt;35,AI49+AH50-AQ49,IF(A50&lt;'Données projet'!$A$62,$AF$205^A50,IF(A50='Données projet'!$A$62,'Données projet'!$B$62,AI49+AH50-AQ49)))</f>
        <v>323.49999999999989</v>
      </c>
      <c r="AJ50" s="13">
        <f>AI50*VLOOKUP('Données projet'!$B$10,Paramètres!$A$1:$I$89,3,0)*VLOOKUP('Données projet'!$B$10,Paramètres!$A$1:$I$89,5,0)</f>
        <v>193.45299999999995</v>
      </c>
      <c r="AK50" s="13">
        <f t="shared" si="35"/>
        <v>48.302560069363921</v>
      </c>
      <c r="AL50" s="20">
        <f t="shared" si="4"/>
        <v>421.057600454142</v>
      </c>
      <c r="AM50" s="59">
        <f t="shared" si="5"/>
        <v>714.39093378747532</v>
      </c>
      <c r="AN50" s="59">
        <f ca="1">AVERAGE(OFFSET($AM$3,0,0,'Données projet'!$E$10+1,1))-AVERAGE(OFFSET($H$3,0,0,'Données projet'!$E$10+1,1))</f>
        <v>279.39350157328471</v>
      </c>
      <c r="AO50" s="59">
        <f t="shared" si="36"/>
        <v>261.55559683031657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12.319613610354892</v>
      </c>
      <c r="AV50" s="21">
        <f>EXP(-LN(2)/25)*AV49+(1-EXP(-LN(2)/25))/(LN(2)/25)*Calculateur!AQ50*Calculateur!AS50*VLOOKUP('Données projet'!$B$10,Paramètres!$A$1:$I$89,3,0)*0.475*44/12</f>
        <v>29.250115192070272</v>
      </c>
      <c r="AW50" s="21">
        <f>EXP(-LN(2)/2)*AW49+(1-EXP(-LN(2)/2))/(LN(2)/2)*AQ50*AT50*VLOOKUP('Données projet'!$B$10,Paramètres!$A$1:$I$89,3,0)*0.475*44/12</f>
        <v>2.9282512778234735</v>
      </c>
      <c r="AX50" s="21">
        <f t="shared" si="6"/>
        <v>44.497980080248631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</v>
      </c>
      <c r="BD50" s="12">
        <f>IF('Données projet'!$A$88&gt;35,BD49+BC50-BL49,IF(A50&lt;'Données projet'!$A$88,$BA$205^A50,IF(A50='Données projet'!$A$88,'Données projet'!$B$88,BD49+BC50-BL49)))</f>
        <v>399.00000000000034</v>
      </c>
      <c r="BE50" s="13">
        <f>BD50*VLOOKUP('Données projet'!$B$11,Paramètres!$A$1:$I$89,3,0)*VLOOKUP('Données projet'!$B$11,Paramètres!$A$1:$I$89,5,0)</f>
        <v>223.0410000000002</v>
      </c>
      <c r="BF50" s="13">
        <f t="shared" si="37"/>
        <v>54.775303040983275</v>
      </c>
      <c r="BG50" s="20">
        <f t="shared" si="7"/>
        <v>483.86339446304623</v>
      </c>
      <c r="BH50" s="59">
        <f t="shared" si="8"/>
        <v>777.19672779637949</v>
      </c>
      <c r="BI50" s="59">
        <f ca="1">AVERAGE(OFFSET($BH$3,0,0,'Données projet'!$E$11+1,1))-AVERAGE(OFFSET($H$3,0,0,'Données projet'!$E$11+1,1))</f>
        <v>342.37397177572871</v>
      </c>
      <c r="BJ50" s="59">
        <f t="shared" si="38"/>
        <v>331.32436050472762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9.5474658197459767</v>
      </c>
      <c r="BQ50" s="21">
        <f>EXP(-LN(2)/25)*BQ49+(1-EXP(-LN(2)/25))/(LN(2)/25)*Calculateur!BL50*Calculateur!BN50*VLOOKUP('Données projet'!$B$11,Paramètres!$A$1:$I$89,3,0)*0.475*44/12</f>
        <v>43.155187227304644</v>
      </c>
      <c r="BR50" s="21">
        <f>EXP(-LN(2)/2)*BR49+(1-EXP(-LN(2)/2))/(LN(2)/2)*BL50*BO50*VLOOKUP('Données projet'!$B$11,Paramètres!$A$1:$I$89,3,0)*0.475*44/12</f>
        <v>12.612334958744357</v>
      </c>
      <c r="BS50" s="22">
        <f t="shared" si="9"/>
        <v>65.314988005794973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187.12512000000004</v>
      </c>
      <c r="CA50" s="13">
        <f t="shared" si="39"/>
        <v>46.903794805770545</v>
      </c>
      <c r="CB50" s="20">
        <f t="shared" si="10"/>
        <v>407.60035995338376</v>
      </c>
      <c r="CC50" s="59">
        <f t="shared" si="11"/>
        <v>700.93369328671702</v>
      </c>
      <c r="CD50" s="59">
        <f ca="1">AVERAGE(OFFSET($CC$3,0,0,'Données projet'!$E$12+1,1))-AVERAGE(OFFSET($H$3,0,0,'Données projet'!$E$12+1,1))</f>
        <v>353.37479213497227</v>
      </c>
      <c r="CE50" s="59">
        <f t="shared" si="40"/>
        <v>345.4750813433123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29.000751847896808</v>
      </c>
      <c r="CL50" s="21">
        <f>EXP(-LN(2)/25)*CL49+(1-EXP(-LN(2)/25))/(LN(2)/25)*Calculateur!CG50*Calculateur!CI50*VLOOKUP('Données projet'!$B$12,Paramètres!$A$1:$I$89,3,0)*0.475*44/12</f>
        <v>3.4070186398836837</v>
      </c>
      <c r="CM50" s="21">
        <f>EXP(-LN(2)/2)*CM49+(1-EXP(-LN(2)/2))/(LN(2)/2)*CG50*CJ50*VLOOKUP('Données projet'!$B$12,Paramètres!$A$1:$I$89,3,0)*0.475*44/12</f>
        <v>0.73932910234385074</v>
      </c>
      <c r="CN50" s="22">
        <f t="shared" si="12"/>
        <v>33.147099590124341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277.99999999999994</v>
      </c>
      <c r="O51" s="13">
        <f>N51*VLOOKUP('Données projet'!$B$9,Paramètres!$A$1:$I$89,3,0)*VLOOKUP('Données projet'!$B$9,Paramètres!$A$1:$I$89,5,0)</f>
        <v>173.47199999999998</v>
      </c>
      <c r="P51" s="13">
        <f t="shared" si="33"/>
        <v>43.866718728383574</v>
      </c>
      <c r="Q51" s="20">
        <f t="shared" si="53"/>
        <v>378.53160178526804</v>
      </c>
      <c r="R51" s="59">
        <f t="shared" si="0"/>
        <v>671.86493511860135</v>
      </c>
      <c r="S51" s="59">
        <f ca="1">AVERAGE(OFFSET($R$3,0,0,'Données projet'!$E$9+1,1))-AVERAGE(OFFSET($H$3,0,0,'Données projet'!$E$9+1,1))</f>
        <v>232.56424130731699</v>
      </c>
      <c r="T51" s="59">
        <f t="shared" si="34"/>
        <v>384.58890620364178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22.270387367768969</v>
      </c>
      <c r="AA51" s="21">
        <f>EXP(-LN(2)/25)*AA50+(1-EXP(-LN(2)/25))/(LN(2)/25)*Calculateur!V51*Calculateur!X51*VLOOKUP('Données projet'!$B$9,Paramètres!$A$1:$I$89,3,0)*0.475*44/12</f>
        <v>48.501152789233728</v>
      </c>
      <c r="AB51" s="21">
        <f>EXP(-LN(2)/2)*AB50+(1-EXP(-LN(2)/2))/(LN(2)/2)*V51*Y51*VLOOKUP('Données projet'!$B$9,Paramètres!$A$1:$I$89,3,0)*0.475*44/12</f>
        <v>0.19305123214591899</v>
      </c>
      <c r="AC51" s="22">
        <f t="shared" si="3"/>
        <v>70.964591389148623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16.899999999999999</v>
      </c>
      <c r="AI51" s="13">
        <f>IF('Données projet'!$A$62&gt;35,AI50+AH51-AQ50,IF(A51&lt;'Données projet'!$A$62,$AF$205^A51,IF(A51='Données projet'!$A$62,'Données projet'!$B$62,AI50+AH51-AQ50)))</f>
        <v>340.39999999999986</v>
      </c>
      <c r="AJ51" s="13">
        <f>AI51*VLOOKUP('Données projet'!$B$10,Paramètres!$A$1:$I$89,3,0)*VLOOKUP('Données projet'!$B$10,Paramètres!$A$1:$I$89,5,0)</f>
        <v>203.55919999999995</v>
      </c>
      <c r="AK51" s="13">
        <f t="shared" si="35"/>
        <v>50.525567323951307</v>
      </c>
      <c r="AL51" s="20">
        <f t="shared" si="4"/>
        <v>442.5309697558817</v>
      </c>
      <c r="AM51" s="59">
        <f t="shared" si="5"/>
        <v>735.86430308921501</v>
      </c>
      <c r="AN51" s="59">
        <f ca="1">AVERAGE(OFFSET($AM$3,0,0,'Données projet'!$E$10+1,1))-AVERAGE(OFFSET($H$3,0,0,'Données projet'!$E$10+1,1))</f>
        <v>279.39350157328471</v>
      </c>
      <c r="AO51" s="59">
        <f t="shared" si="36"/>
        <v>261.55559683031657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12.078033501678167</v>
      </c>
      <c r="AV51" s="21">
        <f>EXP(-LN(2)/25)*AV50+(1-EXP(-LN(2)/25))/(LN(2)/25)*Calculateur!AQ51*Calculateur!AS51*VLOOKUP('Données projet'!$B$10,Paramètres!$A$1:$I$89,3,0)*0.475*44/12</f>
        <v>28.450269253946406</v>
      </c>
      <c r="AW51" s="21">
        <f>EXP(-LN(2)/2)*AW50+(1-EXP(-LN(2)/2))/(LN(2)/2)*AQ51*AT51*VLOOKUP('Données projet'!$B$10,Paramètres!$A$1:$I$89,3,0)*0.475*44/12</f>
        <v>2.070586335567151</v>
      </c>
      <c r="AX51" s="21">
        <f t="shared" si="6"/>
        <v>42.598889091191722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</v>
      </c>
      <c r="BD51" s="12">
        <f>IF('Données projet'!$A$88&gt;35,BD50+BC51-BL50,IF(A51&lt;'Données projet'!$A$88,$BA$205^A51,IF(A51='Données projet'!$A$88,'Données projet'!$B$88,BD50+BC51-BL50)))</f>
        <v>417.00000000000034</v>
      </c>
      <c r="BE51" s="13">
        <f>BD51*VLOOKUP('Données projet'!$B$11,Paramètres!$A$1:$I$89,3,0)*VLOOKUP('Données projet'!$B$11,Paramètres!$A$1:$I$89,5,0)</f>
        <v>233.10300000000021</v>
      </c>
      <c r="BF51" s="13">
        <f t="shared" si="37"/>
        <v>56.95309848659312</v>
      </c>
      <c r="BG51" s="20">
        <f t="shared" si="7"/>
        <v>505.18103819748336</v>
      </c>
      <c r="BH51" s="59">
        <f t="shared" si="8"/>
        <v>798.51437153081667</v>
      </c>
      <c r="BI51" s="59">
        <f ca="1">AVERAGE(OFFSET($BH$3,0,0,'Données projet'!$E$11+1,1))-AVERAGE(OFFSET($H$3,0,0,'Données projet'!$E$11+1,1))</f>
        <v>342.37397177572871</v>
      </c>
      <c r="BJ51" s="59">
        <f t="shared" si="38"/>
        <v>331.32436050472762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9.3602458383998979</v>
      </c>
      <c r="BQ51" s="21">
        <f>EXP(-LN(2)/25)*BQ50+(1-EXP(-LN(2)/25))/(LN(2)/25)*Calculateur!BL51*Calculateur!BN51*VLOOKUP('Données projet'!$B$11,Paramètres!$A$1:$I$89,3,0)*0.475*44/12</f>
        <v>41.975106363141336</v>
      </c>
      <c r="BR51" s="21">
        <f>EXP(-LN(2)/2)*BR50+(1-EXP(-LN(2)/2))/(LN(2)/2)*BL51*BO51*VLOOKUP('Données projet'!$B$11,Paramètres!$A$1:$I$89,3,0)*0.475*44/12</f>
        <v>8.9182675759242915</v>
      </c>
      <c r="BS51" s="22">
        <f t="shared" si="9"/>
        <v>60.253619777465524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193.96728000000004</v>
      </c>
      <c r="CA51" s="13">
        <f t="shared" si="39"/>
        <v>48.41600442423902</v>
      </c>
      <c r="CB51" s="20">
        <f t="shared" si="10"/>
        <v>422.15088703888301</v>
      </c>
      <c r="CC51" s="59">
        <f t="shared" si="11"/>
        <v>715.48422037221633</v>
      </c>
      <c r="CD51" s="59">
        <f ca="1">AVERAGE(OFFSET($CC$3,0,0,'Données projet'!$E$12+1,1))-AVERAGE(OFFSET($H$3,0,0,'Données projet'!$E$12+1,1))</f>
        <v>353.37479213497227</v>
      </c>
      <c r="CE51" s="59">
        <f t="shared" si="40"/>
        <v>345.4750813433123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28.432064792871564</v>
      </c>
      <c r="CL51" s="21">
        <f>EXP(-LN(2)/25)*CL50+(1-EXP(-LN(2)/25))/(LN(2)/25)*Calculateur!CG51*Calculateur!CI51*VLOOKUP('Données projet'!$B$12,Paramètres!$A$1:$I$89,3,0)*0.475*44/12</f>
        <v>3.3138535360087409</v>
      </c>
      <c r="CM51" s="21">
        <f>EXP(-LN(2)/2)*CM50+(1-EXP(-LN(2)/2))/(LN(2)/2)*CG51*CJ51*VLOOKUP('Données projet'!$B$12,Paramètres!$A$1:$I$89,3,0)*0.475*44/12</f>
        <v>0.52278462179589991</v>
      </c>
      <c r="CN51" s="22">
        <f t="shared" si="12"/>
        <v>32.268702950676207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277.99999999999994</v>
      </c>
      <c r="O52" s="13">
        <f>N52*VLOOKUP('Données projet'!$B$9,Paramètres!$A$1:$I$89,3,0)*VLOOKUP('Données projet'!$B$9,Paramètres!$A$1:$I$89,5,0)</f>
        <v>173.47199999999998</v>
      </c>
      <c r="P52" s="13">
        <f t="shared" si="33"/>
        <v>43.866718728383574</v>
      </c>
      <c r="Q52" s="20">
        <f t="shared" si="53"/>
        <v>378.53160178526804</v>
      </c>
      <c r="R52" s="59">
        <f t="shared" si="0"/>
        <v>671.86493511860135</v>
      </c>
      <c r="S52" s="59">
        <f ca="1">AVERAGE(OFFSET($R$3,0,0,'Données projet'!$E$9+1,1))-AVERAGE(OFFSET($H$3,0,0,'Données projet'!$E$9+1,1))</f>
        <v>232.56424130731699</v>
      </c>
      <c r="T52" s="59">
        <f t="shared" si="34"/>
        <v>384.58890620364178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21.833678655082046</v>
      </c>
      <c r="AA52" s="21">
        <f>EXP(-LN(2)/25)*AA51+(1-EXP(-LN(2)/25))/(LN(2)/25)*Calculateur!V52*Calculateur!X52*VLOOKUP('Données projet'!$B$9,Paramètres!$A$1:$I$89,3,0)*0.475*44/12</f>
        <v>47.174886215647355</v>
      </c>
      <c r="AB52" s="21">
        <f>EXP(-LN(2)/2)*AB51+(1-EXP(-LN(2)/2))/(LN(2)/2)*V52*Y52*VLOOKUP('Données projet'!$B$9,Paramètres!$A$1:$I$89,3,0)*0.475*44/12</f>
        <v>0.13650783536679773</v>
      </c>
      <c r="AC52" s="22">
        <f t="shared" si="3"/>
        <v>69.145072706096201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16.899999999999999</v>
      </c>
      <c r="AI52" s="13">
        <f>IF('Données projet'!$A$62&gt;35,AI51+AH52-AQ51,IF(A52&lt;'Données projet'!$A$62,$AF$205^A52,IF(A52='Données projet'!$A$62,'Données projet'!$B$62,AI51+AH52-AQ51)))</f>
        <v>357.29999999999984</v>
      </c>
      <c r="AJ52" s="13">
        <f>AI52*VLOOKUP('Données projet'!$B$10,Paramètres!$A$1:$I$89,3,0)*VLOOKUP('Données projet'!$B$10,Paramètres!$A$1:$I$89,5,0)</f>
        <v>213.66539999999995</v>
      </c>
      <c r="AK52" s="13">
        <f t="shared" si="35"/>
        <v>52.73575938596224</v>
      </c>
      <c r="AL52" s="20">
        <f t="shared" si="4"/>
        <v>463.98201926388407</v>
      </c>
      <c r="AM52" s="59">
        <f t="shared" si="5"/>
        <v>757.31535259721738</v>
      </c>
      <c r="AN52" s="59">
        <f ca="1">AVERAGE(OFFSET($AM$3,0,0,'Données projet'!$E$10+1,1))-AVERAGE(OFFSET($H$3,0,0,'Données projet'!$E$10+1,1))</f>
        <v>279.39350157328471</v>
      </c>
      <c r="AO52" s="59">
        <f t="shared" si="36"/>
        <v>261.55559683031657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11.841190631583276</v>
      </c>
      <c r="AV52" s="21">
        <f>EXP(-LN(2)/25)*AV51+(1-EXP(-LN(2)/25))/(LN(2)/25)*Calculateur!AQ52*Calculateur!AS52*VLOOKUP('Données projet'!$B$10,Paramètres!$A$1:$I$89,3,0)*0.475*44/12</f>
        <v>27.672295145062606</v>
      </c>
      <c r="AW52" s="21">
        <f>EXP(-LN(2)/2)*AW51+(1-EXP(-LN(2)/2))/(LN(2)/2)*AQ52*AT52*VLOOKUP('Données projet'!$B$10,Paramètres!$A$1:$I$89,3,0)*0.475*44/12</f>
        <v>1.4641256389117367</v>
      </c>
      <c r="AX52" s="21">
        <f t="shared" si="6"/>
        <v>40.977611415557618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18</v>
      </c>
      <c r="BD52" s="12">
        <f>IF('Données projet'!$A$88&gt;35,BD51+BC52-BL51,IF(A52&lt;'Données projet'!$A$88,$BA$205^A52,IF(A52='Données projet'!$A$88,'Données projet'!$B$88,BD51+BC52-BL51)))</f>
        <v>435.00000000000034</v>
      </c>
      <c r="BE52" s="13">
        <f>BD52*VLOOKUP('Données projet'!$B$11,Paramètres!$A$1:$I$89,3,0)*VLOOKUP('Données projet'!$B$11,Paramètres!$A$1:$I$89,5,0)</f>
        <v>243.16500000000022</v>
      </c>
      <c r="BF52" s="13">
        <f t="shared" si="37"/>
        <v>59.119975548046668</v>
      </c>
      <c r="BG52" s="20">
        <f t="shared" si="7"/>
        <v>526.47966574618169</v>
      </c>
      <c r="BH52" s="59">
        <f t="shared" si="8"/>
        <v>819.81299907951507</v>
      </c>
      <c r="BI52" s="59">
        <f ca="1">AVERAGE(OFFSET($BH$3,0,0,'Données projet'!$E$11+1,1))-AVERAGE(OFFSET($H$3,0,0,'Données projet'!$E$11+1,1))</f>
        <v>342.37397177572871</v>
      </c>
      <c r="BJ52" s="59">
        <f t="shared" si="38"/>
        <v>331.32436050472762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9.1766971266951014</v>
      </c>
      <c r="BQ52" s="21">
        <f>EXP(-LN(2)/25)*BQ51+(1-EXP(-LN(2)/25))/(LN(2)/25)*Calculateur!BL52*Calculateur!BN52*VLOOKUP('Données projet'!$B$11,Paramètres!$A$1:$I$89,3,0)*0.475*44/12</f>
        <v>40.827294872266329</v>
      </c>
      <c r="BR52" s="21">
        <f>EXP(-LN(2)/2)*BR51+(1-EXP(-LN(2)/2))/(LN(2)/2)*BL52*BO52*VLOOKUP('Données projet'!$B$11,Paramètres!$A$1:$I$89,3,0)*0.475*44/12</f>
        <v>6.3061674793721805</v>
      </c>
      <c r="BS52" s="22">
        <f t="shared" si="9"/>
        <v>56.31015947833361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200.80944000000002</v>
      </c>
      <c r="CA52" s="13">
        <f t="shared" si="39"/>
        <v>49.922016299484312</v>
      </c>
      <c r="CB52" s="20">
        <f t="shared" si="10"/>
        <v>436.69061972160188</v>
      </c>
      <c r="CC52" s="59">
        <f t="shared" si="11"/>
        <v>730.02395305493519</v>
      </c>
      <c r="CD52" s="59">
        <f ca="1">AVERAGE(OFFSET($CC$3,0,0,'Données projet'!$E$12+1,1))-AVERAGE(OFFSET($H$3,0,0,'Données projet'!$E$12+1,1))</f>
        <v>353.37479213497227</v>
      </c>
      <c r="CE52" s="59">
        <f t="shared" si="40"/>
        <v>345.4750813433123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27.874529344130512</v>
      </c>
      <c r="CL52" s="21">
        <f>EXP(-LN(2)/25)*CL51+(1-EXP(-LN(2)/25))/(LN(2)/25)*Calculateur!CG52*Calculateur!CI52*VLOOKUP('Données projet'!$B$12,Paramètres!$A$1:$I$89,3,0)*0.475*44/12</f>
        <v>3.2232360367985984</v>
      </c>
      <c r="CM52" s="21">
        <f>EXP(-LN(2)/2)*CM51+(1-EXP(-LN(2)/2))/(LN(2)/2)*CG52*CJ52*VLOOKUP('Données projet'!$B$12,Paramètres!$A$1:$I$89,3,0)*0.475*44/12</f>
        <v>0.36966455117192543</v>
      </c>
      <c r="CN52" s="22">
        <f t="shared" si="12"/>
        <v>31.467429932101037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277.99999999999994</v>
      </c>
      <c r="O53" s="13">
        <f>N53*VLOOKUP('Données projet'!$B$9,Paramètres!$A$1:$I$89,3,0)*VLOOKUP('Données projet'!$B$9,Paramètres!$A$1:$I$89,5,0)</f>
        <v>173.47199999999998</v>
      </c>
      <c r="P53" s="13">
        <f t="shared" si="33"/>
        <v>43.866718728383574</v>
      </c>
      <c r="Q53" s="20">
        <f t="shared" si="53"/>
        <v>378.53160178526804</v>
      </c>
      <c r="R53" s="59">
        <f t="shared" si="0"/>
        <v>671.86493511860135</v>
      </c>
      <c r="S53" s="59">
        <f ca="1">AVERAGE(OFFSET($R$3,0,0,'Données projet'!$E$9+1,1))-AVERAGE(OFFSET($H$3,0,0,'Données projet'!$E$9+1,1))</f>
        <v>232.56424130731699</v>
      </c>
      <c r="T53" s="59">
        <f t="shared" si="34"/>
        <v>384.58890620364178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21.405533533884899</v>
      </c>
      <c r="AA53" s="21">
        <f>EXP(-LN(2)/25)*AA52+(1-EXP(-LN(2)/25))/(LN(2)/25)*Calculateur!V53*Calculateur!X53*VLOOKUP('Données projet'!$B$9,Paramètres!$A$1:$I$89,3,0)*0.475*44/12</f>
        <v>45.884886471261034</v>
      </c>
      <c r="AB53" s="21">
        <f>EXP(-LN(2)/2)*AB52+(1-EXP(-LN(2)/2))/(LN(2)/2)*V53*Y53*VLOOKUP('Données projet'!$B$9,Paramètres!$A$1:$I$89,3,0)*0.475*44/12</f>
        <v>9.6525616072959494E-2</v>
      </c>
      <c r="AC53" s="22">
        <f t="shared" si="3"/>
        <v>67.386945621218885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16.899999999999999</v>
      </c>
      <c r="AI53" s="13">
        <f>IF('Données projet'!$A$62&gt;35,AI52+AH53-AQ52,IF(A53&lt;'Données projet'!$A$62,$AF$205^A53,IF(A53='Données projet'!$A$62,'Données projet'!$B$62,AI52+AH53-AQ52)))</f>
        <v>374.19999999999982</v>
      </c>
      <c r="AJ53" s="13">
        <f>AI53*VLOOKUP('Données projet'!$B$10,Paramètres!$A$1:$I$89,3,0)*VLOOKUP('Données projet'!$B$10,Paramètres!$A$1:$I$89,5,0)</f>
        <v>223.77159999999989</v>
      </c>
      <c r="AK53" s="13">
        <f t="shared" si="35"/>
        <v>54.933811614894438</v>
      </c>
      <c r="AL53" s="20">
        <f t="shared" si="4"/>
        <v>485.41192522927435</v>
      </c>
      <c r="AM53" s="59">
        <f t="shared" si="5"/>
        <v>778.74525856260766</v>
      </c>
      <c r="AN53" s="59">
        <f ca="1">AVERAGE(OFFSET($AM$3,0,0,'Données projet'!$E$10+1,1))-AVERAGE(OFFSET($H$3,0,0,'Données projet'!$E$10+1,1))</f>
        <v>279.39350157328471</v>
      </c>
      <c r="AO53" s="59">
        <f t="shared" si="36"/>
        <v>261.55559683031657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11.608992105711058</v>
      </c>
      <c r="AV53" s="21">
        <f>EXP(-LN(2)/25)*AV52+(1-EXP(-LN(2)/25))/(LN(2)/25)*Calculateur!AQ53*Calculateur!AS53*VLOOKUP('Données projet'!$B$10,Paramètres!$A$1:$I$89,3,0)*0.475*44/12</f>
        <v>26.915594779098114</v>
      </c>
      <c r="AW53" s="21">
        <f>EXP(-LN(2)/2)*AW52+(1-EXP(-LN(2)/2))/(LN(2)/2)*AQ53*AT53*VLOOKUP('Données projet'!$B$10,Paramètres!$A$1:$I$89,3,0)*0.475*44/12</f>
        <v>1.0352931677835755</v>
      </c>
      <c r="AX53" s="21">
        <f t="shared" si="6"/>
        <v>39.559880052592753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18</v>
      </c>
      <c r="BD53" s="12">
        <f>IF('Données projet'!$A$88&gt;35,BD52+BC53-BL52,IF(A53&lt;'Données projet'!$A$88,$BA$205^A53,IF(A53='Données projet'!$A$88,'Données projet'!$B$88,BD52+BC53-BL52)))</f>
        <v>453.00000000000034</v>
      </c>
      <c r="BE53" s="13">
        <f>BD53*VLOOKUP('Données projet'!$B$11,Paramètres!$A$1:$I$89,3,0)*VLOOKUP('Données projet'!$B$11,Paramètres!$A$1:$I$89,5,0)</f>
        <v>253.22700000000017</v>
      </c>
      <c r="BF53" s="13">
        <f t="shared" si="37"/>
        <v>61.276437689755859</v>
      </c>
      <c r="BG53" s="20">
        <f t="shared" si="7"/>
        <v>547.76015397632511</v>
      </c>
      <c r="BH53" s="59">
        <f t="shared" si="8"/>
        <v>841.09348730965849</v>
      </c>
      <c r="BI53" s="59">
        <f ca="1">AVERAGE(OFFSET($BH$3,0,0,'Données projet'!$E$11+1,1))-AVERAGE(OFFSET($H$3,0,0,'Données projet'!$E$11+1,1))</f>
        <v>342.37397177572871</v>
      </c>
      <c r="BJ53" s="59">
        <f t="shared" si="38"/>
        <v>331.32436050472762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8.9967476932731767</v>
      </c>
      <c r="BQ53" s="21">
        <f>EXP(-LN(2)/25)*BQ52+(1-EXP(-LN(2)/25))/(LN(2)/25)*Calculateur!BL53*Calculateur!BN53*VLOOKUP('Données projet'!$B$11,Paramètres!$A$1:$I$89,3,0)*0.475*44/12</f>
        <v>39.710870346970083</v>
      </c>
      <c r="BR53" s="21">
        <f>EXP(-LN(2)/2)*BR52+(1-EXP(-LN(2)/2))/(LN(2)/2)*BL53*BO53*VLOOKUP('Données projet'!$B$11,Paramètres!$A$1:$I$89,3,0)*0.475*44/12</f>
        <v>4.4591337879621467</v>
      </c>
      <c r="BS53" s="22">
        <f t="shared" si="9"/>
        <v>53.166751828205406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207.65160000000006</v>
      </c>
      <c r="CA53" s="13">
        <f t="shared" si="39"/>
        <v>51.422065813018108</v>
      </c>
      <c r="CB53" s="20">
        <f t="shared" si="10"/>
        <v>451.2199679576733</v>
      </c>
      <c r="CC53" s="59">
        <f t="shared" si="11"/>
        <v>744.55330129100662</v>
      </c>
      <c r="CD53" s="59">
        <f ca="1">AVERAGE(OFFSET($CC$3,0,0,'Données projet'!$E$12+1,1))-AVERAGE(OFFSET($H$3,0,0,'Données projet'!$E$12+1,1))</f>
        <v>353.37479213497227</v>
      </c>
      <c r="CE53" s="59">
        <f t="shared" si="40"/>
        <v>345.4750813433123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0.318</v>
      </c>
      <c r="CI53" s="16">
        <f>IF(ISNA(VLOOKUP(A53,'Données projet'!$A$113:$I$133,6,0)),0%,VLOOKUP(A53,'Données projet'!$A$113:$I$133,6,0)*VLOOKUP('Données projet'!$B$12,Paramètres!$A$1:$I$89,7,0))</f>
        <v>2.12E-2</v>
      </c>
      <c r="CJ53" s="16">
        <f>IF(ISNA(VLOOKUP(A53,'Données projet'!$A$113:$I$133,7,0)),0%,VLOOKUP(A53,'Données projet'!$A$113:$I$133,7,0))</f>
        <v>0.06</v>
      </c>
      <c r="CK53" s="21">
        <f>EXP(-LN(2)/35)*CK52+(1-EXP(-LN(2)/35))/(LN(2)/35)*CG53*CH53*VLOOKUP('Données projet'!$B$12,Paramètres!$A$1:$I$89,3,0)*0.475*44/12</f>
        <v>32.641939743040886</v>
      </c>
      <c r="CL53" s="21">
        <f>EXP(-LN(2)/25)*CL52+(1-EXP(-LN(2)/25))/(LN(2)/25)*Calculateur!CG53*Calculateur!CI53*VLOOKUP('Données projet'!$B$12,Paramètres!$A$1:$I$89,3,0)*0.475*44/12</f>
        <v>3.4879691194637603</v>
      </c>
      <c r="CM53" s="21">
        <f>EXP(-LN(2)/2)*CM52+(1-EXP(-LN(2)/2))/(LN(2)/2)*CG53*CJ53*VLOOKUP('Données projet'!$B$12,Paramètres!$A$1:$I$89,3,0)*0.475*44/12</f>
        <v>1.1171561260144034</v>
      </c>
      <c r="CN53" s="22">
        <f t="shared" si="12"/>
        <v>37.24706498851905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277.99999999999994</v>
      </c>
      <c r="O54" s="13">
        <f>N54*VLOOKUP('Données projet'!$B$9,Paramètres!$A$1:$I$89,3,0)*VLOOKUP('Données projet'!$B$9,Paramètres!$A$1:$I$89,5,0)</f>
        <v>173.47199999999998</v>
      </c>
      <c r="P54" s="13">
        <f t="shared" si="33"/>
        <v>43.866718728383574</v>
      </c>
      <c r="Q54" s="20">
        <f t="shared" si="53"/>
        <v>378.53160178526804</v>
      </c>
      <c r="R54" s="59">
        <f t="shared" si="0"/>
        <v>671.86493511860135</v>
      </c>
      <c r="S54" s="59">
        <f ca="1">AVERAGE(OFFSET($R$3,0,0,'Données projet'!$E$9+1,1))-AVERAGE(OFFSET($H$3,0,0,'Données projet'!$E$9+1,1))</f>
        <v>232.56424130731699</v>
      </c>
      <c r="T54" s="59">
        <f t="shared" si="34"/>
        <v>384.58890620364178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20.98578407737169</v>
      </c>
      <c r="AA54" s="21">
        <f>EXP(-LN(2)/25)*AA53+(1-EXP(-LN(2)/25))/(LN(2)/25)*Calculateur!V54*Calculateur!X54*VLOOKUP('Données projet'!$B$9,Paramètres!$A$1:$I$89,3,0)*0.475*44/12</f>
        <v>44.630161837723094</v>
      </c>
      <c r="AB54" s="21">
        <f>EXP(-LN(2)/2)*AB53+(1-EXP(-LN(2)/2))/(LN(2)/2)*V54*Y54*VLOOKUP('Données projet'!$B$9,Paramètres!$A$1:$I$89,3,0)*0.475*44/12</f>
        <v>6.8253917683398863E-2</v>
      </c>
      <c r="AC54" s="22">
        <f t="shared" si="3"/>
        <v>65.684199832778177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16.899999999999999</v>
      </c>
      <c r="AI54" s="13">
        <f>IF('Données projet'!$A$62&gt;35,AI53+AH54-AQ53,IF(A54&lt;'Données projet'!$A$62,$AF$205^A54,IF(A54='Données projet'!$A$62,'Données projet'!$B$62,AI53+AH54-AQ53)))</f>
        <v>391.0999999999998</v>
      </c>
      <c r="AJ54" s="13">
        <f>AI54*VLOOKUP('Données projet'!$B$10,Paramètres!$A$1:$I$89,3,0)*VLOOKUP('Données projet'!$B$10,Paramètres!$A$1:$I$89,5,0)</f>
        <v>233.87779999999989</v>
      </c>
      <c r="AK54" s="13">
        <f t="shared" si="35"/>
        <v>57.120334919261865</v>
      </c>
      <c r="AL54" s="20">
        <f t="shared" si="4"/>
        <v>506.82175165104758</v>
      </c>
      <c r="AM54" s="59">
        <f t="shared" si="5"/>
        <v>800.15508498438089</v>
      </c>
      <c r="AN54" s="59">
        <f ca="1">AVERAGE(OFFSET($AM$3,0,0,'Données projet'!$E$10+1,1))-AVERAGE(OFFSET($H$3,0,0,'Données projet'!$E$10+1,1))</f>
        <v>279.39350157328471</v>
      </c>
      <c r="AO54" s="59">
        <f t="shared" si="36"/>
        <v>261.55559683031657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11.381346851304079</v>
      </c>
      <c r="AV54" s="21">
        <f>EXP(-LN(2)/25)*AV53+(1-EXP(-LN(2)/25))/(LN(2)/25)*Calculateur!AQ54*Calculateur!AS54*VLOOKUP('Données projet'!$B$10,Paramètres!$A$1:$I$89,3,0)*0.475*44/12</f>
        <v>26.179586424434063</v>
      </c>
      <c r="AW54" s="21">
        <f>EXP(-LN(2)/2)*AW53+(1-EXP(-LN(2)/2))/(LN(2)/2)*AQ54*AT54*VLOOKUP('Données projet'!$B$10,Paramètres!$A$1:$I$89,3,0)*0.475*44/12</f>
        <v>0.73206281945586837</v>
      </c>
      <c r="AX54" s="21">
        <f t="shared" si="6"/>
        <v>38.292996095194013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</v>
      </c>
      <c r="BD54" s="12">
        <f>IF('Données projet'!$A$88&gt;35,BD53+BC54-BL53,IF(A54&lt;'Données projet'!$A$88,$BA$205^A54,IF(A54='Données projet'!$A$88,'Données projet'!$B$88,BD53+BC54-BL53)))</f>
        <v>471.00000000000034</v>
      </c>
      <c r="BE54" s="13">
        <f>BD54*VLOOKUP('Données projet'!$B$11,Paramètres!$A$1:$I$89,3,0)*VLOOKUP('Données projet'!$B$11,Paramètres!$A$1:$I$89,5,0)</f>
        <v>263.28900000000021</v>
      </c>
      <c r="BF54" s="13">
        <f t="shared" si="37"/>
        <v>63.422946100812908</v>
      </c>
      <c r="BG54" s="20">
        <f t="shared" si="7"/>
        <v>569.02330612558285</v>
      </c>
      <c r="BH54" s="59">
        <f t="shared" si="8"/>
        <v>862.35663945891611</v>
      </c>
      <c r="BI54" s="59">
        <f ca="1">AVERAGE(OFFSET($BH$3,0,0,'Données projet'!$E$11+1,1))-AVERAGE(OFFSET($H$3,0,0,'Données projet'!$E$11+1,1))</f>
        <v>342.37397177572871</v>
      </c>
      <c r="BJ54" s="59">
        <f t="shared" si="38"/>
        <v>331.32436050472762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8.8203269584823403</v>
      </c>
      <c r="BQ54" s="21">
        <f>EXP(-LN(2)/25)*BQ53+(1-EXP(-LN(2)/25))/(LN(2)/25)*Calculateur!BL54*Calculateur!BN54*VLOOKUP('Données projet'!$B$11,Paramètres!$A$1:$I$89,3,0)*0.475*44/12</f>
        <v>38.624974509028277</v>
      </c>
      <c r="BR54" s="21">
        <f>EXP(-LN(2)/2)*BR53+(1-EXP(-LN(2)/2))/(LN(2)/2)*BL54*BO54*VLOOKUP('Données projet'!$B$11,Paramètres!$A$1:$I$89,3,0)*0.475*44/12</f>
        <v>3.1530837396860907</v>
      </c>
      <c r="BS54" s="22">
        <f t="shared" si="9"/>
        <v>50.598385207196706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198.42264000000003</v>
      </c>
      <c r="CA54" s="13">
        <f t="shared" si="39"/>
        <v>49.397352151183256</v>
      </c>
      <c r="CB54" s="20">
        <f t="shared" si="10"/>
        <v>431.61981966331086</v>
      </c>
      <c r="CC54" s="59">
        <f t="shared" si="11"/>
        <v>724.95315299664412</v>
      </c>
      <c r="CD54" s="59">
        <f ca="1">AVERAGE(OFFSET($CC$3,0,0,'Données projet'!$E$12+1,1))-AVERAGE(OFFSET($H$3,0,0,'Données projet'!$E$12+1,1))</f>
        <v>353.37479213497227</v>
      </c>
      <c r="CE54" s="59">
        <f t="shared" si="40"/>
        <v>345.4750813433123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32.001851214297183</v>
      </c>
      <c r="CL54" s="21">
        <f>EXP(-LN(2)/25)*CL53+(1-EXP(-LN(2)/25))/(LN(2)/25)*Calculateur!CG54*Calculateur!CI54*VLOOKUP('Données projet'!$B$12,Paramètres!$A$1:$I$89,3,0)*0.475*44/12</f>
        <v>3.3925904204676995</v>
      </c>
      <c r="CM54" s="21">
        <f>EXP(-LN(2)/2)*CM53+(1-EXP(-LN(2)/2))/(LN(2)/2)*CG54*CJ54*VLOOKUP('Données projet'!$B$12,Paramètres!$A$1:$I$89,3,0)*0.475*44/12</f>
        <v>0.78994867234887789</v>
      </c>
      <c r="CN54" s="22">
        <f t="shared" si="12"/>
        <v>36.184390307113759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277.99999999999994</v>
      </c>
      <c r="O55" s="13">
        <f>N55*VLOOKUP('Données projet'!$B$9,Paramètres!$A$1:$I$89,3,0)*VLOOKUP('Données projet'!$B$9,Paramètres!$A$1:$I$89,5,0)</f>
        <v>173.47199999999998</v>
      </c>
      <c r="P55" s="13">
        <f t="shared" si="33"/>
        <v>43.866718728383574</v>
      </c>
      <c r="Q55" s="20">
        <f t="shared" si="53"/>
        <v>378.53160178526804</v>
      </c>
      <c r="R55" s="59">
        <f t="shared" si="0"/>
        <v>671.86493511860135</v>
      </c>
      <c r="S55" s="59">
        <f ca="1">AVERAGE(OFFSET($R$3,0,0,'Données projet'!$E$9+1,1))-AVERAGE(OFFSET($H$3,0,0,'Données projet'!$E$9+1,1))</f>
        <v>232.56424130731699</v>
      </c>
      <c r="T55" s="59">
        <f t="shared" si="34"/>
        <v>384.58890620364178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20.574265651678818</v>
      </c>
      <c r="AA55" s="21">
        <f>EXP(-LN(2)/25)*AA54+(1-EXP(-LN(2)/25))/(LN(2)/25)*Calculateur!V55*Calculateur!X55*VLOOKUP('Données projet'!$B$9,Paramètres!$A$1:$I$89,3,0)*0.475*44/12</f>
        <v>43.409747715272346</v>
      </c>
      <c r="AB55" s="21">
        <f>EXP(-LN(2)/2)*AB54+(1-EXP(-LN(2)/2))/(LN(2)/2)*V55*Y55*VLOOKUP('Données projet'!$B$9,Paramètres!$A$1:$I$89,3,0)*0.475*44/12</f>
        <v>4.8262808036479747E-2</v>
      </c>
      <c r="AC55" s="22">
        <f t="shared" si="3"/>
        <v>64.032276174987643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408</v>
      </c>
      <c r="AG55" s="12">
        <f>VLOOKUP(A55,'Données projet'!$A$61:$I$81,9,0)</f>
        <v>16.899999999999999</v>
      </c>
      <c r="AH55" s="12">
        <f t="array" ref="AH55">INDEX(AG:AG,MIN(IF(ISNUMBER(AG55:AG251),ROW(AG55:AG251),"")))</f>
        <v>16.899999999999999</v>
      </c>
      <c r="AI55" s="13">
        <f>IF('Données projet'!$A$62&gt;35,AI54+AH55-AQ54,IF(A55&lt;'Données projet'!$A$62,$AF$205^A55,IF(A55='Données projet'!$A$62,'Données projet'!$B$62,AI54+AH55-AQ54)))</f>
        <v>407.99999999999977</v>
      </c>
      <c r="AJ55" s="13">
        <f>AI55*VLOOKUP('Données projet'!$B$10,Paramètres!$A$1:$I$89,3,0)*VLOOKUP('Données projet'!$B$10,Paramètres!$A$1:$I$89,5,0)</f>
        <v>243.98399999999987</v>
      </c>
      <c r="AK55" s="13">
        <f t="shared" si="35"/>
        <v>59.295884425254954</v>
      </c>
      <c r="AL55" s="20">
        <f t="shared" si="4"/>
        <v>528.21246537398554</v>
      </c>
      <c r="AM55" s="59">
        <f t="shared" si="5"/>
        <v>821.54579870731891</v>
      </c>
      <c r="AN55" s="59">
        <f ca="1">AVERAGE(OFFSET($AM$3,0,0,'Données projet'!$E$10+1,1))-AVERAGE(OFFSET($H$3,0,0,'Données projet'!$E$10+1,1))</f>
        <v>279.39350157328471</v>
      </c>
      <c r="AO55" s="59">
        <f t="shared" si="36"/>
        <v>261.55559683031657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79</v>
      </c>
      <c r="AR55" s="16">
        <f>IF(ISNA(VLOOKUP(A55,'Données projet'!$A$61:$I$81,5,0)),0%,VLOOKUP(A55,'Données projet'!$A$61:$I$81,5,0)*VLOOKUP('Données projet'!$B$10,Paramètres!$A$1:$I$89,7,0))</f>
        <v>0.18000000000000002</v>
      </c>
      <c r="AS55" s="16">
        <f>IF(ISNA(VLOOKUP(A55,'Données projet'!$A$61:$I$81,6,0)),0%,VLOOKUP(A55,'Données projet'!$A$61:$I$81,6,0)*VLOOKUP('Données projet'!$B$10,Paramètres!$A$1:$I$89,7,0))</f>
        <v>0.18000000000000002</v>
      </c>
      <c r="AT55" s="16">
        <f>IF(ISNA(VLOOKUP(A55,'Données projet'!$A$61:$I$81,7,0)),0%,VLOOKUP(A55,'Données projet'!$A$61:$I$81,7,0))</f>
        <v>0.2</v>
      </c>
      <c r="AU55" s="21">
        <f>EXP(-LN(2)/35)*AU54+(1-EXP(-LN(2)/35))/(LN(2)/35)*AQ55*AR55*VLOOKUP('Données projet'!$B$10,Paramètres!$A$1:$I$89,3,0)*0.475*44/12</f>
        <v>22.438686022183582</v>
      </c>
      <c r="AV55" s="21">
        <f>EXP(-LN(2)/25)*AV54+(1-EXP(-LN(2)/25))/(LN(2)/25)*Calculateur!AQ55*Calculateur!AS55*VLOOKUP('Données projet'!$B$10,Paramètres!$A$1:$I$89,3,0)*0.475*44/12</f>
        <v>36.699808990440467</v>
      </c>
      <c r="AW55" s="21">
        <f>EXP(-LN(2)/2)*AW54+(1-EXP(-LN(2)/2))/(LN(2)/2)*AQ55*AT55*VLOOKUP('Données projet'!$B$10,Paramètres!$A$1:$I$89,3,0)*0.475*44/12</f>
        <v>11.215430223840848</v>
      </c>
      <c r="AX55" s="21">
        <f t="shared" si="6"/>
        <v>70.353925236464903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</v>
      </c>
      <c r="BD55" s="12">
        <f>IF('Données projet'!$A$88&gt;35,BD54+BC55-BL54,IF(A55&lt;'Données projet'!$A$88,$BA$205^A55,IF(A55='Données projet'!$A$88,'Données projet'!$B$88,BD54+BC55-BL54)))</f>
        <v>489.00000000000034</v>
      </c>
      <c r="BE55" s="13">
        <f>BD55*VLOOKUP('Données projet'!$B$11,Paramètres!$A$1:$I$89,3,0)*VLOOKUP('Données projet'!$B$11,Paramètres!$A$1:$I$89,5,0)</f>
        <v>273.35100000000023</v>
      </c>
      <c r="BF55" s="13">
        <f t="shared" si="37"/>
        <v>65.559924723762634</v>
      </c>
      <c r="BG55" s="20">
        <f t="shared" si="7"/>
        <v>590.26986056055364</v>
      </c>
      <c r="BH55" s="59">
        <f t="shared" si="8"/>
        <v>883.60319389388701</v>
      </c>
      <c r="BI55" s="59">
        <f ca="1">AVERAGE(OFFSET($BH$3,0,0,'Données projet'!$E$11+1,1))-AVERAGE(OFFSET($H$3,0,0,'Données projet'!$E$11+1,1))</f>
        <v>342.37397177572871</v>
      </c>
      <c r="BJ55" s="59">
        <f t="shared" si="38"/>
        <v>331.32436050472762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8.6473657266947281</v>
      </c>
      <c r="BQ55" s="21">
        <f>EXP(-LN(2)/25)*BQ54+(1-EXP(-LN(2)/25))/(LN(2)/25)*Calculateur!BL55*Calculateur!BN55*VLOOKUP('Données projet'!$B$11,Paramètres!$A$1:$I$89,3,0)*0.475*44/12</f>
        <v>37.568772549879768</v>
      </c>
      <c r="BR55" s="21">
        <f>EXP(-LN(2)/2)*BR54+(1-EXP(-LN(2)/2))/(LN(2)/2)*BL55*BO55*VLOOKUP('Données projet'!$B$11,Paramètres!$A$1:$I$89,3,0)*0.475*44/12</f>
        <v>2.2295668939810738</v>
      </c>
      <c r="BS55" s="22">
        <f t="shared" si="9"/>
        <v>48.44570517055557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204.31008000000003</v>
      </c>
      <c r="CA55" s="13">
        <f t="shared" si="39"/>
        <v>50.690214235398379</v>
      </c>
      <c r="CB55" s="20">
        <f t="shared" si="10"/>
        <v>444.12551245998549</v>
      </c>
      <c r="CC55" s="59">
        <f t="shared" si="11"/>
        <v>737.4588457933188</v>
      </c>
      <c r="CD55" s="59">
        <f ca="1">AVERAGE(OFFSET($CC$3,0,0,'Données projet'!$E$12+1,1))-AVERAGE(OFFSET($H$3,0,0,'Données projet'!$E$12+1,1))</f>
        <v>353.37479213497227</v>
      </c>
      <c r="CE55" s="59">
        <f t="shared" si="40"/>
        <v>345.4750813433123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31.374314431186693</v>
      </c>
      <c r="CL55" s="21">
        <f>EXP(-LN(2)/25)*CL54+(1-EXP(-LN(2)/25))/(LN(2)/25)*Calculateur!CG55*Calculateur!CI55*VLOOKUP('Données projet'!$B$12,Paramètres!$A$1:$I$89,3,0)*0.475*44/12</f>
        <v>3.2998198570114341</v>
      </c>
      <c r="CM55" s="21">
        <f>EXP(-LN(2)/2)*CM54+(1-EXP(-LN(2)/2))/(LN(2)/2)*CG55*CJ55*VLOOKUP('Données projet'!$B$12,Paramètres!$A$1:$I$89,3,0)*0.475*44/12</f>
        <v>0.55857806300720181</v>
      </c>
      <c r="CN55" s="22">
        <f t="shared" si="12"/>
        <v>35.232712351205329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277.99999999999994</v>
      </c>
      <c r="O56" s="13">
        <f>N56*VLOOKUP('Données projet'!$B$9,Paramètres!$A$1:$I$89,3,0)*VLOOKUP('Données projet'!$B$9,Paramètres!$A$1:$I$89,5,0)</f>
        <v>173.47199999999998</v>
      </c>
      <c r="P56" s="13">
        <f t="shared" si="33"/>
        <v>43.866718728383574</v>
      </c>
      <c r="Q56" s="20">
        <f t="shared" si="53"/>
        <v>378.53160178526804</v>
      </c>
      <c r="R56" s="59">
        <f t="shared" si="0"/>
        <v>671.86493511860135</v>
      </c>
      <c r="S56" s="59">
        <f ca="1">AVERAGE(OFFSET($R$3,0,0,'Données projet'!$E$9+1,1))-AVERAGE(OFFSET($H$3,0,0,'Données projet'!$E$9+1,1))</f>
        <v>232.56424130731699</v>
      </c>
      <c r="T56" s="59">
        <f t="shared" si="34"/>
        <v>384.58890620364178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20.170816851312328</v>
      </c>
      <c r="AA56" s="21">
        <f>EXP(-LN(2)/25)*AA55+(1-EXP(-LN(2)/25))/(LN(2)/25)*Calculateur!V56*Calculateur!X56*VLOOKUP('Données projet'!$B$9,Paramètres!$A$1:$I$89,3,0)*0.475*44/12</f>
        <v>42.222705881178804</v>
      </c>
      <c r="AB56" s="21">
        <f>EXP(-LN(2)/2)*AB55+(1-EXP(-LN(2)/2))/(LN(2)/2)*V56*Y56*VLOOKUP('Données projet'!$B$9,Paramètres!$A$1:$I$89,3,0)*0.475*44/12</f>
        <v>3.4126958841699431E-2</v>
      </c>
      <c r="AC56" s="22">
        <f t="shared" si="3"/>
        <v>62.427649691332832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15.4</v>
      </c>
      <c r="AI56" s="13">
        <f>IF('Données projet'!$A$62&gt;35,AI55+AH56-AQ55,IF(A56&lt;'Données projet'!$A$62,$AF$205^A56,IF(A56='Données projet'!$A$62,'Données projet'!$B$62,AI55+AH56-AQ55)))</f>
        <v>344.39999999999975</v>
      </c>
      <c r="AJ56" s="13">
        <f>AI56*VLOOKUP('Données projet'!$B$10,Paramètres!$A$1:$I$89,3,0)*VLOOKUP('Données projet'!$B$10,Paramètres!$A$1:$I$89,5,0)</f>
        <v>205.95119999999986</v>
      </c>
      <c r="AK56" s="13">
        <f t="shared" si="35"/>
        <v>51.049821044529814</v>
      </c>
      <c r="AL56" s="20">
        <f t="shared" si="4"/>
        <v>447.61011165255587</v>
      </c>
      <c r="AM56" s="59">
        <f t="shared" si="5"/>
        <v>740.94344498588919</v>
      </c>
      <c r="AN56" s="59">
        <f ca="1">AVERAGE(OFFSET($AM$3,0,0,'Données projet'!$E$10+1,1))-AVERAGE(OFFSET($H$3,0,0,'Données projet'!$E$10+1,1))</f>
        <v>279.39350157328471</v>
      </c>
      <c r="AO56" s="59">
        <f t="shared" si="36"/>
        <v>261.55559683031657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21.998677075535632</v>
      </c>
      <c r="AV56" s="21">
        <f>EXP(-LN(2)/25)*AV55+(1-EXP(-LN(2)/25))/(LN(2)/25)*Calculateur!AQ56*Calculateur!AS56*VLOOKUP('Données projet'!$B$10,Paramètres!$A$1:$I$89,3,0)*0.475*44/12</f>
        <v>35.696250783637794</v>
      </c>
      <c r="AW56" s="21">
        <f>EXP(-LN(2)/2)*AW55+(1-EXP(-LN(2)/2))/(LN(2)/2)*AQ56*AT56*VLOOKUP('Données projet'!$B$10,Paramètres!$A$1:$I$89,3,0)*0.475*44/12</f>
        <v>7.9305067652024226</v>
      </c>
      <c r="AX56" s="21">
        <f t="shared" si="6"/>
        <v>65.625434624375842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>
        <f>VLOOKUP(A56,'Données projet'!$A$87:$I$107,2,0)</f>
        <v>507</v>
      </c>
      <c r="BB56" s="12">
        <f>VLOOKUP(A56,'Données projet'!$A$87:$I$107,9,0)</f>
        <v>18</v>
      </c>
      <c r="BC56" s="12">
        <f t="array" ref="BC56">INDEX(BB:BB,MIN(IF(ISNUMBER(BB56:BB252),ROW(BB56:BB252),"")))</f>
        <v>18</v>
      </c>
      <c r="BD56" s="12">
        <f>IF('Données projet'!$A$88&gt;35,BD55+BC56-BL55,IF(A56&lt;'Données projet'!$A$88,$BA$205^A56,IF(A56='Données projet'!$A$88,'Données projet'!$B$88,BD55+BC56-BL55)))</f>
        <v>507.00000000000034</v>
      </c>
      <c r="BE56" s="13">
        <f>BD56*VLOOKUP('Données projet'!$B$11,Paramètres!$A$1:$I$89,3,0)*VLOOKUP('Données projet'!$B$11,Paramètres!$A$1:$I$89,5,0)</f>
        <v>283.41300000000018</v>
      </c>
      <c r="BF56" s="13">
        <f t="shared" si="37"/>
        <v>67.687764522129044</v>
      </c>
      <c r="BG56" s="20">
        <f t="shared" si="7"/>
        <v>611.500498209375</v>
      </c>
      <c r="BH56" s="59">
        <f t="shared" si="8"/>
        <v>904.83383154270837</v>
      </c>
      <c r="BI56" s="59">
        <f ca="1">AVERAGE(OFFSET($BH$3,0,0,'Données projet'!$E$11+1,1))-AVERAGE(OFFSET($H$3,0,0,'Données projet'!$E$11+1,1))</f>
        <v>342.37397177572871</v>
      </c>
      <c r="BJ56" s="59">
        <f t="shared" si="38"/>
        <v>331.32436050472762</v>
      </c>
      <c r="BK56" s="15">
        <f>IF(ISNA(VLOOKUP(A56,'Données projet'!$A$87:$I$107,3,0)),0,VLOOKUP(A56,'Données projet'!$A$87:$I$107,3,0))</f>
        <v>4</v>
      </c>
      <c r="BL56" s="15">
        <f>IF(ISNA(VLOOKUP(A56,'Données projet'!$A$87:$I$107,4,0)),0,VLOOKUP(A56,'Données projet'!$A$87:$I$107,4,0))</f>
        <v>84</v>
      </c>
      <c r="BM56" s="16">
        <f>IF(ISNA(VLOOKUP(A56,'Données projet'!$A$87:$I$107,5,0)),0%,VLOOKUP(A56,'Données projet'!$A$87:$I$107,5,0)*VLOOKUP('Données projet'!$B$11,Paramètres!$A$1:$I$89,7,0))</f>
        <v>0.16500000000000001</v>
      </c>
      <c r="BN56" s="16">
        <f>IF(ISNA(VLOOKUP(A56,'Données projet'!$A$87:$I$107,6,0)),0%,VLOOKUP(A56,'Données projet'!$A$87:$I$107,6,0)*VLOOKUP('Données projet'!$B$11,Paramètres!$A$1:$I$89,7,0))</f>
        <v>0.22000000000000003</v>
      </c>
      <c r="BO56" s="16">
        <f>IF(ISNA(VLOOKUP(A56,'Données projet'!$A$87:$I$107,7,0)),0%,VLOOKUP(A56,'Données projet'!$A$87:$I$107,7,0))</f>
        <v>0.3</v>
      </c>
      <c r="BP56" s="21">
        <f>EXP(-LN(2)/35)*BP55+(1-EXP(-LN(2)/35))/(LN(2)/35)*BL56*BM56*VLOOKUP('Données projet'!$B$11,Paramètres!$A$1:$I$89,3,0)*0.475*44/12</f>
        <v>18.755672653153681</v>
      </c>
      <c r="BQ56" s="21">
        <f>EXP(-LN(2)/25)*BQ55+(1-EXP(-LN(2)/25))/(LN(2)/25)*Calculateur!BL56*Calculateur!BN56*VLOOKUP('Données projet'!$B$11,Paramètres!$A$1:$I$89,3,0)*0.475*44/12</f>
        <v>50.191330592917218</v>
      </c>
      <c r="BR56" s="21">
        <f>EXP(-LN(2)/2)*BR55+(1-EXP(-LN(2)/2))/(LN(2)/2)*BL56*BO56*VLOOKUP('Données projet'!$B$11,Paramètres!$A$1:$I$89,3,0)*0.475*44/12</f>
        <v>17.526071798638863</v>
      </c>
      <c r="BS56" s="22">
        <f t="shared" si="9"/>
        <v>86.473075044709759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210.19752</v>
      </c>
      <c r="CA56" s="13">
        <f t="shared" si="39"/>
        <v>51.978746425856599</v>
      </c>
      <c r="CB56" s="20">
        <f t="shared" si="10"/>
        <v>456.62366402503358</v>
      </c>
      <c r="CC56" s="59">
        <f t="shared" si="11"/>
        <v>749.95699735836683</v>
      </c>
      <c r="CD56" s="59">
        <f ca="1">AVERAGE(OFFSET($CC$3,0,0,'Données projet'!$E$12+1,1))-AVERAGE(OFFSET($H$3,0,0,'Données projet'!$E$12+1,1))</f>
        <v>353.37479213497227</v>
      </c>
      <c r="CE56" s="59">
        <f t="shared" si="40"/>
        <v>345.4750813433123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30.759083261633357</v>
      </c>
      <c r="CL56" s="21">
        <f>EXP(-LN(2)/25)*CL55+(1-EXP(-LN(2)/25))/(LN(2)/25)*Calculateur!CG56*Calculateur!CI56*VLOOKUP('Données projet'!$B$12,Paramètres!$A$1:$I$89,3,0)*0.475*44/12</f>
        <v>3.2095861094914722</v>
      </c>
      <c r="CM56" s="21">
        <f>EXP(-LN(2)/2)*CM55+(1-EXP(-LN(2)/2))/(LN(2)/2)*CG56*CJ56*VLOOKUP('Données projet'!$B$12,Paramètres!$A$1:$I$89,3,0)*0.475*44/12</f>
        <v>0.39497433617443906</v>
      </c>
      <c r="CN56" s="22">
        <f t="shared" si="12"/>
        <v>34.363643707299275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277.99999999999994</v>
      </c>
      <c r="O57" s="13">
        <f>N57*VLOOKUP('Données projet'!$B$9,Paramètres!$A$1:$I$89,3,0)*VLOOKUP('Données projet'!$B$9,Paramètres!$A$1:$I$89,5,0)</f>
        <v>173.47199999999998</v>
      </c>
      <c r="P57" s="13">
        <f t="shared" si="33"/>
        <v>43.866718728383574</v>
      </c>
      <c r="Q57" s="20">
        <f t="shared" si="53"/>
        <v>378.53160178526804</v>
      </c>
      <c r="R57" s="59">
        <f t="shared" si="0"/>
        <v>671.86493511860135</v>
      </c>
      <c r="S57" s="59">
        <f ca="1">AVERAGE(OFFSET($R$3,0,0,'Données projet'!$E$9+1,1))-AVERAGE(OFFSET($H$3,0,0,'Données projet'!$E$9+1,1))</f>
        <v>232.56424130731699</v>
      </c>
      <c r="T57" s="59">
        <f t="shared" si="34"/>
        <v>384.58890620364178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19.775279435841554</v>
      </c>
      <c r="AA57" s="21">
        <f>EXP(-LN(2)/25)*AA56+(1-EXP(-LN(2)/25))/(LN(2)/25)*Calculateur!V57*Calculateur!X57*VLOOKUP('Données projet'!$B$9,Paramètres!$A$1:$I$89,3,0)*0.475*44/12</f>
        <v>41.068123768462371</v>
      </c>
      <c r="AB57" s="21">
        <f>EXP(-LN(2)/2)*AB56+(1-EXP(-LN(2)/2))/(LN(2)/2)*V57*Y57*VLOOKUP('Données projet'!$B$9,Paramètres!$A$1:$I$89,3,0)*0.475*44/12</f>
        <v>2.4131404018239874E-2</v>
      </c>
      <c r="AC57" s="22">
        <f t="shared" si="3"/>
        <v>60.867534608322167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15.4</v>
      </c>
      <c r="AI57" s="13">
        <f>IF('Données projet'!$A$62&gt;35,AI56+AH57-AQ56,IF(A57&lt;'Données projet'!$A$62,$AF$205^A57,IF(A57='Données projet'!$A$62,'Données projet'!$B$62,AI56+AH57-AQ56)))</f>
        <v>359.79999999999973</v>
      </c>
      <c r="AJ57" s="13">
        <f>AI57*VLOOKUP('Données projet'!$B$10,Paramètres!$A$1:$I$89,3,0)*VLOOKUP('Données projet'!$B$10,Paramètres!$A$1:$I$89,5,0)</f>
        <v>215.16039999999984</v>
      </c>
      <c r="AK57" s="13">
        <f t="shared" si="35"/>
        <v>53.061664723363968</v>
      </c>
      <c r="AL57" s="20">
        <f t="shared" si="4"/>
        <v>467.15342939319197</v>
      </c>
      <c r="AM57" s="59">
        <f t="shared" si="5"/>
        <v>760.48676272652528</v>
      </c>
      <c r="AN57" s="59">
        <f ca="1">AVERAGE(OFFSET($AM$3,0,0,'Données projet'!$E$10+1,1))-AVERAGE(OFFSET($H$3,0,0,'Données projet'!$E$10+1,1))</f>
        <v>279.39350157328471</v>
      </c>
      <c r="AO57" s="59">
        <f t="shared" si="36"/>
        <v>261.55559683031657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21.567296435952489</v>
      </c>
      <c r="AV57" s="21">
        <f>EXP(-LN(2)/25)*AV56+(1-EXP(-LN(2)/25))/(LN(2)/25)*Calculateur!AQ57*Calculateur!AS57*VLOOKUP('Données projet'!$B$10,Paramètres!$A$1:$I$89,3,0)*0.475*44/12</f>
        <v>34.720134928774975</v>
      </c>
      <c r="AW57" s="21">
        <f>EXP(-LN(2)/2)*AW56+(1-EXP(-LN(2)/2))/(LN(2)/2)*AQ57*AT57*VLOOKUP('Données projet'!$B$10,Paramètres!$A$1:$I$89,3,0)*0.475*44/12</f>
        <v>5.6077151119204247</v>
      </c>
      <c r="AX57" s="21">
        <f t="shared" si="6"/>
        <v>61.895146476647895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16.571428571428573</v>
      </c>
      <c r="BD57" s="12">
        <f>IF('Données projet'!$A$88&gt;35,BD56+BC57-BL56,IF(A57&lt;'Données projet'!$A$88,$BA$205^A57,IF(A57='Données projet'!$A$88,'Données projet'!$B$88,BD56+BC57-BL56)))</f>
        <v>439.5714285714289</v>
      </c>
      <c r="BE57" s="13">
        <f>BD57*VLOOKUP('Données projet'!$B$11,Paramètres!$A$1:$I$89,3,0)*VLOOKUP('Données projet'!$B$11,Paramètres!$A$1:$I$89,5,0)</f>
        <v>245.72042857142873</v>
      </c>
      <c r="BF57" s="13">
        <f t="shared" si="37"/>
        <v>59.66861617127698</v>
      </c>
      <c r="BG57" s="20">
        <f t="shared" si="7"/>
        <v>531.88591959354574</v>
      </c>
      <c r="BH57" s="59">
        <f t="shared" si="8"/>
        <v>825.21925292687911</v>
      </c>
      <c r="BI57" s="59">
        <f ca="1">AVERAGE(OFFSET($BH$3,0,0,'Données projet'!$E$11+1,1))-AVERAGE(OFFSET($H$3,0,0,'Données projet'!$E$11+1,1))</f>
        <v>342.37397177572871</v>
      </c>
      <c r="BJ57" s="59">
        <f t="shared" si="38"/>
        <v>331.32436050472762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18.387885352256067</v>
      </c>
      <c r="BQ57" s="21">
        <f>EXP(-LN(2)/25)*BQ56+(1-EXP(-LN(2)/25))/(LN(2)/25)*Calculateur!BL57*Calculateur!BN57*VLOOKUP('Données projet'!$B$11,Paramètres!$A$1:$I$89,3,0)*0.475*44/12</f>
        <v>48.818846018406532</v>
      </c>
      <c r="BR57" s="21">
        <f>EXP(-LN(2)/2)*BR56+(1-EXP(-LN(2)/2))/(LN(2)/2)*BL57*BO57*VLOOKUP('Données projet'!$B$11,Paramètres!$A$1:$I$89,3,0)*0.475*44/12</f>
        <v>12.392804216379853</v>
      </c>
      <c r="BS57" s="22">
        <f t="shared" si="9"/>
        <v>79.599535587042453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216.08496</v>
      </c>
      <c r="CA57" s="13">
        <f t="shared" si="39"/>
        <v>53.26308393083157</v>
      </c>
      <c r="CB57" s="20">
        <f t="shared" si="10"/>
        <v>469.11450984619825</v>
      </c>
      <c r="CC57" s="59">
        <f t="shared" si="11"/>
        <v>762.44784317953156</v>
      </c>
      <c r="CD57" s="59">
        <f ca="1">AVERAGE(OFFSET($CC$3,0,0,'Données projet'!$E$12+1,1))-AVERAGE(OFFSET($H$3,0,0,'Données projet'!$E$12+1,1))</f>
        <v>353.37479213497227</v>
      </c>
      <c r="CE57" s="59">
        <f t="shared" si="40"/>
        <v>345.4750813433123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30.155916400061002</v>
      </c>
      <c r="CL57" s="21">
        <f>EXP(-LN(2)/25)*CL56+(1-EXP(-LN(2)/25))/(LN(2)/25)*Calculateur!CG57*Calculateur!CI57*VLOOKUP('Données projet'!$B$12,Paramètres!$A$1:$I$89,3,0)*0.475*44/12</f>
        <v>3.1218198085426301</v>
      </c>
      <c r="CM57" s="21">
        <f>EXP(-LN(2)/2)*CM56+(1-EXP(-LN(2)/2))/(LN(2)/2)*CG57*CJ57*VLOOKUP('Données projet'!$B$12,Paramètres!$A$1:$I$89,3,0)*0.475*44/12</f>
        <v>0.27928903150360096</v>
      </c>
      <c r="CN57" s="22">
        <f t="shared" si="12"/>
        <v>33.557025240107237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277.99999999999994</v>
      </c>
      <c r="O58" s="13">
        <f>N58*VLOOKUP('Données projet'!$B$9,Paramètres!$A$1:$I$89,3,0)*VLOOKUP('Données projet'!$B$9,Paramètres!$A$1:$I$89,5,0)</f>
        <v>173.47199999999998</v>
      </c>
      <c r="P58" s="13">
        <f t="shared" si="33"/>
        <v>43.866718728383574</v>
      </c>
      <c r="Q58" s="20">
        <f t="shared" si="53"/>
        <v>378.53160178526804</v>
      </c>
      <c r="R58" s="59">
        <f t="shared" si="0"/>
        <v>671.86493511860135</v>
      </c>
      <c r="S58" s="59">
        <f ca="1">AVERAGE(OFFSET($R$3,0,0,'Données projet'!$E$9+1,1))-AVERAGE(OFFSET($H$3,0,0,'Données projet'!$E$9+1,1))</f>
        <v>232.56424130731699</v>
      </c>
      <c r="T58" s="59">
        <f t="shared" si="34"/>
        <v>384.58890620364178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19.387498267834161</v>
      </c>
      <c r="AA58" s="21">
        <f>EXP(-LN(2)/25)*AA57+(1-EXP(-LN(2)/25))/(LN(2)/25)*Calculateur!V58*Calculateur!X58*VLOOKUP('Données projet'!$B$9,Paramètres!$A$1:$I$89,3,0)*0.475*44/12</f>
        <v>39.945113764334998</v>
      </c>
      <c r="AB58" s="21">
        <f>EXP(-LN(2)/2)*AB57+(1-EXP(-LN(2)/2))/(LN(2)/2)*V58*Y58*VLOOKUP('Données projet'!$B$9,Paramètres!$A$1:$I$89,3,0)*0.475*44/12</f>
        <v>1.7063479420849716E-2</v>
      </c>
      <c r="AC58" s="22">
        <f t="shared" si="3"/>
        <v>59.349675511590007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15.4</v>
      </c>
      <c r="AI58" s="13">
        <f>IF('Données projet'!$A$62&gt;35,AI57+AH58-AQ57,IF(A58&lt;'Données projet'!$A$62,$AF$205^A58,IF(A58='Données projet'!$A$62,'Données projet'!$B$62,AI57+AH58-AQ57)))</f>
        <v>375.1999999999997</v>
      </c>
      <c r="AJ58" s="13">
        <f>AI58*VLOOKUP('Données projet'!$B$10,Paramètres!$A$1:$I$89,3,0)*VLOOKUP('Données projet'!$B$10,Paramètres!$A$1:$I$89,5,0)</f>
        <v>224.36959999999985</v>
      </c>
      <c r="AK58" s="13">
        <f t="shared" si="35"/>
        <v>55.063506895497703</v>
      </c>
      <c r="AL58" s="20">
        <f t="shared" si="4"/>
        <v>486.67932784299154</v>
      </c>
      <c r="AM58" s="59">
        <f t="shared" si="5"/>
        <v>780.01266117632485</v>
      </c>
      <c r="AN58" s="59">
        <f ca="1">AVERAGE(OFFSET($AM$3,0,0,'Données projet'!$E$10+1,1))-AVERAGE(OFFSET($H$3,0,0,'Données projet'!$E$10+1,1))</f>
        <v>279.39350157328471</v>
      </c>
      <c r="AO58" s="59">
        <f t="shared" si="36"/>
        <v>261.55559683031657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21.144374907595363</v>
      </c>
      <c r="AV58" s="21">
        <f>EXP(-LN(2)/25)*AV57+(1-EXP(-LN(2)/25))/(LN(2)/25)*Calculateur!AQ58*Calculateur!AS58*VLOOKUP('Données projet'!$B$10,Paramètres!$A$1:$I$89,3,0)*0.475*44/12</f>
        <v>33.770711013295085</v>
      </c>
      <c r="AW58" s="21">
        <f>EXP(-LN(2)/2)*AW57+(1-EXP(-LN(2)/2))/(LN(2)/2)*AQ58*AT58*VLOOKUP('Données projet'!$B$10,Paramètres!$A$1:$I$89,3,0)*0.475*44/12</f>
        <v>3.9652533826012117</v>
      </c>
      <c r="AX58" s="21">
        <f t="shared" si="6"/>
        <v>58.88033930349166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16.571428571428573</v>
      </c>
      <c r="BD58" s="12">
        <f>IF('Données projet'!$A$88&gt;35,BD57+BC58-BL57,IF(A58&lt;'Données projet'!$A$88,$BA$205^A58,IF(A58='Données projet'!$A$88,'Données projet'!$B$88,BD57+BC58-BL57)))</f>
        <v>456.14285714285745</v>
      </c>
      <c r="BE58" s="13">
        <f>BD58*VLOOKUP('Données projet'!$B$11,Paramètres!$A$1:$I$89,3,0)*VLOOKUP('Données projet'!$B$11,Paramètres!$A$1:$I$89,5,0)</f>
        <v>254.98385714285732</v>
      </c>
      <c r="BF58" s="13">
        <f t="shared" si="37"/>
        <v>61.651929708391663</v>
      </c>
      <c r="BG58" s="20">
        <f t="shared" si="7"/>
        <v>551.47399543259201</v>
      </c>
      <c r="BH58" s="59">
        <f t="shared" si="8"/>
        <v>844.80732876592538</v>
      </c>
      <c r="BI58" s="59">
        <f ca="1">AVERAGE(OFFSET($BH$3,0,0,'Données projet'!$E$11+1,1))-AVERAGE(OFFSET($H$3,0,0,'Données projet'!$E$11+1,1))</f>
        <v>342.37397177572871</v>
      </c>
      <c r="BJ58" s="59">
        <f t="shared" si="38"/>
        <v>331.32436050472762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18.027310136000953</v>
      </c>
      <c r="BQ58" s="21">
        <f>EXP(-LN(2)/25)*BQ57+(1-EXP(-LN(2)/25))/(LN(2)/25)*Calculateur!BL58*Calculateur!BN58*VLOOKUP('Données projet'!$B$11,Paramètres!$A$1:$I$89,3,0)*0.475*44/12</f>
        <v>47.483892106761672</v>
      </c>
      <c r="BR58" s="21">
        <f>EXP(-LN(2)/2)*BR57+(1-EXP(-LN(2)/2))/(LN(2)/2)*BL58*BO58*VLOOKUP('Données projet'!$B$11,Paramètres!$A$1:$I$89,3,0)*0.475*44/12</f>
        <v>8.7630358993194335</v>
      </c>
      <c r="BS58" s="22">
        <f t="shared" si="9"/>
        <v>74.274238142082055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221.97239999999996</v>
      </c>
      <c r="CA58" s="13">
        <f t="shared" si="39"/>
        <v>54.543354171476821</v>
      </c>
      <c r="CB58" s="20">
        <f t="shared" si="10"/>
        <v>481.59827184865543</v>
      </c>
      <c r="CC58" s="59">
        <f t="shared" si="11"/>
        <v>774.93160518198874</v>
      </c>
      <c r="CD58" s="59">
        <f ca="1">AVERAGE(OFFSET($CC$3,0,0,'Données projet'!$E$12+1,1))-AVERAGE(OFFSET($H$3,0,0,'Données projet'!$E$12+1,1))</f>
        <v>353.37479213497227</v>
      </c>
      <c r="CE58" s="59">
        <f t="shared" si="40"/>
        <v>345.4750813433123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0.42400000000000004</v>
      </c>
      <c r="CI58" s="16">
        <f>IF(ISNA(VLOOKUP(A58,'Données projet'!$A$113:$I$133,6,0)),0%,VLOOKUP(A58,'Données projet'!$A$113:$I$133,6,0)*VLOOKUP('Données projet'!$B$12,Paramètres!$A$1:$I$89,7,0))</f>
        <v>2.12E-2</v>
      </c>
      <c r="CJ58" s="16">
        <f>IF(ISNA(VLOOKUP(A58,'Données projet'!$A$113:$I$133,7,0)),0%,VLOOKUP(A58,'Données projet'!$A$113:$I$133,7,0))</f>
        <v>0.06</v>
      </c>
      <c r="CK58" s="21">
        <f>EXP(-LN(2)/35)*CK57+(1-EXP(-LN(2)/35))/(LN(2)/35)*CG58*CH58*VLOOKUP('Données projet'!$B$12,Paramètres!$A$1:$I$89,3,0)*0.475*44/12</f>
        <v>35.531188267908945</v>
      </c>
      <c r="CL58" s="21">
        <f>EXP(-LN(2)/25)*CL57+(1-EXP(-LN(2)/25))/(LN(2)/25)*Calculateur!CG58*Calculateur!CI58*VLOOKUP('Données projet'!$B$12,Paramètres!$A$1:$I$89,3,0)*0.475*44/12</f>
        <v>3.3336093904194306</v>
      </c>
      <c r="CM58" s="21">
        <f>EXP(-LN(2)/2)*CM57+(1-EXP(-LN(2)/2))/(LN(2)/2)*CG58*CJ58*VLOOKUP('Données projet'!$B$12,Paramètres!$A$1:$I$89,3,0)*0.475*44/12</f>
        <v>0.91813038081686449</v>
      </c>
      <c r="CN58" s="22">
        <f t="shared" si="12"/>
        <v>39.78292803914524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277.99999999999994</v>
      </c>
      <c r="O59" s="13">
        <f>N59*VLOOKUP('Données projet'!$B$9,Paramètres!$A$1:$I$89,3,0)*VLOOKUP('Données projet'!$B$9,Paramètres!$A$1:$I$89,5,0)</f>
        <v>173.47199999999998</v>
      </c>
      <c r="P59" s="13">
        <f t="shared" si="33"/>
        <v>43.866718728383574</v>
      </c>
      <c r="Q59" s="20">
        <f t="shared" si="53"/>
        <v>378.53160178526804</v>
      </c>
      <c r="R59" s="59">
        <f t="shared" si="0"/>
        <v>671.86493511860135</v>
      </c>
      <c r="S59" s="59">
        <f ca="1">AVERAGE(OFFSET($R$3,0,0,'Données projet'!$E$9+1,1))-AVERAGE(OFFSET($H$3,0,0,'Données projet'!$E$9+1,1))</f>
        <v>232.56424130731699</v>
      </c>
      <c r="T59" s="59">
        <f t="shared" si="34"/>
        <v>384.58890620364178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19.007321252008236</v>
      </c>
      <c r="AA59" s="21">
        <f>EXP(-LN(2)/25)*AA58+(1-EXP(-LN(2)/25))/(LN(2)/25)*Calculateur!V59*Calculateur!X59*VLOOKUP('Données projet'!$B$9,Paramètres!$A$1:$I$89,3,0)*0.475*44/12</f>
        <v>38.85281252782702</v>
      </c>
      <c r="AB59" s="21">
        <f>EXP(-LN(2)/2)*AB58+(1-EXP(-LN(2)/2))/(LN(2)/2)*V59*Y59*VLOOKUP('Données projet'!$B$9,Paramètres!$A$1:$I$89,3,0)*0.475*44/12</f>
        <v>1.2065702009119937E-2</v>
      </c>
      <c r="AC59" s="22">
        <f t="shared" si="3"/>
        <v>57.872199481844369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15.4</v>
      </c>
      <c r="AI59" s="13">
        <f>IF('Données projet'!$A$62&gt;35,AI58+AH59-AQ58,IF(A59&lt;'Données projet'!$A$62,$AF$205^A59,IF(A59='Données projet'!$A$62,'Données projet'!$B$62,AI58+AH59-AQ58)))</f>
        <v>390.59999999999968</v>
      </c>
      <c r="AJ59" s="13">
        <f>AI59*VLOOKUP('Données projet'!$B$10,Paramètres!$A$1:$I$89,3,0)*VLOOKUP('Données projet'!$B$10,Paramètres!$A$1:$I$89,5,0)</f>
        <v>233.57879999999983</v>
      </c>
      <c r="AK59" s="13">
        <f t="shared" si="35"/>
        <v>57.055805022709947</v>
      </c>
      <c r="AL59" s="20">
        <f t="shared" si="4"/>
        <v>506.18860374788613</v>
      </c>
      <c r="AM59" s="59">
        <f t="shared" si="5"/>
        <v>799.52193708121945</v>
      </c>
      <c r="AN59" s="59">
        <f ca="1">AVERAGE(OFFSET($AM$3,0,0,'Données projet'!$E$10+1,1))-AVERAGE(OFFSET($H$3,0,0,'Données projet'!$E$10+1,1))</f>
        <v>279.39350157328471</v>
      </c>
      <c r="AO59" s="59">
        <f t="shared" si="36"/>
        <v>261.55559683031657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20.729746612452658</v>
      </c>
      <c r="AV59" s="21">
        <f>EXP(-LN(2)/25)*AV58+(1-EXP(-LN(2)/25))/(LN(2)/25)*Calculateur!AQ59*Calculateur!AS59*VLOOKUP('Données projet'!$B$10,Paramètres!$A$1:$I$89,3,0)*0.475*44/12</f>
        <v>32.847249144712023</v>
      </c>
      <c r="AW59" s="21">
        <f>EXP(-LN(2)/2)*AW58+(1-EXP(-LN(2)/2))/(LN(2)/2)*AQ59*AT59*VLOOKUP('Données projet'!$B$10,Paramètres!$A$1:$I$89,3,0)*0.475*44/12</f>
        <v>2.8038575559602128</v>
      </c>
      <c r="AX59" s="21">
        <f t="shared" si="6"/>
        <v>56.380853313124895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16.571428571428573</v>
      </c>
      <c r="BD59" s="12">
        <f>IF('Données projet'!$A$88&gt;35,BD58+BC59-BL58,IF(A59&lt;'Données projet'!$A$88,$BA$205^A59,IF(A59='Données projet'!$A$88,'Données projet'!$B$88,BD58+BC59-BL58)))</f>
        <v>472.71428571428601</v>
      </c>
      <c r="BE59" s="13">
        <f>BD59*VLOOKUP('Données projet'!$B$11,Paramètres!$A$1:$I$89,3,0)*VLOOKUP('Données projet'!$B$11,Paramètres!$A$1:$I$89,5,0)</f>
        <v>264.24728571428585</v>
      </c>
      <c r="BF59" s="13">
        <f t="shared" si="37"/>
        <v>63.62687207067534</v>
      </c>
      <c r="BG59" s="20">
        <f t="shared" si="7"/>
        <v>571.04749147547409</v>
      </c>
      <c r="BH59" s="59">
        <f t="shared" si="8"/>
        <v>864.38082480880735</v>
      </c>
      <c r="BI59" s="59">
        <f ca="1">AVERAGE(OFFSET($BH$3,0,0,'Données projet'!$E$11+1,1))-AVERAGE(OFFSET($H$3,0,0,'Données projet'!$E$11+1,1))</f>
        <v>342.37397177572871</v>
      </c>
      <c r="BJ59" s="59">
        <f t="shared" si="38"/>
        <v>331.32436050472762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17.673805579807436</v>
      </c>
      <c r="BQ59" s="21">
        <f>EXP(-LN(2)/25)*BQ58+(1-EXP(-LN(2)/25))/(LN(2)/25)*Calculateur!BL59*Calculateur!BN59*VLOOKUP('Données projet'!$B$11,Paramètres!$A$1:$I$89,3,0)*0.475*44/12</f>
        <v>46.185442580032912</v>
      </c>
      <c r="BR59" s="21">
        <f>EXP(-LN(2)/2)*BR58+(1-EXP(-LN(2)/2))/(LN(2)/2)*BL59*BO59*VLOOKUP('Données projet'!$B$11,Paramètres!$A$1:$I$89,3,0)*0.475*44/12</f>
        <v>6.1964021081899281</v>
      </c>
      <c r="BS59" s="22">
        <f t="shared" si="9"/>
        <v>70.055650268030277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214.17551999999998</v>
      </c>
      <c r="CA59" s="13">
        <f t="shared" si="39"/>
        <v>52.846993696165399</v>
      </c>
      <c r="CB59" s="20">
        <f t="shared" si="10"/>
        <v>465.06421135415468</v>
      </c>
      <c r="CC59" s="59">
        <f t="shared" si="11"/>
        <v>758.39754468748799</v>
      </c>
      <c r="CD59" s="59">
        <f ca="1">AVERAGE(OFFSET($CC$3,0,0,'Données projet'!$E$12+1,1))-AVERAGE(OFFSET($H$3,0,0,'Données projet'!$E$12+1,1))</f>
        <v>353.37479213497227</v>
      </c>
      <c r="CE59" s="59">
        <f t="shared" si="40"/>
        <v>345.4750813433123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34.834443337860172</v>
      </c>
      <c r="CL59" s="21">
        <f>EXP(-LN(2)/25)*CL58+(1-EXP(-LN(2)/25))/(LN(2)/25)*Calculateur!CG59*Calculateur!CI59*VLOOKUP('Données projet'!$B$12,Paramètres!$A$1:$I$89,3,0)*0.475*44/12</f>
        <v>3.2424516663315126</v>
      </c>
      <c r="CM59" s="21">
        <f>EXP(-LN(2)/2)*CM58+(1-EXP(-LN(2)/2))/(LN(2)/2)*CG59*CJ59*VLOOKUP('Données projet'!$B$12,Paramètres!$A$1:$I$89,3,0)*0.475*44/12</f>
        <v>0.64921621828899223</v>
      </c>
      <c r="CN59" s="22">
        <f t="shared" si="12"/>
        <v>38.726111222480675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277.99999999999994</v>
      </c>
      <c r="O60" s="13">
        <f>N60*VLOOKUP('Données projet'!$B$9,Paramètres!$A$1:$I$89,3,0)*VLOOKUP('Données projet'!$B$9,Paramètres!$A$1:$I$89,5,0)</f>
        <v>173.47199999999998</v>
      </c>
      <c r="P60" s="13">
        <f t="shared" si="33"/>
        <v>43.866718728383574</v>
      </c>
      <c r="Q60" s="20">
        <f t="shared" si="53"/>
        <v>378.53160178526804</v>
      </c>
      <c r="R60" s="59">
        <f t="shared" si="0"/>
        <v>671.86493511860135</v>
      </c>
      <c r="S60" s="59">
        <f ca="1">AVERAGE(OFFSET($R$3,0,0,'Données projet'!$E$9+1,1))-AVERAGE(OFFSET($H$3,0,0,'Données projet'!$E$9+1,1))</f>
        <v>232.56424130731699</v>
      </c>
      <c r="T60" s="59">
        <f t="shared" si="34"/>
        <v>384.58890620364178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18.634599275577571</v>
      </c>
      <c r="AA60" s="21">
        <f>EXP(-LN(2)/25)*AA59+(1-EXP(-LN(2)/25))/(LN(2)/25)*Calculateur!V60*Calculateur!X60*VLOOKUP('Données projet'!$B$9,Paramètres!$A$1:$I$89,3,0)*0.475*44/12</f>
        <v>37.790380326072977</v>
      </c>
      <c r="AB60" s="21">
        <f>EXP(-LN(2)/2)*AB59+(1-EXP(-LN(2)/2))/(LN(2)/2)*V60*Y60*VLOOKUP('Données projet'!$B$9,Paramètres!$A$1:$I$89,3,0)*0.475*44/12</f>
        <v>8.5317397104248578E-3</v>
      </c>
      <c r="AC60" s="22">
        <f t="shared" si="3"/>
        <v>56.433511341360976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15.4</v>
      </c>
      <c r="AI60" s="13">
        <f>IF('Données projet'!$A$62&gt;35,AI59+AH60-AQ59,IF(A60&lt;'Données projet'!$A$62,$AF$205^A60,IF(A60='Données projet'!$A$62,'Données projet'!$B$62,AI59+AH60-AQ59)))</f>
        <v>405.99999999999966</v>
      </c>
      <c r="AJ60" s="13">
        <f>AI60*VLOOKUP('Données projet'!$B$10,Paramètres!$A$1:$I$89,3,0)*VLOOKUP('Données projet'!$B$10,Paramètres!$A$1:$I$89,5,0)</f>
        <v>242.78799999999981</v>
      </c>
      <c r="AK60" s="13">
        <f t="shared" si="35"/>
        <v>59.038978452354456</v>
      </c>
      <c r="AL60" s="20">
        <f t="shared" si="4"/>
        <v>525.68198747118367</v>
      </c>
      <c r="AM60" s="59">
        <f t="shared" si="5"/>
        <v>819.01532080451693</v>
      </c>
      <c r="AN60" s="59">
        <f ca="1">AVERAGE(OFFSET($AM$3,0,0,'Données projet'!$E$10+1,1))-AVERAGE(OFFSET($H$3,0,0,'Données projet'!$E$10+1,1))</f>
        <v>279.39350157328471</v>
      </c>
      <c r="AO60" s="59">
        <f t="shared" si="36"/>
        <v>261.55559683031657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20.323248925279415</v>
      </c>
      <c r="AV60" s="21">
        <f>EXP(-LN(2)/25)*AV59+(1-EXP(-LN(2)/25))/(LN(2)/25)*Calculateur!AQ60*Calculateur!AS60*VLOOKUP('Données projet'!$B$10,Paramètres!$A$1:$I$89,3,0)*0.475*44/12</f>
        <v>31.949039389488114</v>
      </c>
      <c r="AW60" s="21">
        <f>EXP(-LN(2)/2)*AW59+(1-EXP(-LN(2)/2))/(LN(2)/2)*AQ60*AT60*VLOOKUP('Données projet'!$B$10,Paramètres!$A$1:$I$89,3,0)*0.475*44/12</f>
        <v>1.9826266913006063</v>
      </c>
      <c r="AX60" s="21">
        <f t="shared" si="6"/>
        <v>54.254915006068138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16.571428571428573</v>
      </c>
      <c r="BD60" s="12">
        <f>IF('Données projet'!$A$88&gt;35,BD59+BC60-BL59,IF(A60&lt;'Données projet'!$A$88,$BA$205^A60,IF(A60='Données projet'!$A$88,'Données projet'!$B$88,BD59+BC60-BL59)))</f>
        <v>489.28571428571456</v>
      </c>
      <c r="BE60" s="13">
        <f>BD60*VLOOKUP('Données projet'!$B$11,Paramètres!$A$1:$I$89,3,0)*VLOOKUP('Données projet'!$B$11,Paramètres!$A$1:$I$89,5,0)</f>
        <v>273.51071428571441</v>
      </c>
      <c r="BF60" s="13">
        <f t="shared" si="37"/>
        <v>65.59377034458177</v>
      </c>
      <c r="BG60" s="20">
        <f t="shared" si="7"/>
        <v>590.60697739776572</v>
      </c>
      <c r="BH60" s="59">
        <f t="shared" si="8"/>
        <v>883.94031073109909</v>
      </c>
      <c r="BI60" s="59">
        <f ca="1">AVERAGE(OFFSET($BH$3,0,0,'Données projet'!$E$11+1,1))-AVERAGE(OFFSET($H$3,0,0,'Données projet'!$E$11+1,1))</f>
        <v>342.37397177572871</v>
      </c>
      <c r="BJ60" s="59">
        <f t="shared" si="38"/>
        <v>331.32436050472762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17.327233032344385</v>
      </c>
      <c r="BQ60" s="21">
        <f>EXP(-LN(2)/25)*BQ59+(1-EXP(-LN(2)/25))/(LN(2)/25)*Calculateur!BL60*Calculateur!BN60*VLOOKUP('Données projet'!$B$11,Paramètres!$A$1:$I$89,3,0)*0.475*44/12</f>
        <v>44.922499223895045</v>
      </c>
      <c r="BR60" s="21">
        <f>EXP(-LN(2)/2)*BR59+(1-EXP(-LN(2)/2))/(LN(2)/2)*BL60*BO60*VLOOKUP('Données projet'!$B$11,Paramètres!$A$1:$I$89,3,0)*0.475*44/12</f>
        <v>4.3815179496597176</v>
      </c>
      <c r="BS60" s="22">
        <f t="shared" si="9"/>
        <v>66.63125020589915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219.10823999999994</v>
      </c>
      <c r="CA60" s="13">
        <f t="shared" si="39"/>
        <v>53.921020297295854</v>
      </c>
      <c r="CB60" s="20">
        <f t="shared" si="10"/>
        <v>475.52596168445672</v>
      </c>
      <c r="CC60" s="59">
        <f t="shared" si="11"/>
        <v>768.85929501779003</v>
      </c>
      <c r="CD60" s="59">
        <f ca="1">AVERAGE(OFFSET($CC$3,0,0,'Données projet'!$E$12+1,1))-AVERAGE(OFFSET($H$3,0,0,'Données projet'!$E$12+1,1))</f>
        <v>353.37479213497227</v>
      </c>
      <c r="CE60" s="59">
        <f t="shared" si="40"/>
        <v>345.4750813433123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34.151361150917211</v>
      </c>
      <c r="CL60" s="21">
        <f>EXP(-LN(2)/25)*CL59+(1-EXP(-LN(2)/25))/(LN(2)/25)*Calculateur!CG60*Calculateur!CI60*VLOOKUP('Données projet'!$B$12,Paramètres!$A$1:$I$89,3,0)*0.475*44/12</f>
        <v>3.1537866550025551</v>
      </c>
      <c r="CM60" s="21">
        <f>EXP(-LN(2)/2)*CM59+(1-EXP(-LN(2)/2))/(LN(2)/2)*CG60*CJ60*VLOOKUP('Données projet'!$B$12,Paramètres!$A$1:$I$89,3,0)*0.475*44/12</f>
        <v>0.45906519040843236</v>
      </c>
      <c r="CN60" s="22">
        <f t="shared" si="12"/>
        <v>37.764212996328197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277.99999999999994</v>
      </c>
      <c r="O61" s="13">
        <f>N61*VLOOKUP('Données projet'!$B$9,Paramètres!$A$1:$I$89,3,0)*VLOOKUP('Données projet'!$B$9,Paramètres!$A$1:$I$89,5,0)</f>
        <v>173.47199999999998</v>
      </c>
      <c r="P61" s="13">
        <f t="shared" si="33"/>
        <v>43.866718728383574</v>
      </c>
      <c r="Q61" s="20">
        <f t="shared" si="53"/>
        <v>378.53160178526804</v>
      </c>
      <c r="R61" s="59">
        <f t="shared" si="0"/>
        <v>671.86493511860135</v>
      </c>
      <c r="S61" s="59">
        <f ca="1">AVERAGE(OFFSET($R$3,0,0,'Données projet'!$E$9+1,1))-AVERAGE(OFFSET($H$3,0,0,'Données projet'!$E$9+1,1))</f>
        <v>232.56424130731699</v>
      </c>
      <c r="T61" s="59">
        <f t="shared" si="34"/>
        <v>384.58890620364178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18.269186149766757</v>
      </c>
      <c r="AA61" s="21">
        <f>EXP(-LN(2)/25)*AA60+(1-EXP(-LN(2)/25))/(LN(2)/25)*Calculateur!V61*Calculateur!X61*VLOOKUP('Données projet'!$B$9,Paramètres!$A$1:$I$89,3,0)*0.475*44/12</f>
        <v>36.757000388746782</v>
      </c>
      <c r="AB61" s="21">
        <f>EXP(-LN(2)/2)*AB60+(1-EXP(-LN(2)/2))/(LN(2)/2)*V61*Y61*VLOOKUP('Données projet'!$B$9,Paramètres!$A$1:$I$89,3,0)*0.475*44/12</f>
        <v>6.0328510045599684E-3</v>
      </c>
      <c r="AC61" s="22">
        <f t="shared" si="3"/>
        <v>55.032219389518104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15.4</v>
      </c>
      <c r="AI61" s="13">
        <f>IF('Données projet'!$A$62&gt;35,AI60+AH61-AQ60,IF(A61&lt;'Données projet'!$A$62,$AF$205^A61,IF(A61='Données projet'!$A$62,'Données projet'!$B$62,AI60+AH61-AQ60)))</f>
        <v>421.39999999999964</v>
      </c>
      <c r="AJ61" s="13">
        <f>AI61*VLOOKUP('Données projet'!$B$10,Paramètres!$A$1:$I$89,3,0)*VLOOKUP('Données projet'!$B$10,Paramètres!$A$1:$I$89,5,0)</f>
        <v>251.99719999999982</v>
      </c>
      <c r="AK61" s="13">
        <f t="shared" si="35"/>
        <v>61.013412917313183</v>
      </c>
      <c r="AL61" s="20">
        <f t="shared" si="4"/>
        <v>545.16015083098671</v>
      </c>
      <c r="AM61" s="59">
        <f t="shared" si="5"/>
        <v>838.49348416432008</v>
      </c>
      <c r="AN61" s="59">
        <f ca="1">AVERAGE(OFFSET($AM$3,0,0,'Données projet'!$E$10+1,1))-AVERAGE(OFFSET($H$3,0,0,'Données projet'!$E$10+1,1))</f>
        <v>279.39350157328471</v>
      </c>
      <c r="AO61" s="59">
        <f t="shared" si="36"/>
        <v>261.55559683031657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19.924722409812532</v>
      </c>
      <c r="AV61" s="21">
        <f>EXP(-LN(2)/25)*AV60+(1-EXP(-LN(2)/25))/(LN(2)/25)*Calculateur!AQ61*Calculateur!AS61*VLOOKUP('Données projet'!$B$10,Paramètres!$A$1:$I$89,3,0)*0.475*44/12</f>
        <v>31.075391227255601</v>
      </c>
      <c r="AW61" s="21">
        <f>EXP(-LN(2)/2)*AW60+(1-EXP(-LN(2)/2))/(LN(2)/2)*AQ61*AT61*VLOOKUP('Données projet'!$B$10,Paramètres!$A$1:$I$89,3,0)*0.475*44/12</f>
        <v>1.4019287779801066</v>
      </c>
      <c r="AX61" s="21">
        <f t="shared" si="6"/>
        <v>52.402042415048236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16.571428571428573</v>
      </c>
      <c r="BD61" s="12">
        <f>IF('Données projet'!$A$88&gt;35,BD60+BC61-BL60,IF(A61&lt;'Données projet'!$A$88,$BA$205^A61,IF(A61='Données projet'!$A$88,'Données projet'!$B$88,BD60+BC61-BL60)))</f>
        <v>505.85714285714312</v>
      </c>
      <c r="BE61" s="13">
        <f>BD61*VLOOKUP('Données projet'!$B$11,Paramètres!$A$1:$I$89,3,0)*VLOOKUP('Données projet'!$B$11,Paramètres!$A$1:$I$89,5,0)</f>
        <v>282.77414285714298</v>
      </c>
      <c r="BF61" s="13">
        <f t="shared" si="37"/>
        <v>67.552928203695515</v>
      </c>
      <c r="BG61" s="20">
        <f t="shared" si="7"/>
        <v>610.15298209762693</v>
      </c>
      <c r="BH61" s="59">
        <f t="shared" si="8"/>
        <v>903.4863154309603</v>
      </c>
      <c r="BI61" s="59">
        <f ca="1">AVERAGE(OFFSET($BH$3,0,0,'Données projet'!$E$11+1,1))-AVERAGE(OFFSET($H$3,0,0,'Données projet'!$E$11+1,1))</f>
        <v>342.37397177572871</v>
      </c>
      <c r="BJ61" s="59">
        <f t="shared" si="38"/>
        <v>331.32436050472762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16.987456561148701</v>
      </c>
      <c r="BQ61" s="21">
        <f>EXP(-LN(2)/25)*BQ60+(1-EXP(-LN(2)/25))/(LN(2)/25)*Calculateur!BL61*Calculateur!BN61*VLOOKUP('Données projet'!$B$11,Paramètres!$A$1:$I$89,3,0)*0.475*44/12</f>
        <v>43.694091120246071</v>
      </c>
      <c r="BR61" s="21">
        <f>EXP(-LN(2)/2)*BR60+(1-EXP(-LN(2)/2))/(LN(2)/2)*BL61*BO61*VLOOKUP('Données projet'!$B$11,Paramètres!$A$1:$I$89,3,0)*0.475*44/12</f>
        <v>3.0982010540949645</v>
      </c>
      <c r="BS61" s="22">
        <f t="shared" si="9"/>
        <v>63.77974873548974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224.04095999999993</v>
      </c>
      <c r="CA61" s="13">
        <f t="shared" si="39"/>
        <v>54.992235867381233</v>
      </c>
      <c r="CB61" s="20">
        <f t="shared" si="10"/>
        <v>485.98281613568884</v>
      </c>
      <c r="CC61" s="59">
        <f t="shared" si="11"/>
        <v>779.31614946902209</v>
      </c>
      <c r="CD61" s="59">
        <f ca="1">AVERAGE(OFFSET($CC$3,0,0,'Données projet'!$E$12+1,1))-AVERAGE(OFFSET($H$3,0,0,'Données projet'!$E$12+1,1))</f>
        <v>353.37479213497227</v>
      </c>
      <c r="CE61" s="59">
        <f t="shared" si="40"/>
        <v>345.4750813433123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33.481673789021208</v>
      </c>
      <c r="CL61" s="21">
        <f>EXP(-LN(2)/25)*CL60+(1-EXP(-LN(2)/25))/(LN(2)/25)*Calculateur!CG61*Calculateur!CI61*VLOOKUP('Données projet'!$B$12,Paramètres!$A$1:$I$89,3,0)*0.475*44/12</f>
        <v>3.0675461930710779</v>
      </c>
      <c r="CM61" s="21">
        <f>EXP(-LN(2)/2)*CM60+(1-EXP(-LN(2)/2))/(LN(2)/2)*CG61*CJ61*VLOOKUP('Données projet'!$B$12,Paramètres!$A$1:$I$89,3,0)*0.475*44/12</f>
        <v>0.32460810914449617</v>
      </c>
      <c r="CN61" s="22">
        <f t="shared" si="12"/>
        <v>36.873828091236788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277.99999999999994</v>
      </c>
      <c r="O62" s="13">
        <f>N62*VLOOKUP('Données projet'!$B$9,Paramètres!$A$1:$I$89,3,0)*VLOOKUP('Données projet'!$B$9,Paramètres!$A$1:$I$89,5,0)</f>
        <v>173.47199999999998</v>
      </c>
      <c r="P62" s="13">
        <f t="shared" si="33"/>
        <v>43.866718728383574</v>
      </c>
      <c r="Q62" s="20">
        <f t="shared" si="53"/>
        <v>378.53160178526804</v>
      </c>
      <c r="R62" s="59">
        <f t="shared" si="0"/>
        <v>671.86493511860135</v>
      </c>
      <c r="S62" s="59">
        <f ca="1">AVERAGE(OFFSET($R$3,0,0,'Données projet'!$E$9+1,1))-AVERAGE(OFFSET($H$3,0,0,'Données projet'!$E$9+1,1))</f>
        <v>232.56424130731699</v>
      </c>
      <c r="T62" s="59">
        <f t="shared" si="34"/>
        <v>384.58890620364178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17.910938552473091</v>
      </c>
      <c r="AA62" s="21">
        <f>EXP(-LN(2)/25)*AA61+(1-EXP(-LN(2)/25))/(LN(2)/25)*Calculateur!V62*Calculateur!X62*VLOOKUP('Données projet'!$B$9,Paramètres!$A$1:$I$89,3,0)*0.475*44/12</f>
        <v>35.75187828014986</v>
      </c>
      <c r="AB62" s="21">
        <f>EXP(-LN(2)/2)*AB61+(1-EXP(-LN(2)/2))/(LN(2)/2)*V62*Y62*VLOOKUP('Données projet'!$B$9,Paramètres!$A$1:$I$89,3,0)*0.475*44/12</f>
        <v>4.2658698552124289E-3</v>
      </c>
      <c r="AC62" s="22">
        <f t="shared" si="3"/>
        <v>53.667082702478162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15.4</v>
      </c>
      <c r="AI62" s="13">
        <f>IF('Données projet'!$A$62&gt;35,AI61+AH62-AQ61,IF(A62&lt;'Données projet'!$A$62,$AF$205^A62,IF(A62='Données projet'!$A$62,'Données projet'!$B$62,AI61+AH62-AQ61)))</f>
        <v>436.79999999999961</v>
      </c>
      <c r="AJ62" s="13">
        <f>AI62*VLOOKUP('Données projet'!$B$10,Paramètres!$A$1:$I$89,3,0)*VLOOKUP('Données projet'!$B$10,Paramètres!$A$1:$I$89,5,0)</f>
        <v>261.2063999999998</v>
      </c>
      <c r="AK62" s="13">
        <f t="shared" si="35"/>
        <v>62.97946435966054</v>
      </c>
      <c r="AL62" s="20">
        <f t="shared" si="4"/>
        <v>564.62371375974169</v>
      </c>
      <c r="AM62" s="59">
        <f t="shared" si="5"/>
        <v>857.95704709307506</v>
      </c>
      <c r="AN62" s="59">
        <f ca="1">AVERAGE(OFFSET($AM$3,0,0,'Données projet'!$E$10+1,1))-AVERAGE(OFFSET($H$3,0,0,'Données projet'!$E$10+1,1))</f>
        <v>279.39350157328471</v>
      </c>
      <c r="AO62" s="59">
        <f t="shared" si="36"/>
        <v>261.55559683031657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19.534010756236782</v>
      </c>
      <c r="AV62" s="21">
        <f>EXP(-LN(2)/25)*AV61+(1-EXP(-LN(2)/25))/(LN(2)/25)*Calculateur!AQ62*Calculateur!AS62*VLOOKUP('Données projet'!$B$10,Paramètres!$A$1:$I$89,3,0)*0.475*44/12</f>
        <v>30.225633019962494</v>
      </c>
      <c r="AW62" s="21">
        <f>EXP(-LN(2)/2)*AW61+(1-EXP(-LN(2)/2))/(LN(2)/2)*AQ62*AT62*VLOOKUP('Données projet'!$B$10,Paramètres!$A$1:$I$89,3,0)*0.475*44/12</f>
        <v>0.99131334565030327</v>
      </c>
      <c r="AX62" s="21">
        <f t="shared" si="6"/>
        <v>50.750957121849581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16.571428571428573</v>
      </c>
      <c r="BD62" s="12">
        <f>IF('Données projet'!$A$88&gt;35,BD61+BC62-BL61,IF(A62&lt;'Données projet'!$A$88,$BA$205^A62,IF(A62='Données projet'!$A$88,'Données projet'!$B$88,BD61+BC62-BL61)))</f>
        <v>522.42857142857167</v>
      </c>
      <c r="BE62" s="13">
        <f>BD62*VLOOKUP('Données projet'!$B$11,Paramètres!$A$1:$I$89,3,0)*VLOOKUP('Données projet'!$B$11,Paramètres!$A$1:$I$89,5,0)</f>
        <v>292.0375714285716</v>
      </c>
      <c r="BF62" s="13">
        <f t="shared" si="37"/>
        <v>69.504628296156113</v>
      </c>
      <c r="BG62" s="20">
        <f t="shared" si="7"/>
        <v>629.68599785390074</v>
      </c>
      <c r="BH62" s="59">
        <f t="shared" si="8"/>
        <v>923.019331187234</v>
      </c>
      <c r="BI62" s="59">
        <f ca="1">AVERAGE(OFFSET($BH$3,0,0,'Données projet'!$E$11+1,1))-AVERAGE(OFFSET($H$3,0,0,'Données projet'!$E$11+1,1))</f>
        <v>342.37397177572871</v>
      </c>
      <c r="BJ62" s="59">
        <f t="shared" si="38"/>
        <v>331.32436050472762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16.654342899309981</v>
      </c>
      <c r="BQ62" s="21">
        <f>EXP(-LN(2)/25)*BQ61+(1-EXP(-LN(2)/25))/(LN(2)/25)*Calculateur!BL62*Calculateur!BN62*VLOOKUP('Données projet'!$B$11,Paramètres!$A$1:$I$89,3,0)*0.475*44/12</f>
        <v>42.499273900790556</v>
      </c>
      <c r="BR62" s="21">
        <f>EXP(-LN(2)/2)*BR61+(1-EXP(-LN(2)/2))/(LN(2)/2)*BL62*BO62*VLOOKUP('Données projet'!$B$11,Paramètres!$A$1:$I$89,3,0)*0.475*44/12</f>
        <v>2.1907589748298593</v>
      </c>
      <c r="BS62" s="22">
        <f t="shared" si="9"/>
        <v>61.344375774930398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228.97367999999994</v>
      </c>
      <c r="CA62" s="13">
        <f t="shared" si="39"/>
        <v>56.060709423888284</v>
      </c>
      <c r="CB62" s="20">
        <f t="shared" si="10"/>
        <v>496.43489491327199</v>
      </c>
      <c r="CC62" s="59">
        <f t="shared" si="11"/>
        <v>789.7682282466053</v>
      </c>
      <c r="CD62" s="59">
        <f ca="1">AVERAGE(OFFSET($CC$3,0,0,'Données projet'!$E$12+1,1))-AVERAGE(OFFSET($H$3,0,0,'Données projet'!$E$12+1,1))</f>
        <v>353.37479213497227</v>
      </c>
      <c r="CE62" s="59">
        <f t="shared" si="40"/>
        <v>345.4750813433123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32.825118587823027</v>
      </c>
      <c r="CL62" s="21">
        <f>EXP(-LN(2)/25)*CL61+(1-EXP(-LN(2)/25))/(LN(2)/25)*Calculateur!CG62*Calculateur!CI62*VLOOKUP('Données projet'!$B$12,Paramètres!$A$1:$I$89,3,0)*0.475*44/12</f>
        <v>2.9836639811063059</v>
      </c>
      <c r="CM62" s="21">
        <f>EXP(-LN(2)/2)*CM61+(1-EXP(-LN(2)/2))/(LN(2)/2)*CG62*CJ62*VLOOKUP('Données projet'!$B$12,Paramètres!$A$1:$I$89,3,0)*0.475*44/12</f>
        <v>0.22953259520421621</v>
      </c>
      <c r="CN62" s="22">
        <f t="shared" si="12"/>
        <v>36.03831516413355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277.99999999999994</v>
      </c>
      <c r="O63" s="13">
        <f>N63*VLOOKUP('Données projet'!$B$9,Paramètres!$A$1:$I$89,3,0)*VLOOKUP('Données projet'!$B$9,Paramètres!$A$1:$I$89,5,0)</f>
        <v>173.47199999999998</v>
      </c>
      <c r="P63" s="13">
        <f t="shared" si="33"/>
        <v>43.866718728383574</v>
      </c>
      <c r="Q63" s="20">
        <f t="shared" si="53"/>
        <v>378.53160178526804</v>
      </c>
      <c r="R63" s="59">
        <f t="shared" si="0"/>
        <v>671.86493511860135</v>
      </c>
      <c r="S63" s="59">
        <f ca="1">AVERAGE(OFFSET($R$3,0,0,'Données projet'!$E$9+1,1))-AVERAGE(OFFSET($H$3,0,0,'Données projet'!$E$9+1,1))</f>
        <v>232.56424130731699</v>
      </c>
      <c r="T63" s="59">
        <f t="shared" si="34"/>
        <v>384.58890620364178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17.559715972052896</v>
      </c>
      <c r="AA63" s="21">
        <f>EXP(-LN(2)/25)*AA62+(1-EXP(-LN(2)/25))/(LN(2)/25)*Calculateur!V63*Calculateur!X63*VLOOKUP('Données projet'!$B$9,Paramètres!$A$1:$I$89,3,0)*0.475*44/12</f>
        <v>34.774241288469597</v>
      </c>
      <c r="AB63" s="21">
        <f>EXP(-LN(2)/2)*AB62+(1-EXP(-LN(2)/2))/(LN(2)/2)*V63*Y63*VLOOKUP('Données projet'!$B$9,Paramètres!$A$1:$I$89,3,0)*0.475*44/12</f>
        <v>3.0164255022799842E-3</v>
      </c>
      <c r="AC63" s="22">
        <f t="shared" si="3"/>
        <v>52.336973686024777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15.4</v>
      </c>
      <c r="AI63" s="13">
        <f>IF('Données projet'!$A$62&gt;35,AI62+AH63-AQ62,IF(A63&lt;'Données projet'!$A$62,$AF$205^A63,IF(A63='Données projet'!$A$62,'Données projet'!$B$62,AI62+AH63-AQ62)))</f>
        <v>452.19999999999959</v>
      </c>
      <c r="AJ63" s="13">
        <f>AI63*VLOOKUP('Données projet'!$B$10,Paramètres!$A$1:$I$89,3,0)*VLOOKUP('Données projet'!$B$10,Paramètres!$A$1:$I$89,5,0)</f>
        <v>270.41559999999981</v>
      </c>
      <c r="AK63" s="13">
        <f t="shared" si="35"/>
        <v>64.937462199941464</v>
      </c>
      <c r="AL63" s="20">
        <f t="shared" si="4"/>
        <v>584.07324999823106</v>
      </c>
      <c r="AM63" s="59">
        <f t="shared" si="5"/>
        <v>877.40658333156443</v>
      </c>
      <c r="AN63" s="59">
        <f ca="1">AVERAGE(OFFSET($AM$3,0,0,'Données projet'!$E$10+1,1))-AVERAGE(OFFSET($H$3,0,0,'Données projet'!$E$10+1,1))</f>
        <v>279.39350157328471</v>
      </c>
      <c r="AO63" s="59">
        <f t="shared" si="36"/>
        <v>261.55559683031657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19.150960719877073</v>
      </c>
      <c r="AV63" s="21">
        <f>EXP(-LN(2)/25)*AV62+(1-EXP(-LN(2)/25))/(LN(2)/25)*Calculateur!AQ63*Calculateur!AS63*VLOOKUP('Données projet'!$B$10,Paramètres!$A$1:$I$89,3,0)*0.475*44/12</f>
        <v>29.399111495534662</v>
      </c>
      <c r="AW63" s="21">
        <f>EXP(-LN(2)/2)*AW62+(1-EXP(-LN(2)/2))/(LN(2)/2)*AQ63*AT63*VLOOKUP('Données projet'!$B$10,Paramètres!$A$1:$I$89,3,0)*0.475*44/12</f>
        <v>0.70096438899005342</v>
      </c>
      <c r="AX63" s="21">
        <f t="shared" si="6"/>
        <v>49.251036604401783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539</v>
      </c>
      <c r="BB63" s="12">
        <f>VLOOKUP(A63,'Données projet'!$A$87:$I$107,9,0)</f>
        <v>16.571428571428573</v>
      </c>
      <c r="BC63" s="12">
        <f t="array" ref="BC63">INDEX(BB:BB,MIN(IF(ISNUMBER(BB63:BB259),ROW(BB63:BB259),"")))</f>
        <v>16.571428571428573</v>
      </c>
      <c r="BD63" s="12">
        <f>IF('Données projet'!$A$88&gt;35,BD62+BC63-BL62,IF(A63&lt;'Données projet'!$A$88,$BA$205^A63,IF(A63='Données projet'!$A$88,'Données projet'!$B$88,BD62+BC63-BL62)))</f>
        <v>539.00000000000023</v>
      </c>
      <c r="BE63" s="13">
        <f>BD63*VLOOKUP('Données projet'!$B$11,Paramètres!$A$1:$I$89,3,0)*VLOOKUP('Données projet'!$B$11,Paramètres!$A$1:$I$89,5,0)</f>
        <v>301.30100000000016</v>
      </c>
      <c r="BF63" s="13">
        <f t="shared" si="37"/>
        <v>71.449134320655617</v>
      </c>
      <c r="BG63" s="20">
        <f t="shared" si="7"/>
        <v>649.20648394180876</v>
      </c>
      <c r="BH63" s="59">
        <f t="shared" si="8"/>
        <v>942.53981727514201</v>
      </c>
      <c r="BI63" s="59">
        <f ca="1">AVERAGE(OFFSET($BH$3,0,0,'Données projet'!$E$11+1,1))-AVERAGE(OFFSET($H$3,0,0,'Données projet'!$E$11+1,1))</f>
        <v>342.37397177572871</v>
      </c>
      <c r="BJ63" s="59">
        <f t="shared" si="38"/>
        <v>331.32436050472762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80</v>
      </c>
      <c r="BM63" s="16">
        <f>IF(ISNA(VLOOKUP(A63,'Données projet'!$A$87:$I$107,5,0)),0%,VLOOKUP(A63,'Données projet'!$A$87:$I$107,5,0)*VLOOKUP('Données projet'!$B$11,Paramètres!$A$1:$I$89,7,0))</f>
        <v>0.22000000000000003</v>
      </c>
      <c r="BN63" s="16">
        <f>IF(ISNA(VLOOKUP(A63,'Données projet'!$A$87:$I$107,6,0)),0%,VLOOKUP(A63,'Données projet'!$A$87:$I$107,6,0)*VLOOKUP('Données projet'!$B$11,Paramètres!$A$1:$I$89,7,0))</f>
        <v>0.22000000000000003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29.379033131597019</v>
      </c>
      <c r="BQ63" s="21">
        <f>EXP(-LN(2)/25)*BQ62+(1-EXP(-LN(2)/25))/(LN(2)/25)*Calculateur!BL63*Calculateur!BN63*VLOOKUP('Données projet'!$B$11,Paramètres!$A$1:$I$89,3,0)*0.475*44/12</f>
        <v>54.337012929671658</v>
      </c>
      <c r="BR63" s="21">
        <f>EXP(-LN(2)/2)*BR62+(1-EXP(-LN(2)/2))/(LN(2)/2)*BL63*BO63*VLOOKUP('Données projet'!$B$11,Paramètres!$A$1:$I$89,3,0)*0.475*44/12</f>
        <v>11.675786196124195</v>
      </c>
      <c r="BS63" s="22">
        <f t="shared" si="9"/>
        <v>95.391832257392878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233.90639999999991</v>
      </c>
      <c r="CA63" s="13">
        <f t="shared" si="39"/>
        <v>57.126506840778347</v>
      </c>
      <c r="CB63" s="20">
        <f t="shared" si="10"/>
        <v>506.88231274768879</v>
      </c>
      <c r="CC63" s="59">
        <f t="shared" si="11"/>
        <v>800.2156460810221</v>
      </c>
      <c r="CD63" s="59">
        <f ca="1">AVERAGE(OFFSET($CC$3,0,0,'Données projet'!$E$12+1,1))-AVERAGE(OFFSET($H$3,0,0,'Données projet'!$E$12+1,1))</f>
        <v>353.37479213497227</v>
      </c>
      <c r="CE63" s="59">
        <f t="shared" si="40"/>
        <v>345.4750813433123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0.42400000000000004</v>
      </c>
      <c r="CI63" s="16">
        <f>IF(ISNA(VLOOKUP(A63,'Données projet'!$A$113:$I$133,6,0)),0%,VLOOKUP(A63,'Données projet'!$A$113:$I$133,6,0)*VLOOKUP('Données projet'!$B$12,Paramètres!$A$1:$I$89,7,0))</f>
        <v>2.12E-2</v>
      </c>
      <c r="CJ63" s="16">
        <f>IF(ISNA(VLOOKUP(A63,'Données projet'!$A$113:$I$133,7,0)),0%,VLOOKUP(A63,'Données projet'!$A$113:$I$133,7,0))</f>
        <v>0.06</v>
      </c>
      <c r="CK63" s="21">
        <f>EXP(-LN(2)/35)*CK62+(1-EXP(-LN(2)/35))/(LN(2)/35)*CG63*CH63*VLOOKUP('Données projet'!$B$12,Paramètres!$A$1:$I$89,3,0)*0.475*44/12</f>
        <v>37.402222654426495</v>
      </c>
      <c r="CL63" s="21">
        <f>EXP(-LN(2)/25)*CL62+(1-EXP(-LN(2)/25))/(LN(2)/25)*Calculateur!CG63*Calculateur!CI63*VLOOKUP('Données projet'!$B$12,Paramètres!$A$1:$I$89,3,0)*0.475*44/12</f>
        <v>3.1620869527608062</v>
      </c>
      <c r="CM63" s="21">
        <f>EXP(-LN(2)/2)*CM62+(1-EXP(-LN(2)/2))/(LN(2)/2)*CG63*CJ63*VLOOKUP('Données projet'!$B$12,Paramètres!$A$1:$I$89,3,0)*0.475*44/12</f>
        <v>0.79286686571068743</v>
      </c>
      <c r="CN63" s="22">
        <f t="shared" si="12"/>
        <v>41.35717647289799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277.99999999999994</v>
      </c>
      <c r="O64" s="13">
        <f>N64*VLOOKUP('Données projet'!$B$9,Paramètres!$A$1:$I$89,3,0)*VLOOKUP('Données projet'!$B$9,Paramètres!$A$1:$I$89,5,0)</f>
        <v>173.47199999999998</v>
      </c>
      <c r="P64" s="13">
        <f t="shared" si="33"/>
        <v>43.866718728383574</v>
      </c>
      <c r="Q64" s="20">
        <f t="shared" si="53"/>
        <v>378.53160178526804</v>
      </c>
      <c r="R64" s="59">
        <f t="shared" si="0"/>
        <v>671.86493511860135</v>
      </c>
      <c r="S64" s="59">
        <f ca="1">AVERAGE(OFFSET($R$3,0,0,'Données projet'!$E$9+1,1))-AVERAGE(OFFSET($H$3,0,0,'Données projet'!$E$9+1,1))</f>
        <v>232.56424130731699</v>
      </c>
      <c r="T64" s="59">
        <f t="shared" si="34"/>
        <v>384.58890620364178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17.215380652210118</v>
      </c>
      <c r="AA64" s="21">
        <f>EXP(-LN(2)/25)*AA63+(1-EXP(-LN(2)/25))/(LN(2)/25)*Calculateur!V64*Calculateur!X64*VLOOKUP('Données projet'!$B$9,Paramètres!$A$1:$I$89,3,0)*0.475*44/12</f>
        <v>33.82333783173852</v>
      </c>
      <c r="AB64" s="21">
        <f>EXP(-LN(2)/2)*AB63+(1-EXP(-LN(2)/2))/(LN(2)/2)*V64*Y64*VLOOKUP('Données projet'!$B$9,Paramètres!$A$1:$I$89,3,0)*0.475*44/12</f>
        <v>2.1329349276062145E-3</v>
      </c>
      <c r="AC64" s="22">
        <f t="shared" si="3"/>
        <v>51.040851418876251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15.4</v>
      </c>
      <c r="AI64" s="13">
        <f>IF('Données projet'!$A$62&gt;35,AI63+AH64-AQ63,IF(A64&lt;'Données projet'!$A$62,$AF$205^A64,IF(A64='Données projet'!$A$62,'Données projet'!$B$62,AI63+AH64-AQ63)))</f>
        <v>467.59999999999957</v>
      </c>
      <c r="AJ64" s="13">
        <f>AI64*VLOOKUP('Données projet'!$B$10,Paramètres!$A$1:$I$89,3,0)*VLOOKUP('Données projet'!$B$10,Paramètres!$A$1:$I$89,5,0)</f>
        <v>279.62479999999977</v>
      </c>
      <c r="AK64" s="13">
        <f t="shared" si="35"/>
        <v>66.887712148587724</v>
      </c>
      <c r="AL64" s="20">
        <f t="shared" si="4"/>
        <v>603.50929199212317</v>
      </c>
      <c r="AM64" s="59">
        <f t="shared" si="5"/>
        <v>896.84262532545654</v>
      </c>
      <c r="AN64" s="59">
        <f ca="1">AVERAGE(OFFSET($AM$3,0,0,'Données projet'!$E$10+1,1))-AVERAGE(OFFSET($H$3,0,0,'Données projet'!$E$10+1,1))</f>
        <v>279.39350157328471</v>
      </c>
      <c r="AO64" s="59">
        <f t="shared" si="36"/>
        <v>261.55559683031657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18.775422061092925</v>
      </c>
      <c r="AV64" s="21">
        <f>EXP(-LN(2)/25)*AV63+(1-EXP(-LN(2)/25))/(LN(2)/25)*Calculateur!AQ64*Calculateur!AS64*VLOOKUP('Données projet'!$B$10,Paramètres!$A$1:$I$89,3,0)*0.475*44/12</f>
        <v>28.595191245657187</v>
      </c>
      <c r="AW64" s="21">
        <f>EXP(-LN(2)/2)*AW63+(1-EXP(-LN(2)/2))/(LN(2)/2)*AQ64*AT64*VLOOKUP('Données projet'!$B$10,Paramètres!$A$1:$I$89,3,0)*0.475*44/12</f>
        <v>0.49565667282515175</v>
      </c>
      <c r="AX64" s="21">
        <f t="shared" si="6"/>
        <v>47.866269979575264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14.571428571428571</v>
      </c>
      <c r="BD64" s="12">
        <f>IF('Données projet'!$A$88&gt;35,BD63+BC64-BL63,IF(A64&lt;'Données projet'!$A$88,$BA$205^A64,IF(A64='Données projet'!$A$88,'Données projet'!$B$88,BD63+BC64-BL63)))</f>
        <v>473.57142857142878</v>
      </c>
      <c r="BE64" s="13">
        <f>BD64*VLOOKUP('Données projet'!$B$11,Paramètres!$A$1:$I$89,3,0)*VLOOKUP('Données projet'!$B$11,Paramètres!$A$1:$I$89,5,0)</f>
        <v>264.7264285714287</v>
      </c>
      <c r="BF64" s="13">
        <f t="shared" si="37"/>
        <v>63.728802760012385</v>
      </c>
      <c r="BG64" s="20">
        <f t="shared" si="7"/>
        <v>572.0595279022599</v>
      </c>
      <c r="BH64" s="59">
        <f t="shared" si="8"/>
        <v>865.39286123559327</v>
      </c>
      <c r="BI64" s="59">
        <f ca="1">AVERAGE(OFFSET($BH$3,0,0,'Données projet'!$E$11+1,1))-AVERAGE(OFFSET($H$3,0,0,'Données projet'!$E$11+1,1))</f>
        <v>342.37397177572871</v>
      </c>
      <c r="BJ64" s="59">
        <f t="shared" si="38"/>
        <v>331.32436050472762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28.802928211327213</v>
      </c>
      <c r="BQ64" s="21">
        <f>EXP(-LN(2)/25)*BQ63+(1-EXP(-LN(2)/25))/(LN(2)/25)*Calculateur!BL64*Calculateur!BN64*VLOOKUP('Données projet'!$B$11,Paramètres!$A$1:$I$89,3,0)*0.475*44/12</f>
        <v>52.851164453650469</v>
      </c>
      <c r="BR64" s="21">
        <f>EXP(-LN(2)/2)*BR63+(1-EXP(-LN(2)/2))/(LN(2)/2)*BL64*BO64*VLOOKUP('Données projet'!$B$11,Paramètres!$A$1:$I$89,3,0)*0.475*44/12</f>
        <v>8.2560275949637028</v>
      </c>
      <c r="BS64" s="22">
        <f t="shared" si="9"/>
        <v>89.91012025994138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226.90511999999993</v>
      </c>
      <c r="CA64" s="13">
        <f t="shared" si="39"/>
        <v>55.612969408444364</v>
      </c>
      <c r="CB64" s="20">
        <f t="shared" si="10"/>
        <v>492.05233905304044</v>
      </c>
      <c r="CC64" s="59">
        <f t="shared" si="11"/>
        <v>785.3856723863737</v>
      </c>
      <c r="CD64" s="59">
        <f ca="1">AVERAGE(OFFSET($CC$3,0,0,'Données projet'!$E$12+1,1))-AVERAGE(OFFSET($H$3,0,0,'Données projet'!$E$12+1,1))</f>
        <v>353.37479213497227</v>
      </c>
      <c r="CE64" s="59">
        <f t="shared" si="40"/>
        <v>345.4750813433123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36.668787881276401</v>
      </c>
      <c r="CL64" s="21">
        <f>EXP(-LN(2)/25)*CL63+(1-EXP(-LN(2)/25))/(LN(2)/25)*Calculateur!CG64*Calculateur!CI64*VLOOKUP('Données projet'!$B$12,Paramètres!$A$1:$I$89,3,0)*0.475*44/12</f>
        <v>3.0756195187506363</v>
      </c>
      <c r="CM64" s="21">
        <f>EXP(-LN(2)/2)*CM63+(1-EXP(-LN(2)/2))/(LN(2)/2)*CG64*CJ64*VLOOKUP('Données projet'!$B$12,Paramètres!$A$1:$I$89,3,0)*0.475*44/12</f>
        <v>0.56064153732215083</v>
      </c>
      <c r="CN64" s="22">
        <f t="shared" si="12"/>
        <v>40.305048937349184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277.99999999999994</v>
      </c>
      <c r="O65" s="13">
        <f>N65*VLOOKUP('Données projet'!$B$9,Paramètres!$A$1:$I$89,3,0)*VLOOKUP('Données projet'!$B$9,Paramètres!$A$1:$I$89,5,0)</f>
        <v>173.47199999999998</v>
      </c>
      <c r="P65" s="13">
        <f t="shared" si="33"/>
        <v>43.866718728383574</v>
      </c>
      <c r="Q65" s="20">
        <f t="shared" si="53"/>
        <v>378.53160178526804</v>
      </c>
      <c r="R65" s="59">
        <f t="shared" si="0"/>
        <v>671.86493511860135</v>
      </c>
      <c r="S65" s="59">
        <f ca="1">AVERAGE(OFFSET($R$3,0,0,'Données projet'!$E$9+1,1))-AVERAGE(OFFSET($H$3,0,0,'Données projet'!$E$9+1,1))</f>
        <v>232.56424130731699</v>
      </c>
      <c r="T65" s="59">
        <f t="shared" si="34"/>
        <v>384.58890620364178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16.877797537965652</v>
      </c>
      <c r="AA65" s="21">
        <f>EXP(-LN(2)/25)*AA64+(1-EXP(-LN(2)/25))/(LN(2)/25)*Calculateur!V65*Calculateur!X65*VLOOKUP('Données projet'!$B$9,Paramètres!$A$1:$I$89,3,0)*0.475*44/12</f>
        <v>32.8984368800376</v>
      </c>
      <c r="AB65" s="21">
        <f>EXP(-LN(2)/2)*AB64+(1-EXP(-LN(2)/2))/(LN(2)/2)*V65*Y65*VLOOKUP('Données projet'!$B$9,Paramètres!$A$1:$I$89,3,0)*0.475*44/12</f>
        <v>1.5082127511399921E-3</v>
      </c>
      <c r="AC65" s="22">
        <f t="shared" si="3"/>
        <v>49.777742630754396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483</v>
      </c>
      <c r="AG65" s="12">
        <f>VLOOKUP(A65,'Données projet'!$A$61:$I$81,9,0)</f>
        <v>15.4</v>
      </c>
      <c r="AH65" s="12">
        <f t="array" ref="AH65">INDEX(AG:AG,MIN(IF(ISNUMBER(AG65:AG261),ROW(AG65:AG261),"")))</f>
        <v>15.4</v>
      </c>
      <c r="AI65" s="13">
        <f>IF('Données projet'!$A$62&gt;35,AI64+AH65-AQ64,IF(A65&lt;'Données projet'!$A$62,$AF$205^A65,IF(A65='Données projet'!$A$62,'Données projet'!$B$62,AI64+AH65-AQ64)))</f>
        <v>482.99999999999955</v>
      </c>
      <c r="AJ65" s="13">
        <f>AI65*VLOOKUP('Données projet'!$B$10,Paramètres!$A$1:$I$89,3,0)*VLOOKUP('Données projet'!$B$10,Paramètres!$A$1:$I$89,5,0)</f>
        <v>288.83399999999978</v>
      </c>
      <c r="AK65" s="13">
        <f t="shared" si="35"/>
        <v>68.83049863656332</v>
      </c>
      <c r="AL65" s="20">
        <f t="shared" si="4"/>
        <v>622.93233512534732</v>
      </c>
      <c r="AM65" s="59">
        <f t="shared" si="5"/>
        <v>916.26566845868069</v>
      </c>
      <c r="AN65" s="59">
        <f ca="1">AVERAGE(OFFSET($AM$3,0,0,'Données projet'!$E$10+1,1))-AVERAGE(OFFSET($H$3,0,0,'Données projet'!$E$10+1,1))</f>
        <v>279.39350157328471</v>
      </c>
      <c r="AO65" s="59">
        <f t="shared" si="36"/>
        <v>261.55559683031657</v>
      </c>
      <c r="AP65" s="15">
        <f>IF(ISNA(VLOOKUP(A65,'Données projet'!$A$61:$I$81,3,0)),0,VLOOKUP(A65,'Données projet'!$A$61:$I$81,3,0))</f>
        <v>7</v>
      </c>
      <c r="AQ65" s="15">
        <f>IF(ISNA(VLOOKUP(A65,'Données projet'!$A$61:$I$81,4,0)),0,VLOOKUP(A65,'Données projet'!$A$61:$I$81,4,0))</f>
        <v>67</v>
      </c>
      <c r="AR65" s="16">
        <f>IF(ISNA(VLOOKUP(A65,'Données projet'!$A$61:$I$81,5,0)),0%,VLOOKUP(A65,'Données projet'!$A$61:$I$81,5,0)*VLOOKUP('Données projet'!$B$10,Paramètres!$A$1:$I$89,7,0))</f>
        <v>0.22500000000000001</v>
      </c>
      <c r="AS65" s="16">
        <f>IF(ISNA(VLOOKUP(A65,'Données projet'!$A$61:$I$81,6,0)),0%,VLOOKUP(A65,'Données projet'!$A$61:$I$81,6,0)*VLOOKUP('Données projet'!$B$10,Paramètres!$A$1:$I$89,7,0))</f>
        <v>0.13500000000000001</v>
      </c>
      <c r="AT65" s="16">
        <f>IF(ISNA(VLOOKUP(A65,'Données projet'!$A$61:$I$81,7,0)),0%,VLOOKUP(A65,'Données projet'!$A$61:$I$81,7,0))</f>
        <v>0.2</v>
      </c>
      <c r="AU65" s="21">
        <f>EXP(-LN(2)/35)*AU64+(1-EXP(-LN(2)/35))/(LN(2)/35)*AQ65*AR65*VLOOKUP('Données projet'!$B$10,Paramètres!$A$1:$I$89,3,0)*0.475*44/12</f>
        <v>30.366027067470711</v>
      </c>
      <c r="AV65" s="21">
        <f>EXP(-LN(2)/25)*AV64+(1-EXP(-LN(2)/25))/(LN(2)/25)*Calculateur!AQ65*Calculateur!AS65*VLOOKUP('Données projet'!$B$10,Paramètres!$A$1:$I$89,3,0)*0.475*44/12</f>
        <v>34.960270222842553</v>
      </c>
      <c r="AW65" s="21">
        <f>EXP(-LN(2)/2)*AW64+(1-EXP(-LN(2)/2))/(LN(2)/2)*AQ65*AT65*VLOOKUP('Données projet'!$B$10,Paramètres!$A$1:$I$89,3,0)*0.475*44/12</f>
        <v>9.4232860410341051</v>
      </c>
      <c r="AX65" s="21">
        <f t="shared" si="6"/>
        <v>74.749583331347367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14.571428571428571</v>
      </c>
      <c r="BD65" s="12">
        <f>IF('Données projet'!$A$88&gt;35,BD64+BC65-BL64,IF(A65&lt;'Données projet'!$A$88,$BA$205^A65,IF(A65='Données projet'!$A$88,'Données projet'!$B$88,BD64+BC65-BL64)))</f>
        <v>488.14285714285734</v>
      </c>
      <c r="BE65" s="13">
        <f>BD65*VLOOKUP('Données projet'!$B$11,Paramètres!$A$1:$I$89,3,0)*VLOOKUP('Données projet'!$B$11,Paramètres!$A$1:$I$89,5,0)</f>
        <v>272.87185714285727</v>
      </c>
      <c r="BF65" s="13">
        <f t="shared" si="37"/>
        <v>65.458374043673842</v>
      </c>
      <c r="BG65" s="20">
        <f t="shared" si="7"/>
        <v>589.25848598320829</v>
      </c>
      <c r="BH65" s="59">
        <f t="shared" si="8"/>
        <v>882.59181931654166</v>
      </c>
      <c r="BI65" s="59">
        <f ca="1">AVERAGE(OFFSET($BH$3,0,0,'Données projet'!$E$11+1,1))-AVERAGE(OFFSET($H$3,0,0,'Données projet'!$E$11+1,1))</f>
        <v>342.37397177572871</v>
      </c>
      <c r="BJ65" s="59">
        <f t="shared" si="38"/>
        <v>331.32436050472762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28.238120357154596</v>
      </c>
      <c r="BQ65" s="21">
        <f>EXP(-LN(2)/25)*BQ64+(1-EXP(-LN(2)/25))/(LN(2)/25)*Calculateur!BL65*Calculateur!BN65*VLOOKUP('Données projet'!$B$11,Paramètres!$A$1:$I$89,3,0)*0.475*44/12</f>
        <v>51.405946582343454</v>
      </c>
      <c r="BR65" s="21">
        <f>EXP(-LN(2)/2)*BR64+(1-EXP(-LN(2)/2))/(LN(2)/2)*BL65*BO65*VLOOKUP('Données projet'!$B$11,Paramètres!$A$1:$I$89,3,0)*0.475*44/12</f>
        <v>5.8378930980620973</v>
      </c>
      <c r="BS65" s="22">
        <f t="shared" si="9"/>
        <v>85.481960037560142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231.04223999999991</v>
      </c>
      <c r="CA65" s="13">
        <f t="shared" si="39"/>
        <v>56.507978852931409</v>
      </c>
      <c r="CB65" s="20">
        <f t="shared" si="10"/>
        <v>500.81663116885539</v>
      </c>
      <c r="CC65" s="59">
        <f t="shared" si="11"/>
        <v>794.14996450218871</v>
      </c>
      <c r="CD65" s="59">
        <f ca="1">AVERAGE(OFFSET($CC$3,0,0,'Données projet'!$E$12+1,1))-AVERAGE(OFFSET($H$3,0,0,'Données projet'!$E$12+1,1))</f>
        <v>353.37479213497227</v>
      </c>
      <c r="CE65" s="59">
        <f t="shared" si="40"/>
        <v>345.4750813433123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35.949735316676744</v>
      </c>
      <c r="CL65" s="21">
        <f>EXP(-LN(2)/25)*CL64+(1-EXP(-LN(2)/25))/(LN(2)/25)*Calculateur!CG65*Calculateur!CI65*VLOOKUP('Données projet'!$B$12,Paramètres!$A$1:$I$89,3,0)*0.475*44/12</f>
        <v>2.9915165412705993</v>
      </c>
      <c r="CM65" s="21">
        <f>EXP(-LN(2)/2)*CM64+(1-EXP(-LN(2)/2))/(LN(2)/2)*CG65*CJ65*VLOOKUP('Données projet'!$B$12,Paramètres!$A$1:$I$89,3,0)*0.475*44/12</f>
        <v>0.39643343285534377</v>
      </c>
      <c r="CN65" s="22">
        <f t="shared" si="12"/>
        <v>39.337685290802689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277.99999999999994</v>
      </c>
      <c r="O66" s="13">
        <f>N66*VLOOKUP('Données projet'!$B$9,Paramètres!$A$1:$I$89,3,0)*VLOOKUP('Données projet'!$B$9,Paramètres!$A$1:$I$89,5,0)</f>
        <v>173.47199999999998</v>
      </c>
      <c r="P66" s="13">
        <f t="shared" si="33"/>
        <v>43.866718728383574</v>
      </c>
      <c r="Q66" s="20">
        <f t="shared" si="53"/>
        <v>378.53160178526804</v>
      </c>
      <c r="R66" s="59">
        <f t="shared" si="0"/>
        <v>671.86493511860135</v>
      </c>
      <c r="S66" s="59">
        <f ca="1">AVERAGE(OFFSET($R$3,0,0,'Données projet'!$E$9+1,1))-AVERAGE(OFFSET($H$3,0,0,'Données projet'!$E$9+1,1))</f>
        <v>232.56424130731699</v>
      </c>
      <c r="T66" s="59">
        <f t="shared" si="34"/>
        <v>384.58890620364178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16.546834222686151</v>
      </c>
      <c r="AA66" s="21">
        <f>EXP(-LN(2)/25)*AA65+(1-EXP(-LN(2)/25))/(LN(2)/25)*Calculateur!V66*Calculateur!X66*VLOOKUP('Données projet'!$B$9,Paramètres!$A$1:$I$89,3,0)*0.475*44/12</f>
        <v>31.998827393499369</v>
      </c>
      <c r="AB66" s="21">
        <f>EXP(-LN(2)/2)*AB65+(1-EXP(-LN(2)/2))/(LN(2)/2)*V66*Y66*VLOOKUP('Données projet'!$B$9,Paramètres!$A$1:$I$89,3,0)*0.475*44/12</f>
        <v>1.0664674638031072E-3</v>
      </c>
      <c r="AC66" s="22">
        <f t="shared" si="3"/>
        <v>48.54672808364932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415.99999999999955</v>
      </c>
      <c r="AJ66" s="13">
        <f>AI66*VLOOKUP('Données projet'!$B$10,Paramètres!$A$1:$I$89,3,0)*VLOOKUP('Données projet'!$B$10,Paramètres!$A$1:$I$89,5,0)</f>
        <v>248.76799999999972</v>
      </c>
      <c r="AK66" s="13">
        <f t="shared" si="35"/>
        <v>60.32205079116369</v>
      </c>
      <c r="AL66" s="20">
        <f t="shared" si="4"/>
        <v>538.33183846127633</v>
      </c>
      <c r="AM66" s="59">
        <f t="shared" si="5"/>
        <v>831.66517179460971</v>
      </c>
      <c r="AN66" s="59">
        <f ca="1">AVERAGE(OFFSET($AM$3,0,0,'Données projet'!$E$10+1,1))-AVERAGE(OFFSET($H$3,0,0,'Données projet'!$E$10+1,1))</f>
        <v>279.39350157328471</v>
      </c>
      <c r="AO66" s="59">
        <f t="shared" si="36"/>
        <v>261.55559683031657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29.770567798125281</v>
      </c>
      <c r="AV66" s="21">
        <f>EXP(-LN(2)/25)*AV65+(1-EXP(-LN(2)/25))/(LN(2)/25)*Calculateur!AQ66*Calculateur!AS66*VLOOKUP('Données projet'!$B$10,Paramètres!$A$1:$I$89,3,0)*0.475*44/12</f>
        <v>34.004279795118215</v>
      </c>
      <c r="AW66" s="21">
        <f>EXP(-LN(2)/2)*AW65+(1-EXP(-LN(2)/2))/(LN(2)/2)*AQ66*AT66*VLOOKUP('Données projet'!$B$10,Paramètres!$A$1:$I$89,3,0)*0.475*44/12</f>
        <v>6.6632694606757514</v>
      </c>
      <c r="AX66" s="21">
        <f t="shared" si="6"/>
        <v>70.438117053919242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14.571428571428571</v>
      </c>
      <c r="BD66" s="12">
        <f>IF('Données projet'!$A$88&gt;35,BD65+BC66-BL65,IF(A66&lt;'Données projet'!$A$88,$BA$205^A66,IF(A66='Données projet'!$A$88,'Données projet'!$B$88,BD65+BC66-BL65)))</f>
        <v>502.71428571428589</v>
      </c>
      <c r="BE66" s="13">
        <f>BD66*VLOOKUP('Données projet'!$B$11,Paramètres!$A$1:$I$89,3,0)*VLOOKUP('Données projet'!$B$11,Paramètres!$A$1:$I$89,5,0)</f>
        <v>281.01728571428583</v>
      </c>
      <c r="BF66" s="13">
        <f t="shared" si="37"/>
        <v>67.181945199476388</v>
      </c>
      <c r="BG66" s="20">
        <f t="shared" si="7"/>
        <v>606.44699384146918</v>
      </c>
      <c r="BH66" s="59">
        <f t="shared" si="8"/>
        <v>899.78032717480255</v>
      </c>
      <c r="BI66" s="59">
        <f ca="1">AVERAGE(OFFSET($BH$3,0,0,'Données projet'!$E$11+1,1))-AVERAGE(OFFSET($H$3,0,0,'Données projet'!$E$11+1,1))</f>
        <v>342.37397177572871</v>
      </c>
      <c r="BJ66" s="59">
        <f t="shared" si="38"/>
        <v>331.32436050472762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27.684388040503528</v>
      </c>
      <c r="BQ66" s="21">
        <f>EXP(-LN(2)/25)*BQ65+(1-EXP(-LN(2)/25))/(LN(2)/25)*Calculateur!BL66*Calculateur!BN66*VLOOKUP('Données projet'!$B$11,Paramètres!$A$1:$I$89,3,0)*0.475*44/12</f>
        <v>50.000248269728033</v>
      </c>
      <c r="BR66" s="21">
        <f>EXP(-LN(2)/2)*BR65+(1-EXP(-LN(2)/2))/(LN(2)/2)*BL66*BO66*VLOOKUP('Données projet'!$B$11,Paramètres!$A$1:$I$89,3,0)*0.475*44/12</f>
        <v>4.1280137974818514</v>
      </c>
      <c r="BS66" s="22">
        <f t="shared" si="9"/>
        <v>81.812650107713409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235.17935999999989</v>
      </c>
      <c r="CA66" s="13">
        <f t="shared" si="39"/>
        <v>57.401124668909425</v>
      </c>
      <c r="CB66" s="20">
        <f t="shared" si="10"/>
        <v>509.57767746501708</v>
      </c>
      <c r="CC66" s="59">
        <f t="shared" si="11"/>
        <v>802.91101079835039</v>
      </c>
      <c r="CD66" s="59">
        <f ca="1">AVERAGE(OFFSET($CC$3,0,0,'Données projet'!$E$12+1,1))-AVERAGE(OFFSET($H$3,0,0,'Données projet'!$E$12+1,1))</f>
        <v>353.37479213497227</v>
      </c>
      <c r="CE66" s="59">
        <f t="shared" si="40"/>
        <v>345.4750813433123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35.244782934290129</v>
      </c>
      <c r="CL66" s="21">
        <f>EXP(-LN(2)/25)*CL65+(1-EXP(-LN(2)/25))/(LN(2)/25)*Calculateur!CG66*Calculateur!CI66*VLOOKUP('Données projet'!$B$12,Paramètres!$A$1:$I$89,3,0)*0.475*44/12</f>
        <v>2.909713364132537</v>
      </c>
      <c r="CM66" s="21">
        <f>EXP(-LN(2)/2)*CM65+(1-EXP(-LN(2)/2))/(LN(2)/2)*CG66*CJ66*VLOOKUP('Données projet'!$B$12,Paramètres!$A$1:$I$89,3,0)*0.475*44/12</f>
        <v>0.28032076866107547</v>
      </c>
      <c r="CN66" s="22">
        <f t="shared" si="12"/>
        <v>38.434817067083742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277.99999999999994</v>
      </c>
      <c r="O67" s="13">
        <f>N67*VLOOKUP('Données projet'!$B$9,Paramètres!$A$1:$I$89,3,0)*VLOOKUP('Données projet'!$B$9,Paramètres!$A$1:$I$89,5,0)</f>
        <v>173.47199999999998</v>
      </c>
      <c r="P67" s="13">
        <f t="shared" si="33"/>
        <v>43.866718728383574</v>
      </c>
      <c r="Q67" s="20">
        <f t="shared" ref="Q67:Q98" si="54">(O67+P67)*0.475*44/12</f>
        <v>378.53160178526804</v>
      </c>
      <c r="R67" s="59">
        <f t="shared" ref="R67:R130" si="55">Q67+(I67+J67)*44/12</f>
        <v>671.86493511860135</v>
      </c>
      <c r="S67" s="59">
        <f ca="1">AVERAGE(OFFSET($R$3,0,0,'Données projet'!$E$9+1,1))-AVERAGE(OFFSET($H$3,0,0,'Données projet'!$E$9+1,1))</f>
        <v>232.56424130731699</v>
      </c>
      <c r="T67" s="59">
        <f t="shared" si="34"/>
        <v>384.58890620364178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16.222360896151592</v>
      </c>
      <c r="AA67" s="21">
        <f>EXP(-LN(2)/25)*AA66+(1-EXP(-LN(2)/25))/(LN(2)/25)*Calculateur!V67*Calculateur!X67*VLOOKUP('Données projet'!$B$9,Paramètres!$A$1:$I$89,3,0)*0.475*44/12</f>
        <v>31.12381777567893</v>
      </c>
      <c r="AB67" s="21">
        <f>EXP(-LN(2)/2)*AB66+(1-EXP(-LN(2)/2))/(LN(2)/2)*V67*Y67*VLOOKUP('Données projet'!$B$9,Paramètres!$A$1:$I$89,3,0)*0.475*44/12</f>
        <v>7.5410637556999605E-4</v>
      </c>
      <c r="AC67" s="22">
        <f t="shared" si="3"/>
        <v>47.346932778206089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415.99999999999955</v>
      </c>
      <c r="AJ67" s="13">
        <f>AI67*VLOOKUP('Données projet'!$B$10,Paramètres!$A$1:$I$89,3,0)*VLOOKUP('Données projet'!$B$10,Paramètres!$A$1:$I$89,5,0)</f>
        <v>248.76799999999972</v>
      </c>
      <c r="AK67" s="13">
        <f t="shared" si="35"/>
        <v>60.32205079116369</v>
      </c>
      <c r="AL67" s="20">
        <f t="shared" si="4"/>
        <v>538.33183846127633</v>
      </c>
      <c r="AM67" s="59">
        <f t="shared" si="5"/>
        <v>831.66517179460971</v>
      </c>
      <c r="AN67" s="59">
        <f ca="1">AVERAGE(OFFSET($AM$3,0,0,'Données projet'!$E$10+1,1))-AVERAGE(OFFSET($H$3,0,0,'Données projet'!$E$10+1,1))</f>
        <v>279.39350157328471</v>
      </c>
      <c r="AO67" s="59">
        <f t="shared" si="36"/>
        <v>261.55559683031657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29.186785121857422</v>
      </c>
      <c r="AV67" s="21">
        <f>EXP(-LN(2)/25)*AV66+(1-EXP(-LN(2)/25))/(LN(2)/25)*Calculateur!AQ67*Calculateur!AS67*VLOOKUP('Données projet'!$B$10,Paramètres!$A$1:$I$89,3,0)*0.475*44/12</f>
        <v>33.074430975913351</v>
      </c>
      <c r="AW67" s="21">
        <f>EXP(-LN(2)/2)*AW66+(1-EXP(-LN(2)/2))/(LN(2)/2)*AQ67*AT67*VLOOKUP('Données projet'!$B$10,Paramètres!$A$1:$I$89,3,0)*0.475*44/12</f>
        <v>4.7116430205170534</v>
      </c>
      <c r="AX67" s="21">
        <f t="shared" si="6"/>
        <v>66.972859118287829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14.571428571428571</v>
      </c>
      <c r="BD67" s="12">
        <f>IF('Données projet'!$A$88&gt;35,BD66+BC67-BL66,IF(A67&lt;'Données projet'!$A$88,$BA$205^A67,IF(A67='Données projet'!$A$88,'Données projet'!$B$88,BD66+BC67-BL66)))</f>
        <v>517.28571428571445</v>
      </c>
      <c r="BE67" s="13">
        <f>BD67*VLOOKUP('Données projet'!$B$11,Paramètres!$A$1:$I$89,3,0)*VLOOKUP('Données projet'!$B$11,Paramètres!$A$1:$I$89,5,0)</f>
        <v>289.1627142857144</v>
      </c>
      <c r="BF67" s="13">
        <f t="shared" si="37"/>
        <v>68.899710115935406</v>
      </c>
      <c r="BG67" s="20">
        <f t="shared" si="7"/>
        <v>623.62538916620679</v>
      </c>
      <c r="BH67" s="59">
        <f t="shared" si="8"/>
        <v>916.95872249954004</v>
      </c>
      <c r="BI67" s="59">
        <f ca="1">AVERAGE(OFFSET($BH$3,0,0,'Données projet'!$E$11+1,1))-AVERAGE(OFFSET($H$3,0,0,'Données projet'!$E$11+1,1))</f>
        <v>342.37397177572871</v>
      </c>
      <c r="BJ67" s="59">
        <f t="shared" si="38"/>
        <v>331.32436050472762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27.141514076838622</v>
      </c>
      <c r="BQ67" s="21">
        <f>EXP(-LN(2)/25)*BQ66+(1-EXP(-LN(2)/25))/(LN(2)/25)*Calculateur!BL67*Calculateur!BN67*VLOOKUP('Données projet'!$B$11,Paramètres!$A$1:$I$89,3,0)*0.475*44/12</f>
        <v>48.632988851393542</v>
      </c>
      <c r="BR67" s="21">
        <f>EXP(-LN(2)/2)*BR66+(1-EXP(-LN(2)/2))/(LN(2)/2)*BL67*BO67*VLOOKUP('Données projet'!$B$11,Paramètres!$A$1:$I$89,3,0)*0.475*44/12</f>
        <v>2.9189465490310487</v>
      </c>
      <c r="BS67" s="22">
        <f t="shared" si="9"/>
        <v>78.693449477263215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239.3164799999999</v>
      </c>
      <c r="CA67" s="13">
        <f t="shared" si="39"/>
        <v>58.292443422481945</v>
      </c>
      <c r="CB67" s="20">
        <f t="shared" si="10"/>
        <v>518.33554162748919</v>
      </c>
      <c r="CC67" s="59">
        <f t="shared" si="11"/>
        <v>811.66887496082245</v>
      </c>
      <c r="CD67" s="59">
        <f ca="1">AVERAGE(OFFSET($CC$3,0,0,'Données projet'!$E$12+1,1))-AVERAGE(OFFSET($H$3,0,0,'Données projet'!$E$12+1,1))</f>
        <v>353.37479213497227</v>
      </c>
      <c r="CE67" s="59">
        <f t="shared" si="40"/>
        <v>345.4750813433123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34.553654238143615</v>
      </c>
      <c r="CL67" s="21">
        <f>EXP(-LN(2)/25)*CL66+(1-EXP(-LN(2)/25))/(LN(2)/25)*Calculateur!CG67*Calculateur!CI67*VLOOKUP('Données projet'!$B$12,Paramètres!$A$1:$I$89,3,0)*0.475*44/12</f>
        <v>2.8301470991751572</v>
      </c>
      <c r="CM67" s="21">
        <f>EXP(-LN(2)/2)*CM66+(1-EXP(-LN(2)/2))/(LN(2)/2)*CG67*CJ67*VLOOKUP('Données projet'!$B$12,Paramètres!$A$1:$I$89,3,0)*0.475*44/12</f>
        <v>0.19821671642767191</v>
      </c>
      <c r="CN67" s="22">
        <f t="shared" si="12"/>
        <v>37.582018053746445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277.99999999999994</v>
      </c>
      <c r="O68" s="13">
        <f>N68*VLOOKUP('Données projet'!$B$9,Paramètres!$A$1:$I$89,3,0)*VLOOKUP('Données projet'!$B$9,Paramètres!$A$1:$I$89,5,0)</f>
        <v>173.47199999999998</v>
      </c>
      <c r="P68" s="13">
        <f t="shared" si="33"/>
        <v>43.866718728383574</v>
      </c>
      <c r="Q68" s="20">
        <f t="shared" si="54"/>
        <v>378.53160178526804</v>
      </c>
      <c r="R68" s="59">
        <f t="shared" si="55"/>
        <v>671.86493511860135</v>
      </c>
      <c r="S68" s="59">
        <f ca="1">AVERAGE(OFFSET($R$3,0,0,'Données projet'!$E$9+1,1))-AVERAGE(OFFSET($H$3,0,0,'Données projet'!$E$9+1,1))</f>
        <v>232.56424130731699</v>
      </c>
      <c r="T68" s="59">
        <f t="shared" si="34"/>
        <v>384.58890620364178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15.904250293641189</v>
      </c>
      <c r="AA68" s="21">
        <f>EXP(-LN(2)/25)*AA67+(1-EXP(-LN(2)/25))/(LN(2)/25)*Calculateur!V68*Calculateur!X68*VLOOKUP('Données projet'!$B$9,Paramètres!$A$1:$I$89,3,0)*0.475*44/12</f>
        <v>30.272735341872547</v>
      </c>
      <c r="AB68" s="21">
        <f>EXP(-LN(2)/2)*AB67+(1-EXP(-LN(2)/2))/(LN(2)/2)*V68*Y68*VLOOKUP('Données projet'!$B$9,Paramètres!$A$1:$I$89,3,0)*0.475*44/12</f>
        <v>5.3323373190155361E-4</v>
      </c>
      <c r="AC68" s="22">
        <f t="shared" ref="AC68:AC131" si="57">SUM(Z68:AB68)</f>
        <v>46.177518869245638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415.99999999999955</v>
      </c>
      <c r="AJ68" s="13">
        <f>AI68*VLOOKUP('Données projet'!$B$10,Paramètres!$A$1:$I$89,3,0)*VLOOKUP('Données projet'!$B$10,Paramètres!$A$1:$I$89,5,0)</f>
        <v>248.76799999999972</v>
      </c>
      <c r="AK68" s="13">
        <f t="shared" si="35"/>
        <v>60.32205079116369</v>
      </c>
      <c r="AL68" s="20">
        <f t="shared" ref="AL68:AL131" si="58">(AJ68+AK68)*0.475*44/12</f>
        <v>538.33183846127633</v>
      </c>
      <c r="AM68" s="59">
        <f t="shared" ref="AM68:AM131" si="59">AL68+(AD68+AE68)*44/12</f>
        <v>831.66517179460971</v>
      </c>
      <c r="AN68" s="59">
        <f ca="1">AVERAGE(OFFSET($AM$3,0,0,'Données projet'!$E$10+1,1))-AVERAGE(OFFSET($H$3,0,0,'Données projet'!$E$10+1,1))</f>
        <v>279.39350157328471</v>
      </c>
      <c r="AO68" s="59">
        <f t="shared" si="36"/>
        <v>261.55559683031657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28.614450067798902</v>
      </c>
      <c r="AV68" s="21">
        <f>EXP(-LN(2)/25)*AV67+(1-EXP(-LN(2)/25))/(LN(2)/25)*Calculateur!AQ68*Calculateur!AS68*VLOOKUP('Données projet'!$B$10,Paramètres!$A$1:$I$89,3,0)*0.475*44/12</f>
        <v>32.170008921568268</v>
      </c>
      <c r="AW68" s="21">
        <f>EXP(-LN(2)/2)*AW67+(1-EXP(-LN(2)/2))/(LN(2)/2)*AQ68*AT68*VLOOKUP('Données projet'!$B$10,Paramètres!$A$1:$I$89,3,0)*0.475*44/12</f>
        <v>3.3316347303378762</v>
      </c>
      <c r="AX68" s="21">
        <f t="shared" ref="AX68:AX131" si="60">SUM(AU68:AW68)</f>
        <v>64.116093719705049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14.571428571428571</v>
      </c>
      <c r="BD68" s="12">
        <f>IF('Données projet'!$A$88&gt;35,BD67+BC68-BL67,IF(A68&lt;'Données projet'!$A$88,$BA$205^A68,IF(A68='Données projet'!$A$88,'Données projet'!$B$88,BD67+BC68-BL67)))</f>
        <v>531.857142857143</v>
      </c>
      <c r="BE68" s="13">
        <f>BD68*VLOOKUP('Données projet'!$B$11,Paramètres!$A$1:$I$89,3,0)*VLOOKUP('Données projet'!$B$11,Paramètres!$A$1:$I$89,5,0)</f>
        <v>297.30814285714291</v>
      </c>
      <c r="BF68" s="13">
        <f t="shared" si="37"/>
        <v>70.611851136845928</v>
      </c>
      <c r="BG68" s="20">
        <f t="shared" ref="BG68:BG131" si="61">(BE68+BF68)*0.475*44/12</f>
        <v>640.79398953953057</v>
      </c>
      <c r="BH68" s="59">
        <f t="shared" ref="BH68:BH131" si="62">BG68+(AY68+AZ68)*44/12</f>
        <v>934.12732287286394</v>
      </c>
      <c r="BI68" s="59">
        <f ca="1">AVERAGE(OFFSET($BH$3,0,0,'Données projet'!$E$11+1,1))-AVERAGE(OFFSET($H$3,0,0,'Données projet'!$E$11+1,1))</f>
        <v>342.37397177572871</v>
      </c>
      <c r="BJ68" s="59">
        <f t="shared" si="38"/>
        <v>331.32436050472762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26.609285540480762</v>
      </c>
      <c r="BQ68" s="21">
        <f>EXP(-LN(2)/25)*BQ67+(1-EXP(-LN(2)/25))/(LN(2)/25)*Calculateur!BL68*Calculateur!BN68*VLOOKUP('Données projet'!$B$11,Paramètres!$A$1:$I$89,3,0)*0.475*44/12</f>
        <v>47.303117213754454</v>
      </c>
      <c r="BR68" s="21">
        <f>EXP(-LN(2)/2)*BR67+(1-EXP(-LN(2)/2))/(LN(2)/2)*BL68*BO68*VLOOKUP('Données projet'!$B$11,Paramètres!$A$1:$I$89,3,0)*0.475*44/12</f>
        <v>2.0640068987409257</v>
      </c>
      <c r="BS68" s="22">
        <f t="shared" ref="BS68:BS131" si="63">SUM(BP68:BR68)</f>
        <v>75.976409652976145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243.45359999999988</v>
      </c>
      <c r="CA68" s="13">
        <f t="shared" si="39"/>
        <v>59.181970343065267</v>
      </c>
      <c r="CB68" s="20">
        <f t="shared" ref="CB68:CB131" si="64">(BZ68+CA68)*0.475*44/12</f>
        <v>527.09028501417163</v>
      </c>
      <c r="CC68" s="59">
        <f t="shared" ref="CC68:CC131" si="65">CB68+(BT68+BU68)*44/12</f>
        <v>820.423618347505</v>
      </c>
      <c r="CD68" s="59">
        <f ca="1">AVERAGE(OFFSET($CC$3,0,0,'Données projet'!$E$12+1,1))-AVERAGE(OFFSET($H$3,0,0,'Données projet'!$E$12+1,1))</f>
        <v>353.37479213497227</v>
      </c>
      <c r="CE68" s="59">
        <f t="shared" si="40"/>
        <v>345.4750813433123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0.42400000000000004</v>
      </c>
      <c r="CI68" s="16">
        <f>IF(ISNA(VLOOKUP(A68,'Données projet'!$A$113:$I$133,6,0)),0%,VLOOKUP(A68,'Données projet'!$A$113:$I$133,6,0)*VLOOKUP('Données projet'!$B$12,Paramètres!$A$1:$I$89,7,0))</f>
        <v>2.12E-2</v>
      </c>
      <c r="CJ68" s="16">
        <f>IF(ISNA(VLOOKUP(A68,'Données projet'!$A$113:$I$133,7,0)),0%,VLOOKUP(A68,'Données projet'!$A$113:$I$133,7,0))</f>
        <v>0.06</v>
      </c>
      <c r="CK68" s="21">
        <f>EXP(-LN(2)/35)*CK67+(1-EXP(-LN(2)/35))/(LN(2)/35)*CG68*CH68*VLOOKUP('Données projet'!$B$12,Paramètres!$A$1:$I$89,3,0)*0.475*44/12</f>
        <v>38.723949587749416</v>
      </c>
      <c r="CL68" s="21">
        <f>EXP(-LN(2)/25)*CL67+(1-EXP(-LN(2)/25))/(LN(2)/25)*Calculateur!CG68*Calculateur!CI68*VLOOKUP('Données projet'!$B$12,Paramètres!$A$1:$I$89,3,0)*0.475*44/12</f>
        <v>2.9941957537447434</v>
      </c>
      <c r="CM68" s="21">
        <f>EXP(-LN(2)/2)*CM67+(1-EXP(-LN(2)/2))/(LN(2)/2)*CG68*CJ68*VLOOKUP('Données projet'!$B$12,Paramètres!$A$1:$I$89,3,0)*0.475*44/12</f>
        <v>0.72568299467337427</v>
      </c>
      <c r="CN68" s="22">
        <f t="shared" ref="CN68:CN131" si="66">SUM(CK68:CM68)</f>
        <v>42.443828336167535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277.99999999999994</v>
      </c>
      <c r="O69" s="13">
        <f>N69*VLOOKUP('Données projet'!$B$9,Paramètres!$A$1:$I$89,3,0)*VLOOKUP('Données projet'!$B$9,Paramètres!$A$1:$I$89,5,0)</f>
        <v>173.47199999999998</v>
      </c>
      <c r="P69" s="13">
        <f t="shared" ref="P69:P132" si="87">EXP(-1.0587+0.8836*LN(O69)+0.284)</f>
        <v>43.866718728383574</v>
      </c>
      <c r="Q69" s="20">
        <f t="shared" si="54"/>
        <v>378.53160178526804</v>
      </c>
      <c r="R69" s="59">
        <f t="shared" si="55"/>
        <v>671.86493511860135</v>
      </c>
      <c r="S69" s="59">
        <f ca="1">AVERAGE(OFFSET($R$3,0,0,'Données projet'!$E$9+1,1))-AVERAGE(OFFSET($H$3,0,0,'Données projet'!$E$9+1,1))</f>
        <v>232.56424130731699</v>
      </c>
      <c r="T69" s="59">
        <f t="shared" ref="T69:T132" si="88">$T$3</f>
        <v>384.58890620364178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15.592377646017706</v>
      </c>
      <c r="AA69" s="21">
        <f>EXP(-LN(2)/25)*AA68+(1-EXP(-LN(2)/25))/(LN(2)/25)*Calculateur!V69*Calculateur!X69*VLOOKUP('Données projet'!$B$9,Paramètres!$A$1:$I$89,3,0)*0.475*44/12</f>
        <v>29.444925801975081</v>
      </c>
      <c r="AB69" s="21">
        <f>EXP(-LN(2)/2)*AB68+(1-EXP(-LN(2)/2))/(LN(2)/2)*V69*Y69*VLOOKUP('Données projet'!$B$9,Paramètres!$A$1:$I$89,3,0)*0.475*44/12</f>
        <v>3.7705318778499802E-4</v>
      </c>
      <c r="AC69" s="22">
        <f t="shared" si="57"/>
        <v>45.037680501180567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415.99999999999955</v>
      </c>
      <c r="AJ69" s="13">
        <f>AI69*VLOOKUP('Données projet'!$B$10,Paramètres!$A$1:$I$89,3,0)*VLOOKUP('Données projet'!$B$10,Paramètres!$A$1:$I$89,5,0)</f>
        <v>248.76799999999972</v>
      </c>
      <c r="AK69" s="13">
        <f t="shared" ref="AK69:AK132" si="89">EXP(-1.0587+0.8836*LN(AJ69)+0.284)</f>
        <v>60.32205079116369</v>
      </c>
      <c r="AL69" s="20">
        <f t="shared" si="58"/>
        <v>538.33183846127633</v>
      </c>
      <c r="AM69" s="59">
        <f t="shared" si="59"/>
        <v>831.66517179460971</v>
      </c>
      <c r="AN69" s="59">
        <f ca="1">AVERAGE(OFFSET($AM$3,0,0,'Données projet'!$E$10+1,1))-AVERAGE(OFFSET($H$3,0,0,'Données projet'!$E$10+1,1))</f>
        <v>279.39350157328471</v>
      </c>
      <c r="AO69" s="59">
        <f t="shared" ref="AO69:AO132" si="90">$AO$3</f>
        <v>261.55559683031657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28.053338155060558</v>
      </c>
      <c r="AV69" s="21">
        <f>EXP(-LN(2)/25)*AV68+(1-EXP(-LN(2)/25))/(LN(2)/25)*Calculateur!AQ69*Calculateur!AS69*VLOOKUP('Données projet'!$B$10,Paramètres!$A$1:$I$89,3,0)*0.475*44/12</f>
        <v>31.290318335860739</v>
      </c>
      <c r="AW69" s="21">
        <f>EXP(-LN(2)/2)*AW68+(1-EXP(-LN(2)/2))/(LN(2)/2)*AQ69*AT69*VLOOKUP('Données projet'!$B$10,Paramètres!$A$1:$I$89,3,0)*0.475*44/12</f>
        <v>2.3558215102585272</v>
      </c>
      <c r="AX69" s="21">
        <f t="shared" si="60"/>
        <v>61.699478001179827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14.571428571428571</v>
      </c>
      <c r="BD69" s="12">
        <f>IF('Données projet'!$A$88&gt;35,BD68+BC69-BL68,IF(A69&lt;'Données projet'!$A$88,$BA$205^A69,IF(A69='Données projet'!$A$88,'Données projet'!$B$88,BD68+BC69-BL68)))</f>
        <v>546.42857142857156</v>
      </c>
      <c r="BE69" s="13">
        <f>BD69*VLOOKUP('Données projet'!$B$11,Paramètres!$A$1:$I$89,3,0)*VLOOKUP('Données projet'!$B$11,Paramètres!$A$1:$I$89,5,0)</f>
        <v>305.45357142857154</v>
      </c>
      <c r="BF69" s="13">
        <f t="shared" ref="BF69:BF132" si="91">EXP(-1.0587+0.8836*LN(BE69)+0.284)</f>
        <v>72.318540045908605</v>
      </c>
      <c r="BG69" s="20">
        <f t="shared" si="61"/>
        <v>657.95309415138615</v>
      </c>
      <c r="BH69" s="59">
        <f t="shared" si="62"/>
        <v>951.28642748471952</v>
      </c>
      <c r="BI69" s="59">
        <f ca="1">AVERAGE(OFFSET($BH$3,0,0,'Données projet'!$E$11+1,1))-AVERAGE(OFFSET($H$3,0,0,'Données projet'!$E$11+1,1))</f>
        <v>342.37397177572871</v>
      </c>
      <c r="BJ69" s="59">
        <f t="shared" ref="BJ69:BJ132" si="92">$BJ$3</f>
        <v>331.32436050472762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26.08749368109353</v>
      </c>
      <c r="BQ69" s="21">
        <f>EXP(-LN(2)/25)*BQ68+(1-EXP(-LN(2)/25))/(LN(2)/25)*Calculateur!BL69*Calculateur!BN69*VLOOKUP('Données projet'!$B$11,Paramètres!$A$1:$I$89,3,0)*0.475*44/12</f>
        <v>46.009610985981517</v>
      </c>
      <c r="BR69" s="21">
        <f>EXP(-LN(2)/2)*BR68+(1-EXP(-LN(2)/2))/(LN(2)/2)*BL69*BO69*VLOOKUP('Données projet'!$B$11,Paramètres!$A$1:$I$89,3,0)*0.475*44/12</f>
        <v>1.4594732745155243</v>
      </c>
      <c r="BS69" s="22">
        <f t="shared" si="63"/>
        <v>73.556577941590575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236.7705599999999</v>
      </c>
      <c r="CA69" s="13">
        <f t="shared" ref="CA69:CA132" si="93">EXP(-1.0587+0.8836*LN(BZ69)+0.284)</f>
        <v>57.744153841586879</v>
      </c>
      <c r="CB69" s="20">
        <f t="shared" si="64"/>
        <v>512.9464599407637</v>
      </c>
      <c r="CC69" s="59">
        <f t="shared" si="65"/>
        <v>806.27979327409707</v>
      </c>
      <c r="CD69" s="59">
        <f ca="1">AVERAGE(OFFSET($CC$3,0,0,'Données projet'!$E$12+1,1))-AVERAGE(OFFSET($H$3,0,0,'Données projet'!$E$12+1,1))</f>
        <v>353.37479213497227</v>
      </c>
      <c r="CE69" s="59">
        <f t="shared" ref="CE69:CE132" si="94">$CE$3</f>
        <v>345.4750813433123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37.96459655561069</v>
      </c>
      <c r="CL69" s="21">
        <f>EXP(-LN(2)/25)*CL68+(1-EXP(-LN(2)/25))/(LN(2)/25)*Calculateur!CG69*Calculateur!CI69*VLOOKUP('Données projet'!$B$12,Paramètres!$A$1:$I$89,3,0)*0.475*44/12</f>
        <v>2.912319313400682</v>
      </c>
      <c r="CM69" s="21">
        <f>EXP(-LN(2)/2)*CM68+(1-EXP(-LN(2)/2))/(LN(2)/2)*CG69*CJ69*VLOOKUP('Données projet'!$B$12,Paramètres!$A$1:$I$89,3,0)*0.475*44/12</f>
        <v>0.51313536652530423</v>
      </c>
      <c r="CN69" s="22">
        <f t="shared" si="66"/>
        <v>41.390051235536674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277.99999999999994</v>
      </c>
      <c r="O70" s="13">
        <f>N70*VLOOKUP('Données projet'!$B$9,Paramètres!$A$1:$I$89,3,0)*VLOOKUP('Données projet'!$B$9,Paramètres!$A$1:$I$89,5,0)</f>
        <v>173.47199999999998</v>
      </c>
      <c r="P70" s="13">
        <f t="shared" si="87"/>
        <v>43.866718728383574</v>
      </c>
      <c r="Q70" s="20">
        <f t="shared" si="54"/>
        <v>378.53160178526804</v>
      </c>
      <c r="R70" s="59">
        <f t="shared" si="55"/>
        <v>671.86493511860135</v>
      </c>
      <c r="S70" s="59">
        <f ca="1">AVERAGE(OFFSET($R$3,0,0,'Données projet'!$E$9+1,1))-AVERAGE(OFFSET($H$3,0,0,'Données projet'!$E$9+1,1))</f>
        <v>232.56424130731699</v>
      </c>
      <c r="T70" s="59">
        <f t="shared" si="88"/>
        <v>384.58890620364178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15.286620630790587</v>
      </c>
      <c r="AA70" s="21">
        <f>EXP(-LN(2)/25)*AA69+(1-EXP(-LN(2)/25))/(LN(2)/25)*Calculateur!V70*Calculateur!X70*VLOOKUP('Données projet'!$B$9,Paramètres!$A$1:$I$89,3,0)*0.475*44/12</f>
        <v>28.639752757478721</v>
      </c>
      <c r="AB70" s="21">
        <f>EXP(-LN(2)/2)*AB69+(1-EXP(-LN(2)/2))/(LN(2)/2)*V70*Y70*VLOOKUP('Données projet'!$B$9,Paramètres!$A$1:$I$89,3,0)*0.475*44/12</f>
        <v>2.6661686595077681E-4</v>
      </c>
      <c r="AC70" s="22">
        <f t="shared" si="57"/>
        <v>43.926640005135262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415.99999999999955</v>
      </c>
      <c r="AJ70" s="13">
        <f>AI70*VLOOKUP('Données projet'!$B$10,Paramètres!$A$1:$I$89,3,0)*VLOOKUP('Données projet'!$B$10,Paramètres!$A$1:$I$89,5,0)</f>
        <v>248.76799999999972</v>
      </c>
      <c r="AK70" s="13">
        <f t="shared" si="89"/>
        <v>60.32205079116369</v>
      </c>
      <c r="AL70" s="20">
        <f t="shared" si="58"/>
        <v>538.33183846127633</v>
      </c>
      <c r="AM70" s="59">
        <f t="shared" si="59"/>
        <v>831.66517179460971</v>
      </c>
      <c r="AN70" s="59">
        <f ca="1">AVERAGE(OFFSET($AM$3,0,0,'Données projet'!$E$10+1,1))-AVERAGE(OFFSET($H$3,0,0,'Données projet'!$E$10+1,1))</f>
        <v>279.39350157328471</v>
      </c>
      <c r="AO70" s="59">
        <f t="shared" si="90"/>
        <v>261.55559683031657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27.503229304686538</v>
      </c>
      <c r="AV70" s="21">
        <f>EXP(-LN(2)/25)*AV69+(1-EXP(-LN(2)/25))/(LN(2)/25)*Calculateur!AQ70*Calculateur!AS70*VLOOKUP('Données projet'!$B$10,Paramètres!$A$1:$I$89,3,0)*0.475*44/12</f>
        <v>30.4346829354803</v>
      </c>
      <c r="AW70" s="21">
        <f>EXP(-LN(2)/2)*AW69+(1-EXP(-LN(2)/2))/(LN(2)/2)*AQ70*AT70*VLOOKUP('Données projet'!$B$10,Paramètres!$A$1:$I$89,3,0)*0.475*44/12</f>
        <v>1.6658173651689383</v>
      </c>
      <c r="AX70" s="21">
        <f t="shared" si="60"/>
        <v>59.603729605335779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561</v>
      </c>
      <c r="BB70" s="12">
        <f>VLOOKUP(A70,'Données projet'!$A$87:$I$107,9,0)</f>
        <v>14.571428571428571</v>
      </c>
      <c r="BC70" s="12">
        <f t="array" ref="BC70">INDEX(BB:BB,MIN(IF(ISNUMBER(BB70:BB266),ROW(BB70:BB266),"")))</f>
        <v>14.571428571428571</v>
      </c>
      <c r="BD70" s="12">
        <f>IF('Données projet'!$A$88&gt;35,BD69+BC70-BL69,IF(A70&lt;'Données projet'!$A$88,$BA$205^A70,IF(A70='Données projet'!$A$88,'Données projet'!$B$88,BD69+BC70-BL69)))</f>
        <v>561.00000000000011</v>
      </c>
      <c r="BE70" s="13">
        <f>BD70*VLOOKUP('Données projet'!$B$11,Paramètres!$A$1:$I$89,3,0)*VLOOKUP('Données projet'!$B$11,Paramètres!$A$1:$I$89,5,0)</f>
        <v>313.59900000000005</v>
      </c>
      <c r="BF70" s="13">
        <f t="shared" si="91"/>
        <v>74.019938943375337</v>
      </c>
      <c r="BG70" s="20">
        <f t="shared" si="61"/>
        <v>675.10298532637864</v>
      </c>
      <c r="BH70" s="59">
        <f t="shared" si="62"/>
        <v>968.43631865971201</v>
      </c>
      <c r="BI70" s="59">
        <f ca="1">AVERAGE(OFFSET($BH$3,0,0,'Données projet'!$E$11+1,1))-AVERAGE(OFFSET($H$3,0,0,'Données projet'!$E$11+1,1))</f>
        <v>342.37397177572871</v>
      </c>
      <c r="BJ70" s="59">
        <f t="shared" si="92"/>
        <v>331.32436050472762</v>
      </c>
      <c r="BK70" s="15">
        <f>IF(ISNA(VLOOKUP(A70,'Données projet'!$A$87:$I$107,3,0)),0,VLOOKUP(A70,'Données projet'!$A$87:$I$107,3,0))</f>
        <v>6</v>
      </c>
      <c r="BL70" s="15">
        <f>IF(ISNA(VLOOKUP(A70,'Données projet'!$A$87:$I$107,4,0)),0,VLOOKUP(A70,'Données projet'!$A$87:$I$107,4,0))</f>
        <v>86</v>
      </c>
      <c r="BM70" s="16">
        <f>IF(ISNA(VLOOKUP(A70,'Données projet'!$A$87:$I$107,5,0)),0%,VLOOKUP(A70,'Données projet'!$A$87:$I$107,5,0)*VLOOKUP('Données projet'!$B$11,Paramètres!$A$1:$I$89,7,0))</f>
        <v>0.27500000000000002</v>
      </c>
      <c r="BN70" s="16">
        <f>IF(ISNA(VLOOKUP(A70,'Données projet'!$A$87:$I$107,6,0)),0%,VLOOKUP(A70,'Données projet'!$A$87:$I$107,6,0)*VLOOKUP('Données projet'!$B$11,Paramètres!$A$1:$I$89,7,0))</f>
        <v>0.16500000000000001</v>
      </c>
      <c r="BO70" s="16">
        <f>IF(ISNA(VLOOKUP(A70,'Données projet'!$A$87:$I$107,7,0)),0%,VLOOKUP(A70,'Données projet'!$A$87:$I$107,7,0))</f>
        <v>0.2</v>
      </c>
      <c r="BP70" s="21">
        <f>EXP(-LN(2)/35)*BP69+(1-EXP(-LN(2)/35))/(LN(2)/35)*BL70*BM70*VLOOKUP('Données projet'!$B$11,Paramètres!$A$1:$I$89,3,0)*0.475*44/12</f>
        <v>43.1135802402774</v>
      </c>
      <c r="BQ70" s="21">
        <f>EXP(-LN(2)/25)*BQ69+(1-EXP(-LN(2)/25))/(LN(2)/25)*Calculateur!BL70*Calculateur!BN70*VLOOKUP('Données projet'!$B$11,Paramètres!$A$1:$I$89,3,0)*0.475*44/12</f>
        <v>55.232632155368876</v>
      </c>
      <c r="BR70" s="21">
        <f>EXP(-LN(2)/2)*BR69+(1-EXP(-LN(2)/2))/(LN(2)/2)*BL70*BO70*VLOOKUP('Données projet'!$B$11,Paramètres!$A$1:$I$89,3,0)*0.475*44/12</f>
        <v>11.918190543627926</v>
      </c>
      <c r="BS70" s="22">
        <f t="shared" si="63"/>
        <v>110.26440293927421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240.43031999999991</v>
      </c>
      <c r="CA70" s="13">
        <f t="shared" si="93"/>
        <v>58.532106271380506</v>
      </c>
      <c r="CB70" s="20">
        <f t="shared" si="64"/>
        <v>520.69289242265415</v>
      </c>
      <c r="CC70" s="59">
        <f t="shared" si="65"/>
        <v>814.02622575598753</v>
      </c>
      <c r="CD70" s="59">
        <f ca="1">AVERAGE(OFFSET($CC$3,0,0,'Données projet'!$E$12+1,1))-AVERAGE(OFFSET($H$3,0,0,'Données projet'!$E$12+1,1))</f>
        <v>353.37479213497227</v>
      </c>
      <c r="CE70" s="59">
        <f t="shared" si="94"/>
        <v>345.4750813433123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37.220133973272588</v>
      </c>
      <c r="CL70" s="21">
        <f>EXP(-LN(2)/25)*CL69+(1-EXP(-LN(2)/25))/(LN(2)/25)*Calculateur!CG70*Calculateur!CI70*VLOOKUP('Données projet'!$B$12,Paramètres!$A$1:$I$89,3,0)*0.475*44/12</f>
        <v>2.8326817886235238</v>
      </c>
      <c r="CM70" s="21">
        <f>EXP(-LN(2)/2)*CM69+(1-EXP(-LN(2)/2))/(LN(2)/2)*CG70*CJ70*VLOOKUP('Données projet'!$B$12,Paramètres!$A$1:$I$89,3,0)*0.475*44/12</f>
        <v>0.36284149733668719</v>
      </c>
      <c r="CN70" s="22">
        <f t="shared" si="66"/>
        <v>40.415657259232802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277.99999999999994</v>
      </c>
      <c r="O71" s="13">
        <f>N71*VLOOKUP('Données projet'!$B$9,Paramètres!$A$1:$I$89,3,0)*VLOOKUP('Données projet'!$B$9,Paramètres!$A$1:$I$89,5,0)</f>
        <v>173.47199999999998</v>
      </c>
      <c r="P71" s="13">
        <f t="shared" si="87"/>
        <v>43.866718728383574</v>
      </c>
      <c r="Q71" s="20">
        <f t="shared" si="54"/>
        <v>378.53160178526804</v>
      </c>
      <c r="R71" s="59">
        <f t="shared" si="55"/>
        <v>671.86493511860135</v>
      </c>
      <c r="S71" s="59">
        <f ca="1">AVERAGE(OFFSET($R$3,0,0,'Données projet'!$E$9+1,1))-AVERAGE(OFFSET($H$3,0,0,'Données projet'!$E$9+1,1))</f>
        <v>232.56424130731699</v>
      </c>
      <c r="T71" s="59">
        <f t="shared" si="88"/>
        <v>384.58890620364178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14.986859324138708</v>
      </c>
      <c r="AA71" s="21">
        <f>EXP(-LN(2)/25)*AA70+(1-EXP(-LN(2)/25))/(LN(2)/25)*Calculateur!V71*Calculateur!X71*VLOOKUP('Données projet'!$B$9,Paramètres!$A$1:$I$89,3,0)*0.475*44/12</f>
        <v>27.856597212226326</v>
      </c>
      <c r="AB71" s="21">
        <f>EXP(-LN(2)/2)*AB70+(1-EXP(-LN(2)/2))/(LN(2)/2)*V71*Y71*VLOOKUP('Données projet'!$B$9,Paramètres!$A$1:$I$89,3,0)*0.475*44/12</f>
        <v>1.8852659389249901E-4</v>
      </c>
      <c r="AC71" s="22">
        <f t="shared" si="57"/>
        <v>42.843645062958927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415.99999999999955</v>
      </c>
      <c r="AJ71" s="13">
        <f>AI71*VLOOKUP('Données projet'!$B$10,Paramètres!$A$1:$I$89,3,0)*VLOOKUP('Données projet'!$B$10,Paramètres!$A$1:$I$89,5,0)</f>
        <v>248.76799999999972</v>
      </c>
      <c r="AK71" s="13">
        <f t="shared" si="89"/>
        <v>60.32205079116369</v>
      </c>
      <c r="AL71" s="20">
        <f t="shared" si="58"/>
        <v>538.33183846127633</v>
      </c>
      <c r="AM71" s="59">
        <f t="shared" si="59"/>
        <v>831.66517179460971</v>
      </c>
      <c r="AN71" s="59">
        <f ca="1">AVERAGE(OFFSET($AM$3,0,0,'Données projet'!$E$10+1,1))-AVERAGE(OFFSET($H$3,0,0,'Données projet'!$E$10+1,1))</f>
        <v>279.39350157328471</v>
      </c>
      <c r="AO71" s="59">
        <f t="shared" si="90"/>
        <v>261.55559683031657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26.963907753335086</v>
      </c>
      <c r="AV71" s="21">
        <f>EXP(-LN(2)/25)*AV70+(1-EXP(-LN(2)/25))/(LN(2)/25)*Calculateur!AQ71*Calculateur!AS71*VLOOKUP('Données projet'!$B$10,Paramètres!$A$1:$I$89,3,0)*0.475*44/12</f>
        <v>29.602444930119177</v>
      </c>
      <c r="AW71" s="21">
        <f>EXP(-LN(2)/2)*AW70+(1-EXP(-LN(2)/2))/(LN(2)/2)*AQ71*AT71*VLOOKUP('Données projet'!$B$10,Paramètres!$A$1:$I$89,3,0)*0.475*44/12</f>
        <v>1.1779107551292636</v>
      </c>
      <c r="AX71" s="21">
        <f t="shared" si="60"/>
        <v>57.744263438583523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475.00000000000011</v>
      </c>
      <c r="BE71" s="13">
        <f>BD71*VLOOKUP('Données projet'!$B$11,Paramètres!$A$1:$I$89,3,0)*VLOOKUP('Données projet'!$B$11,Paramètres!$A$1:$I$89,5,0)</f>
        <v>265.52500000000009</v>
      </c>
      <c r="BF71" s="13">
        <f t="shared" si="91"/>
        <v>63.898639547235177</v>
      </c>
      <c r="BG71" s="20">
        <f t="shared" si="61"/>
        <v>573.74617221143478</v>
      </c>
      <c r="BH71" s="59">
        <f t="shared" si="62"/>
        <v>867.07950554476815</v>
      </c>
      <c r="BI71" s="59">
        <f ca="1">AVERAGE(OFFSET($BH$3,0,0,'Données projet'!$E$11+1,1))-AVERAGE(OFFSET($H$3,0,0,'Données projet'!$E$11+1,1))</f>
        <v>342.37397177572871</v>
      </c>
      <c r="BJ71" s="59">
        <f t="shared" si="92"/>
        <v>331.32436050472762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42.268149228452927</v>
      </c>
      <c r="BQ71" s="21">
        <f>EXP(-LN(2)/25)*BQ70+(1-EXP(-LN(2)/25))/(LN(2)/25)*Calculateur!BL71*Calculateur!BN71*VLOOKUP('Données projet'!$B$11,Paramètres!$A$1:$I$89,3,0)*0.475*44/12</f>
        <v>53.722292924522428</v>
      </c>
      <c r="BR71" s="21">
        <f>EXP(-LN(2)/2)*BR70+(1-EXP(-LN(2)/2))/(LN(2)/2)*BL71*BO71*VLOOKUP('Données projet'!$B$11,Paramètres!$A$1:$I$89,3,0)*0.475*44/12</f>
        <v>8.4274333528726917</v>
      </c>
      <c r="BS71" s="22">
        <f t="shared" si="63"/>
        <v>104.41787550584806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244.09007999999994</v>
      </c>
      <c r="CA71" s="13">
        <f t="shared" si="93"/>
        <v>59.318663780863893</v>
      </c>
      <c r="CB71" s="20">
        <f t="shared" si="64"/>
        <v>528.43689541833794</v>
      </c>
      <c r="CC71" s="59">
        <f t="shared" si="65"/>
        <v>821.77022875167131</v>
      </c>
      <c r="CD71" s="59">
        <f ca="1">AVERAGE(OFFSET($CC$3,0,0,'Données projet'!$E$12+1,1))-AVERAGE(OFFSET($H$3,0,0,'Données projet'!$E$12+1,1))</f>
        <v>353.37479213497227</v>
      </c>
      <c r="CE71" s="59">
        <f t="shared" si="94"/>
        <v>345.4750813433123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36.490269848096794</v>
      </c>
      <c r="CL71" s="21">
        <f>EXP(-LN(2)/25)*CL70+(1-EXP(-LN(2)/25))/(LN(2)/25)*Calculateur!CG71*Calculateur!CI71*VLOOKUP('Données projet'!$B$12,Paramètres!$A$1:$I$89,3,0)*0.475*44/12</f>
        <v>2.7552219561493523</v>
      </c>
      <c r="CM71" s="21">
        <f>EXP(-LN(2)/2)*CM70+(1-EXP(-LN(2)/2))/(LN(2)/2)*CG71*CJ71*VLOOKUP('Données projet'!$B$12,Paramètres!$A$1:$I$89,3,0)*0.475*44/12</f>
        <v>0.25656768326265217</v>
      </c>
      <c r="CN71" s="22">
        <f t="shared" si="66"/>
        <v>39.502059487508795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277.99999999999994</v>
      </c>
      <c r="O72" s="13">
        <f>N72*VLOOKUP('Données projet'!$B$9,Paramètres!$A$1:$I$89,3,0)*VLOOKUP('Données projet'!$B$9,Paramètres!$A$1:$I$89,5,0)</f>
        <v>173.47199999999998</v>
      </c>
      <c r="P72" s="13">
        <f t="shared" si="87"/>
        <v>43.866718728383574</v>
      </c>
      <c r="Q72" s="20">
        <f t="shared" si="54"/>
        <v>378.53160178526804</v>
      </c>
      <c r="R72" s="59">
        <f t="shared" si="55"/>
        <v>671.86493511860135</v>
      </c>
      <c r="S72" s="59">
        <f ca="1">AVERAGE(OFFSET($R$3,0,0,'Données projet'!$E$9+1,1))-AVERAGE(OFFSET($H$3,0,0,'Données projet'!$E$9+1,1))</f>
        <v>232.56424130731699</v>
      </c>
      <c r="T72" s="59">
        <f t="shared" si="88"/>
        <v>384.58890620364178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14.692976153873929</v>
      </c>
      <c r="AA72" s="21">
        <f>EXP(-LN(2)/25)*AA71+(1-EXP(-LN(2)/25))/(LN(2)/25)*Calculateur!V72*Calculateur!X72*VLOOKUP('Données projet'!$B$9,Paramètres!$A$1:$I$89,3,0)*0.475*44/12</f>
        <v>27.094857096543215</v>
      </c>
      <c r="AB72" s="21">
        <f>EXP(-LN(2)/2)*AB71+(1-EXP(-LN(2)/2))/(LN(2)/2)*V72*Y72*VLOOKUP('Données projet'!$B$9,Paramètres!$A$1:$I$89,3,0)*0.475*44/12</f>
        <v>1.333084329753884E-4</v>
      </c>
      <c r="AC72" s="22">
        <f t="shared" si="57"/>
        <v>41.787966558850123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415.99999999999955</v>
      </c>
      <c r="AJ72" s="13">
        <f>AI72*VLOOKUP('Données projet'!$B$10,Paramètres!$A$1:$I$89,3,0)*VLOOKUP('Données projet'!$B$10,Paramètres!$A$1:$I$89,5,0)</f>
        <v>248.76799999999972</v>
      </c>
      <c r="AK72" s="13">
        <f t="shared" si="89"/>
        <v>60.32205079116369</v>
      </c>
      <c r="AL72" s="20">
        <f t="shared" si="58"/>
        <v>538.33183846127633</v>
      </c>
      <c r="AM72" s="59">
        <f t="shared" si="59"/>
        <v>831.66517179460971</v>
      </c>
      <c r="AN72" s="59">
        <f ca="1">AVERAGE(OFFSET($AM$3,0,0,'Données projet'!$E$10+1,1))-AVERAGE(OFFSET($H$3,0,0,'Données projet'!$E$10+1,1))</f>
        <v>279.39350157328471</v>
      </c>
      <c r="AO72" s="59">
        <f t="shared" si="90"/>
        <v>261.55559683031657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26.435161968651972</v>
      </c>
      <c r="AV72" s="21">
        <f>EXP(-LN(2)/25)*AV71+(1-EXP(-LN(2)/25))/(LN(2)/25)*Calculateur!AQ72*Calculateur!AS72*VLOOKUP('Données projet'!$B$10,Paramètres!$A$1:$I$89,3,0)*0.475*44/12</f>
        <v>28.792964516780145</v>
      </c>
      <c r="AW72" s="21">
        <f>EXP(-LN(2)/2)*AW71+(1-EXP(-LN(2)/2))/(LN(2)/2)*AQ72*AT72*VLOOKUP('Données projet'!$B$10,Paramètres!$A$1:$I$89,3,0)*0.475*44/12</f>
        <v>0.83290868258446915</v>
      </c>
      <c r="AX72" s="21">
        <f t="shared" si="60"/>
        <v>56.061035168016581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475.00000000000011</v>
      </c>
      <c r="BE72" s="13">
        <f>BD72*VLOOKUP('Données projet'!$B$11,Paramètres!$A$1:$I$89,3,0)*VLOOKUP('Données projet'!$B$11,Paramètres!$A$1:$I$89,5,0)</f>
        <v>265.52500000000009</v>
      </c>
      <c r="BF72" s="13">
        <f t="shared" si="91"/>
        <v>63.898639547235177</v>
      </c>
      <c r="BG72" s="20">
        <f t="shared" si="61"/>
        <v>573.74617221143478</v>
      </c>
      <c r="BH72" s="59">
        <f t="shared" si="62"/>
        <v>867.07950554476815</v>
      </c>
      <c r="BI72" s="59">
        <f ca="1">AVERAGE(OFFSET($BH$3,0,0,'Données projet'!$E$11+1,1))-AVERAGE(OFFSET($H$3,0,0,'Données projet'!$E$11+1,1))</f>
        <v>342.37397177572871</v>
      </c>
      <c r="BJ72" s="59">
        <f t="shared" si="92"/>
        <v>331.32436050472762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41.439296603108332</v>
      </c>
      <c r="BQ72" s="21">
        <f>EXP(-LN(2)/25)*BQ71+(1-EXP(-LN(2)/25))/(LN(2)/25)*Calculateur!BL72*Calculateur!BN72*VLOOKUP('Données projet'!$B$11,Paramètres!$A$1:$I$89,3,0)*0.475*44/12</f>
        <v>52.253253999368759</v>
      </c>
      <c r="BR72" s="21">
        <f>EXP(-LN(2)/2)*BR71+(1-EXP(-LN(2)/2))/(LN(2)/2)*BL72*BO72*VLOOKUP('Données projet'!$B$11,Paramètres!$A$1:$I$89,3,0)*0.475*44/12</f>
        <v>5.9590952718139629</v>
      </c>
      <c r="BS72" s="22">
        <f t="shared" si="63"/>
        <v>99.651645874291063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247.74983999999995</v>
      </c>
      <c r="CA72" s="13">
        <f t="shared" si="93"/>
        <v>60.103849700617872</v>
      </c>
      <c r="CB72" s="20">
        <f t="shared" si="64"/>
        <v>536.17850956190932</v>
      </c>
      <c r="CC72" s="59">
        <f t="shared" si="65"/>
        <v>829.51184289524258</v>
      </c>
      <c r="CD72" s="59">
        <f ca="1">AVERAGE(OFFSET($CC$3,0,0,'Données projet'!$E$12+1,1))-AVERAGE(OFFSET($H$3,0,0,'Données projet'!$E$12+1,1))</f>
        <v>353.37479213497227</v>
      </c>
      <c r="CE72" s="59">
        <f t="shared" si="94"/>
        <v>345.4750813433123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35.77471791324254</v>
      </c>
      <c r="CL72" s="21">
        <f>EXP(-LN(2)/25)*CL71+(1-EXP(-LN(2)/25))/(LN(2)/25)*Calculateur!CG72*Calculateur!CI72*VLOOKUP('Données projet'!$B$12,Paramètres!$A$1:$I$89,3,0)*0.475*44/12</f>
        <v>2.6798802668676229</v>
      </c>
      <c r="CM72" s="21">
        <f>EXP(-LN(2)/2)*CM71+(1-EXP(-LN(2)/2))/(LN(2)/2)*CG72*CJ72*VLOOKUP('Données projet'!$B$12,Paramètres!$A$1:$I$89,3,0)*0.475*44/12</f>
        <v>0.18142074866834362</v>
      </c>
      <c r="CN72" s="22">
        <f t="shared" si="66"/>
        <v>38.636018928778505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277.99999999999994</v>
      </c>
      <c r="O73" s="13">
        <f>N73*VLOOKUP('Données projet'!$B$9,Paramètres!$A$1:$I$89,3,0)*VLOOKUP('Données projet'!$B$9,Paramètres!$A$1:$I$89,5,0)</f>
        <v>173.47199999999998</v>
      </c>
      <c r="P73" s="13">
        <f t="shared" si="87"/>
        <v>43.866718728383574</v>
      </c>
      <c r="Q73" s="20">
        <f t="shared" si="54"/>
        <v>378.53160178526804</v>
      </c>
      <c r="R73" s="59">
        <f t="shared" si="55"/>
        <v>671.86493511860135</v>
      </c>
      <c r="S73" s="59">
        <f ca="1">AVERAGE(OFFSET($R$3,0,0,'Données projet'!$E$9+1,1))-AVERAGE(OFFSET($H$3,0,0,'Données projet'!$E$9+1,1))</f>
        <v>232.56424130731699</v>
      </c>
      <c r="T73" s="59">
        <f t="shared" si="88"/>
        <v>384.58890620364178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14.404855853327007</v>
      </c>
      <c r="AA73" s="21">
        <f>EXP(-LN(2)/25)*AA72+(1-EXP(-LN(2)/25))/(LN(2)/25)*Calculateur!V73*Calculateur!X73*VLOOKUP('Données projet'!$B$9,Paramètres!$A$1:$I$89,3,0)*0.475*44/12</f>
        <v>26.353946804381632</v>
      </c>
      <c r="AB73" s="21">
        <f>EXP(-LN(2)/2)*AB72+(1-EXP(-LN(2)/2))/(LN(2)/2)*V73*Y73*VLOOKUP('Données projet'!$B$9,Paramètres!$A$1:$I$89,3,0)*0.475*44/12</f>
        <v>9.4263296946249506E-5</v>
      </c>
      <c r="AC73" s="22">
        <f t="shared" si="57"/>
        <v>40.758896921005586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415.99999999999955</v>
      </c>
      <c r="AJ73" s="13">
        <f>AI73*VLOOKUP('Données projet'!$B$10,Paramètres!$A$1:$I$89,3,0)*VLOOKUP('Données projet'!$B$10,Paramètres!$A$1:$I$89,5,0)</f>
        <v>248.76799999999972</v>
      </c>
      <c r="AK73" s="13">
        <f t="shared" si="89"/>
        <v>60.32205079116369</v>
      </c>
      <c r="AL73" s="20">
        <f t="shared" si="58"/>
        <v>538.33183846127633</v>
      </c>
      <c r="AM73" s="59">
        <f t="shared" si="59"/>
        <v>831.66517179460971</v>
      </c>
      <c r="AN73" s="59">
        <f ca="1">AVERAGE(OFFSET($AM$3,0,0,'Données projet'!$E$10+1,1))-AVERAGE(OFFSET($H$3,0,0,'Données projet'!$E$10+1,1))</f>
        <v>279.39350157328471</v>
      </c>
      <c r="AO73" s="59">
        <f t="shared" si="90"/>
        <v>261.55559683031657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25.916784566303409</v>
      </c>
      <c r="AV73" s="21">
        <f>EXP(-LN(2)/25)*AV72+(1-EXP(-LN(2)/25))/(LN(2)/25)*Calculateur!AQ73*Calculateur!AS73*VLOOKUP('Données projet'!$B$10,Paramètres!$A$1:$I$89,3,0)*0.475*44/12</f>
        <v>28.005619387912596</v>
      </c>
      <c r="AW73" s="21">
        <f>EXP(-LN(2)/2)*AW72+(1-EXP(-LN(2)/2))/(LN(2)/2)*AQ73*AT73*VLOOKUP('Données projet'!$B$10,Paramètres!$A$1:$I$89,3,0)*0.475*44/12</f>
        <v>0.58895537756463179</v>
      </c>
      <c r="AX73" s="21">
        <f t="shared" si="60"/>
        <v>54.511359331780639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475.00000000000011</v>
      </c>
      <c r="BE73" s="13">
        <f>BD73*VLOOKUP('Données projet'!$B$11,Paramètres!$A$1:$I$89,3,0)*VLOOKUP('Données projet'!$B$11,Paramètres!$A$1:$I$89,5,0)</f>
        <v>265.52500000000009</v>
      </c>
      <c r="BF73" s="13">
        <f t="shared" si="91"/>
        <v>63.898639547235177</v>
      </c>
      <c r="BG73" s="20">
        <f t="shared" si="61"/>
        <v>573.74617221143478</v>
      </c>
      <c r="BH73" s="59">
        <f t="shared" si="62"/>
        <v>867.07950554476815</v>
      </c>
      <c r="BI73" s="59">
        <f ca="1">AVERAGE(OFFSET($BH$3,0,0,'Données projet'!$E$11+1,1))-AVERAGE(OFFSET($H$3,0,0,'Données projet'!$E$11+1,1))</f>
        <v>342.37397177572871</v>
      </c>
      <c r="BJ73" s="59">
        <f t="shared" si="92"/>
        <v>331.32436050472762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40.626697272196559</v>
      </c>
      <c r="BQ73" s="21">
        <f>EXP(-LN(2)/25)*BQ72+(1-EXP(-LN(2)/25))/(LN(2)/25)*Calculateur!BL73*Calculateur!BN73*VLOOKUP('Données projet'!$B$11,Paramètres!$A$1:$I$89,3,0)*0.475*44/12</f>
        <v>50.824386020876823</v>
      </c>
      <c r="BR73" s="21">
        <f>EXP(-LN(2)/2)*BR72+(1-EXP(-LN(2)/2))/(LN(2)/2)*BL73*BO73*VLOOKUP('Données projet'!$B$11,Paramètres!$A$1:$I$89,3,0)*0.475*44/12</f>
        <v>4.2137166764363458</v>
      </c>
      <c r="BS73" s="22">
        <f t="shared" si="63"/>
        <v>95.66479996950973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251.40959999999995</v>
      </c>
      <c r="CA73" s="13">
        <f t="shared" si="93"/>
        <v>60.887686632376123</v>
      </c>
      <c r="CB73" s="20">
        <f t="shared" si="64"/>
        <v>543.917774218055</v>
      </c>
      <c r="CC73" s="59">
        <f t="shared" si="65"/>
        <v>837.25110755138826</v>
      </c>
      <c r="CD73" s="59">
        <f ca="1">AVERAGE(OFFSET($CC$3,0,0,'Données projet'!$E$12+1,1))-AVERAGE(OFFSET($H$3,0,0,'Données projet'!$E$12+1,1))</f>
        <v>353.37479213497227</v>
      </c>
      <c r="CE73" s="59">
        <f t="shared" si="94"/>
        <v>345.4750813433123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0.42400000000000004</v>
      </c>
      <c r="CI73" s="16">
        <f>IF(ISNA(VLOOKUP(A73,'Données projet'!$A$113:$I$133,6,0)),0%,VLOOKUP(A73,'Données projet'!$A$113:$I$133,6,0)*VLOOKUP('Données projet'!$B$12,Paramètres!$A$1:$I$89,7,0))</f>
        <v>2.12E-2</v>
      </c>
      <c r="CJ73" s="16">
        <f>IF(ISNA(VLOOKUP(A73,'Données projet'!$A$113:$I$133,7,0)),0%,VLOOKUP(A73,'Données projet'!$A$113:$I$133,7,0))</f>
        <v>0.06</v>
      </c>
      <c r="CK73" s="21">
        <f>EXP(-LN(2)/35)*CK72+(1-EXP(-LN(2)/35))/(LN(2)/35)*CG73*CH73*VLOOKUP('Données projet'!$B$12,Paramètres!$A$1:$I$89,3,0)*0.475*44/12</f>
        <v>39.921068948954954</v>
      </c>
      <c r="CL73" s="21">
        <f>EXP(-LN(2)/25)*CL72+(1-EXP(-LN(2)/25))/(LN(2)/25)*Calculateur!CG73*Calculateur!CI73*VLOOKUP('Données projet'!$B$12,Paramètres!$A$1:$I$89,3,0)*0.475*44/12</f>
        <v>2.8480379758688481</v>
      </c>
      <c r="CM73" s="21">
        <f>EXP(-LN(2)/2)*CM72+(1-EXP(-LN(2)/2))/(LN(2)/2)*CG73*CJ73*VLOOKUP('Données projet'!$B$12,Paramètres!$A$1:$I$89,3,0)*0.475*44/12</f>
        <v>0.71380645197416259</v>
      </c>
      <c r="CN73" s="22">
        <f t="shared" si="66"/>
        <v>43.482913376797967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277.99999999999994</v>
      </c>
      <c r="O74" s="13">
        <f>N74*VLOOKUP('Données projet'!$B$9,Paramètres!$A$1:$I$89,3,0)*VLOOKUP('Données projet'!$B$9,Paramètres!$A$1:$I$89,5,0)</f>
        <v>173.47199999999998</v>
      </c>
      <c r="P74" s="13">
        <f t="shared" si="87"/>
        <v>43.866718728383574</v>
      </c>
      <c r="Q74" s="20">
        <f t="shared" si="54"/>
        <v>378.53160178526804</v>
      </c>
      <c r="R74" s="59">
        <f t="shared" si="55"/>
        <v>671.86493511860135</v>
      </c>
      <c r="S74" s="59">
        <f ca="1">AVERAGE(OFFSET($R$3,0,0,'Données projet'!$E$9+1,1))-AVERAGE(OFFSET($H$3,0,0,'Données projet'!$E$9+1,1))</f>
        <v>232.56424130731699</v>
      </c>
      <c r="T74" s="59">
        <f t="shared" si="88"/>
        <v>384.58890620364178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14.12238541613778</v>
      </c>
      <c r="AA74" s="21">
        <f>EXP(-LN(2)/25)*AA73+(1-EXP(-LN(2)/25))/(LN(2)/25)*Calculateur!V74*Calculateur!X74*VLOOKUP('Données projet'!$B$9,Paramètres!$A$1:$I$89,3,0)*0.475*44/12</f>
        <v>25.633296743121985</v>
      </c>
      <c r="AB74" s="21">
        <f>EXP(-LN(2)/2)*AB73+(1-EXP(-LN(2)/2))/(LN(2)/2)*V74*Y74*VLOOKUP('Données projet'!$B$9,Paramètres!$A$1:$I$89,3,0)*0.475*44/12</f>
        <v>6.6654216487694202E-5</v>
      </c>
      <c r="AC74" s="22">
        <f t="shared" si="57"/>
        <v>39.755748813476252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415.99999999999955</v>
      </c>
      <c r="AJ74" s="13">
        <f>AI74*VLOOKUP('Données projet'!$B$10,Paramètres!$A$1:$I$89,3,0)*VLOOKUP('Données projet'!$B$10,Paramètres!$A$1:$I$89,5,0)</f>
        <v>248.76799999999972</v>
      </c>
      <c r="AK74" s="13">
        <f t="shared" si="89"/>
        <v>60.32205079116369</v>
      </c>
      <c r="AL74" s="20">
        <f t="shared" si="58"/>
        <v>538.33183846127633</v>
      </c>
      <c r="AM74" s="59">
        <f t="shared" si="59"/>
        <v>831.66517179460971</v>
      </c>
      <c r="AN74" s="59">
        <f ca="1">AVERAGE(OFFSET($AM$3,0,0,'Données projet'!$E$10+1,1))-AVERAGE(OFFSET($H$3,0,0,'Données projet'!$E$10+1,1))</f>
        <v>279.39350157328471</v>
      </c>
      <c r="AO74" s="59">
        <f t="shared" si="90"/>
        <v>261.55559683031657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25.408572228635908</v>
      </c>
      <c r="AV74" s="21">
        <f>EXP(-LN(2)/25)*AV73+(1-EXP(-LN(2)/25))/(LN(2)/25)*Calculateur!AQ74*Calculateur!AS74*VLOOKUP('Données projet'!$B$10,Paramètres!$A$1:$I$89,3,0)*0.475*44/12</f>
        <v>27.23980425299861</v>
      </c>
      <c r="AW74" s="21">
        <f>EXP(-LN(2)/2)*AW73+(1-EXP(-LN(2)/2))/(LN(2)/2)*AQ74*AT74*VLOOKUP('Données projet'!$B$10,Paramètres!$A$1:$I$89,3,0)*0.475*44/12</f>
        <v>0.41645434129223458</v>
      </c>
      <c r="AX74" s="21">
        <f t="shared" si="60"/>
        <v>53.064830822926751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475.00000000000011</v>
      </c>
      <c r="BE74" s="13">
        <f>BD74*VLOOKUP('Données projet'!$B$11,Paramètres!$A$1:$I$89,3,0)*VLOOKUP('Données projet'!$B$11,Paramètres!$A$1:$I$89,5,0)</f>
        <v>265.52500000000009</v>
      </c>
      <c r="BF74" s="13">
        <f t="shared" si="91"/>
        <v>63.898639547235177</v>
      </c>
      <c r="BG74" s="20">
        <f t="shared" si="61"/>
        <v>573.74617221143478</v>
      </c>
      <c r="BH74" s="59">
        <f t="shared" si="62"/>
        <v>867.07950554476815</v>
      </c>
      <c r="BI74" s="59">
        <f ca="1">AVERAGE(OFFSET($BH$3,0,0,'Données projet'!$E$11+1,1))-AVERAGE(OFFSET($H$3,0,0,'Données projet'!$E$11+1,1))</f>
        <v>342.37397177572871</v>
      </c>
      <c r="BJ74" s="59">
        <f t="shared" si="92"/>
        <v>331.32436050472762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39.830032518527311</v>
      </c>
      <c r="BQ74" s="21">
        <f>EXP(-LN(2)/25)*BQ73+(1-EXP(-LN(2)/25))/(LN(2)/25)*Calculateur!BL74*Calculateur!BN74*VLOOKUP('Données projet'!$B$11,Paramètres!$A$1:$I$89,3,0)*0.475*44/12</f>
        <v>49.434590512397648</v>
      </c>
      <c r="BR74" s="21">
        <f>EXP(-LN(2)/2)*BR73+(1-EXP(-LN(2)/2))/(LN(2)/2)*BL74*BO74*VLOOKUP('Données projet'!$B$11,Paramètres!$A$1:$I$89,3,0)*0.475*44/12</f>
        <v>2.9795476359069815</v>
      </c>
      <c r="BS74" s="22">
        <f t="shared" si="63"/>
        <v>92.244170666831934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244.40831999999995</v>
      </c>
      <c r="CA74" s="13">
        <f t="shared" si="93"/>
        <v>59.38699493610541</v>
      </c>
      <c r="CB74" s="20">
        <f t="shared" si="64"/>
        <v>529.11017351371675</v>
      </c>
      <c r="CC74" s="59">
        <f t="shared" si="65"/>
        <v>822.44350684705</v>
      </c>
      <c r="CD74" s="59">
        <f ca="1">AVERAGE(OFFSET($CC$3,0,0,'Données projet'!$E$12+1,1))-AVERAGE(OFFSET($H$3,0,0,'Données projet'!$E$12+1,1))</f>
        <v>353.37479213497227</v>
      </c>
      <c r="CE74" s="59">
        <f t="shared" si="94"/>
        <v>345.4750813433123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39.138241136313695</v>
      </c>
      <c r="CL74" s="21">
        <f>EXP(-LN(2)/25)*CL73+(1-EXP(-LN(2)/25))/(LN(2)/25)*Calculateur!CG74*Calculateur!CI74*VLOOKUP('Données projet'!$B$12,Paramètres!$A$1:$I$89,3,0)*0.475*44/12</f>
        <v>2.7701582276469066</v>
      </c>
      <c r="CM74" s="21">
        <f>EXP(-LN(2)/2)*CM73+(1-EXP(-LN(2)/2))/(LN(2)/2)*CG74*CJ74*VLOOKUP('Données projet'!$B$12,Paramètres!$A$1:$I$89,3,0)*0.475*44/12</f>
        <v>0.50473738264564005</v>
      </c>
      <c r="CN74" s="22">
        <f t="shared" si="66"/>
        <v>42.413136746606241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277.99999999999994</v>
      </c>
      <c r="O75" s="13">
        <f>N75*VLOOKUP('Données projet'!$B$9,Paramètres!$A$1:$I$89,3,0)*VLOOKUP('Données projet'!$B$9,Paramètres!$A$1:$I$89,5,0)</f>
        <v>173.47199999999998</v>
      </c>
      <c r="P75" s="13">
        <f t="shared" si="87"/>
        <v>43.866718728383574</v>
      </c>
      <c r="Q75" s="20">
        <f t="shared" si="54"/>
        <v>378.53160178526804</v>
      </c>
      <c r="R75" s="59">
        <f t="shared" si="55"/>
        <v>671.86493511860135</v>
      </c>
      <c r="S75" s="59">
        <f ca="1">AVERAGE(OFFSET($R$3,0,0,'Données projet'!$E$9+1,1))-AVERAGE(OFFSET($H$3,0,0,'Données projet'!$E$9+1,1))</f>
        <v>232.56424130731699</v>
      </c>
      <c r="T75" s="59">
        <f t="shared" si="88"/>
        <v>384.58890620364178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13.845454051931879</v>
      </c>
      <c r="AA75" s="21">
        <f>EXP(-LN(2)/25)*AA74+(1-EXP(-LN(2)/25))/(LN(2)/25)*Calculateur!V75*Calculateur!X75*VLOOKUP('Données projet'!$B$9,Paramètres!$A$1:$I$89,3,0)*0.475*44/12</f>
        <v>24.932352895684826</v>
      </c>
      <c r="AB75" s="21">
        <f>EXP(-LN(2)/2)*AB74+(1-EXP(-LN(2)/2))/(LN(2)/2)*V75*Y75*VLOOKUP('Données projet'!$B$9,Paramètres!$A$1:$I$89,3,0)*0.475*44/12</f>
        <v>4.7131648473124753E-5</v>
      </c>
      <c r="AC75" s="22">
        <f t="shared" si="57"/>
        <v>38.777854079265175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415.99999999999955</v>
      </c>
      <c r="AJ75" s="13">
        <f>AI75*VLOOKUP('Données projet'!$B$10,Paramètres!$A$1:$I$89,3,0)*VLOOKUP('Données projet'!$B$10,Paramètres!$A$1:$I$89,5,0)</f>
        <v>248.76799999999972</v>
      </c>
      <c r="AK75" s="13">
        <f t="shared" si="89"/>
        <v>60.32205079116369</v>
      </c>
      <c r="AL75" s="20">
        <f t="shared" si="58"/>
        <v>538.33183846127633</v>
      </c>
      <c r="AM75" s="59">
        <f t="shared" si="59"/>
        <v>831.66517179460971</v>
      </c>
      <c r="AN75" s="59">
        <f ca="1">AVERAGE(OFFSET($AM$3,0,0,'Données projet'!$E$10+1,1))-AVERAGE(OFFSET($H$3,0,0,'Données projet'!$E$10+1,1))</f>
        <v>279.39350157328471</v>
      </c>
      <c r="AO75" s="59">
        <f t="shared" si="90"/>
        <v>261.55559683031657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24.910325624931147</v>
      </c>
      <c r="AV75" s="21">
        <f>EXP(-LN(2)/25)*AV74+(1-EXP(-LN(2)/25))/(LN(2)/25)*Calculateur!AQ75*Calculateur!AS75*VLOOKUP('Données projet'!$B$10,Paramètres!$A$1:$I$89,3,0)*0.475*44/12</f>
        <v>26.494930373221315</v>
      </c>
      <c r="AW75" s="21">
        <f>EXP(-LN(2)/2)*AW74+(1-EXP(-LN(2)/2))/(LN(2)/2)*AQ75*AT75*VLOOKUP('Données projet'!$B$10,Paramètres!$A$1:$I$89,3,0)*0.475*44/12</f>
        <v>0.29447768878231589</v>
      </c>
      <c r="AX75" s="21">
        <f t="shared" si="60"/>
        <v>51.699733686934778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475.00000000000011</v>
      </c>
      <c r="BE75" s="13">
        <f>BD75*VLOOKUP('Données projet'!$B$11,Paramètres!$A$1:$I$89,3,0)*VLOOKUP('Données projet'!$B$11,Paramètres!$A$1:$I$89,5,0)</f>
        <v>265.52500000000009</v>
      </c>
      <c r="BF75" s="13">
        <f t="shared" si="91"/>
        <v>63.898639547235177</v>
      </c>
      <c r="BG75" s="20">
        <f t="shared" si="61"/>
        <v>573.74617221143478</v>
      </c>
      <c r="BH75" s="59">
        <f t="shared" si="62"/>
        <v>867.07950554476815</v>
      </c>
      <c r="BI75" s="59">
        <f ca="1">AVERAGE(OFFSET($BH$3,0,0,'Données projet'!$E$11+1,1))-AVERAGE(OFFSET($H$3,0,0,'Données projet'!$E$11+1,1))</f>
        <v>342.37397177572871</v>
      </c>
      <c r="BJ75" s="59">
        <f t="shared" si="92"/>
        <v>331.32436050472762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39.048989874760004</v>
      </c>
      <c r="BQ75" s="21">
        <f>EXP(-LN(2)/25)*BQ74+(1-EXP(-LN(2)/25))/(LN(2)/25)*Calculateur!BL75*Calculateur!BN75*VLOOKUP('Données projet'!$B$11,Paramètres!$A$1:$I$89,3,0)*0.475*44/12</f>
        <v>48.082799035184003</v>
      </c>
      <c r="BR75" s="21">
        <f>EXP(-LN(2)/2)*BR74+(1-EXP(-LN(2)/2))/(LN(2)/2)*BL75*BO75*VLOOKUP('Données projet'!$B$11,Paramètres!$A$1:$I$89,3,0)*0.475*44/12</f>
        <v>2.1068583382181729</v>
      </c>
      <c r="BS75" s="22">
        <f t="shared" si="63"/>
        <v>89.238647248162181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247.74983999999995</v>
      </c>
      <c r="CA75" s="13">
        <f t="shared" si="93"/>
        <v>60.103849700617872</v>
      </c>
      <c r="CB75" s="20">
        <f t="shared" si="64"/>
        <v>536.17850956190932</v>
      </c>
      <c r="CC75" s="59">
        <f t="shared" si="65"/>
        <v>829.51184289524258</v>
      </c>
      <c r="CD75" s="59">
        <f ca="1">AVERAGE(OFFSET($CC$3,0,0,'Données projet'!$E$12+1,1))-AVERAGE(OFFSET($H$3,0,0,'Données projet'!$E$12+1,1))</f>
        <v>353.37479213497227</v>
      </c>
      <c r="CE75" s="59">
        <f t="shared" si="94"/>
        <v>345.4750813433123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38.370764099600514</v>
      </c>
      <c r="CL75" s="21">
        <f>EXP(-LN(2)/25)*CL74+(1-EXP(-LN(2)/25))/(LN(2)/25)*Calculateur!CG75*Calculateur!CI75*VLOOKUP('Données projet'!$B$12,Paramètres!$A$1:$I$89,3,0)*0.475*44/12</f>
        <v>2.6944081052356119</v>
      </c>
      <c r="CM75" s="21">
        <f>EXP(-LN(2)/2)*CM74+(1-EXP(-LN(2)/2))/(LN(2)/2)*CG75*CJ75*VLOOKUP('Données projet'!$B$12,Paramètres!$A$1:$I$89,3,0)*0.475*44/12</f>
        <v>0.35690322598708135</v>
      </c>
      <c r="CN75" s="22">
        <f t="shared" si="66"/>
        <v>41.422075430823206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277.99999999999994</v>
      </c>
      <c r="O76" s="13">
        <f>N76*VLOOKUP('Données projet'!$B$9,Paramètres!$A$1:$I$89,3,0)*VLOOKUP('Données projet'!$B$9,Paramètres!$A$1:$I$89,5,0)</f>
        <v>173.47199999999998</v>
      </c>
      <c r="P76" s="13">
        <f t="shared" si="87"/>
        <v>43.866718728383574</v>
      </c>
      <c r="Q76" s="20">
        <f t="shared" si="54"/>
        <v>378.53160178526804</v>
      </c>
      <c r="R76" s="59">
        <f t="shared" si="55"/>
        <v>671.86493511860135</v>
      </c>
      <c r="S76" s="59">
        <f ca="1">AVERAGE(OFFSET($R$3,0,0,'Données projet'!$E$9+1,1))-AVERAGE(OFFSET($H$3,0,0,'Données projet'!$E$9+1,1))</f>
        <v>232.56424130731699</v>
      </c>
      <c r="T76" s="59">
        <f t="shared" si="88"/>
        <v>384.58890620364178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13.573953142866603</v>
      </c>
      <c r="AA76" s="21">
        <f>EXP(-LN(2)/25)*AA75+(1-EXP(-LN(2)/25))/(LN(2)/25)*Calculateur!V76*Calculateur!X76*VLOOKUP('Données projet'!$B$9,Paramètres!$A$1:$I$89,3,0)*0.475*44/12</f>
        <v>24.250576394616868</v>
      </c>
      <c r="AB76" s="21">
        <f>EXP(-LN(2)/2)*AB75+(1-EXP(-LN(2)/2))/(LN(2)/2)*V76*Y76*VLOOKUP('Données projet'!$B$9,Paramètres!$A$1:$I$89,3,0)*0.475*44/12</f>
        <v>3.3327108243847101E-5</v>
      </c>
      <c r="AC76" s="22">
        <f t="shared" si="57"/>
        <v>37.824562864591712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415.99999999999955</v>
      </c>
      <c r="AJ76" s="13">
        <f>AI76*VLOOKUP('Données projet'!$B$10,Paramètres!$A$1:$I$89,3,0)*VLOOKUP('Données projet'!$B$10,Paramètres!$A$1:$I$89,5,0)</f>
        <v>248.76799999999972</v>
      </c>
      <c r="AK76" s="13">
        <f t="shared" si="89"/>
        <v>60.32205079116369</v>
      </c>
      <c r="AL76" s="20">
        <f t="shared" si="58"/>
        <v>538.33183846127633</v>
      </c>
      <c r="AM76" s="59">
        <f t="shared" si="59"/>
        <v>831.66517179460971</v>
      </c>
      <c r="AN76" s="59">
        <f ca="1">AVERAGE(OFFSET($AM$3,0,0,'Données projet'!$E$10+1,1))-AVERAGE(OFFSET($H$3,0,0,'Données projet'!$E$10+1,1))</f>
        <v>279.39350157328471</v>
      </c>
      <c r="AO76" s="59">
        <f t="shared" si="90"/>
        <v>261.55559683031657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24.421849333224614</v>
      </c>
      <c r="AV76" s="21">
        <f>EXP(-LN(2)/25)*AV75+(1-EXP(-LN(2)/25))/(LN(2)/25)*Calculateur!AQ76*Calculateur!AS76*VLOOKUP('Données projet'!$B$10,Paramètres!$A$1:$I$89,3,0)*0.475*44/12</f>
        <v>25.770425108857744</v>
      </c>
      <c r="AW76" s="21">
        <f>EXP(-LN(2)/2)*AW75+(1-EXP(-LN(2)/2))/(LN(2)/2)*AQ76*AT76*VLOOKUP('Données projet'!$B$10,Paramètres!$A$1:$I$89,3,0)*0.475*44/12</f>
        <v>0.20822717064611729</v>
      </c>
      <c r="AX76" s="21">
        <f t="shared" si="60"/>
        <v>50.400501612728476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475.00000000000011</v>
      </c>
      <c r="BE76" s="13">
        <f>BD76*VLOOKUP('Données projet'!$B$11,Paramètres!$A$1:$I$89,3,0)*VLOOKUP('Données projet'!$B$11,Paramètres!$A$1:$I$89,5,0)</f>
        <v>265.52500000000009</v>
      </c>
      <c r="BF76" s="13">
        <f t="shared" si="91"/>
        <v>63.898639547235177</v>
      </c>
      <c r="BG76" s="20">
        <f t="shared" si="61"/>
        <v>573.74617221143478</v>
      </c>
      <c r="BH76" s="59">
        <f t="shared" si="62"/>
        <v>867.07950554476815</v>
      </c>
      <c r="BI76" s="59">
        <f ca="1">AVERAGE(OFFSET($BH$3,0,0,'Données projet'!$E$11+1,1))-AVERAGE(OFFSET($H$3,0,0,'Données projet'!$E$11+1,1))</f>
        <v>342.37397177572871</v>
      </c>
      <c r="BJ76" s="59">
        <f t="shared" si="92"/>
        <v>331.32436050472762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38.283263000847995</v>
      </c>
      <c r="BQ76" s="21">
        <f>EXP(-LN(2)/25)*BQ75+(1-EXP(-LN(2)/25))/(LN(2)/25)*Calculateur!BL76*Calculateur!BN76*VLOOKUP('Données projet'!$B$11,Paramètres!$A$1:$I$89,3,0)*0.475*44/12</f>
        <v>46.767972367002393</v>
      </c>
      <c r="BR76" s="21">
        <f>EXP(-LN(2)/2)*BR75+(1-EXP(-LN(2)/2))/(LN(2)/2)*BL76*BO76*VLOOKUP('Données projet'!$B$11,Paramètres!$A$1:$I$89,3,0)*0.475*44/12</f>
        <v>1.4897738179534907</v>
      </c>
      <c r="BS76" s="22">
        <f t="shared" si="63"/>
        <v>86.541009185803873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251.09135999999995</v>
      </c>
      <c r="CA76" s="13">
        <f t="shared" si="93"/>
        <v>60.81957989149403</v>
      </c>
      <c r="CB76" s="20">
        <f t="shared" si="64"/>
        <v>543.24488697768527</v>
      </c>
      <c r="CC76" s="59">
        <f t="shared" si="65"/>
        <v>836.57822031101864</v>
      </c>
      <c r="CD76" s="59">
        <f ca="1">AVERAGE(OFFSET($CC$3,0,0,'Données projet'!$E$12+1,1))-AVERAGE(OFFSET($H$3,0,0,'Données projet'!$E$12+1,1))</f>
        <v>353.37479213497227</v>
      </c>
      <c r="CE76" s="59">
        <f t="shared" si="94"/>
        <v>345.4750813433123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37.618336819462513</v>
      </c>
      <c r="CL76" s="21">
        <f>EXP(-LN(2)/25)*CL75+(1-EXP(-LN(2)/25))/(LN(2)/25)*Calculateur!CG76*Calculateur!CI76*VLOOKUP('Données projet'!$B$12,Paramètres!$A$1:$I$89,3,0)*0.475*44/12</f>
        <v>2.62072937390518</v>
      </c>
      <c r="CM76" s="21">
        <f>EXP(-LN(2)/2)*CM75+(1-EXP(-LN(2)/2))/(LN(2)/2)*CG76*CJ76*VLOOKUP('Données projet'!$B$12,Paramètres!$A$1:$I$89,3,0)*0.475*44/12</f>
        <v>0.25236869132282008</v>
      </c>
      <c r="CN76" s="22">
        <f t="shared" si="66"/>
        <v>40.491434884690513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277.99999999999994</v>
      </c>
      <c r="O77" s="13">
        <f>N77*VLOOKUP('Données projet'!$B$9,Paramètres!$A$1:$I$89,3,0)*VLOOKUP('Données projet'!$B$9,Paramètres!$A$1:$I$89,5,0)</f>
        <v>173.47199999999998</v>
      </c>
      <c r="P77" s="13">
        <f t="shared" si="87"/>
        <v>43.866718728383574</v>
      </c>
      <c r="Q77" s="20">
        <f t="shared" si="54"/>
        <v>378.53160178526804</v>
      </c>
      <c r="R77" s="59">
        <f t="shared" si="55"/>
        <v>671.86493511860135</v>
      </c>
      <c r="S77" s="59">
        <f ca="1">AVERAGE(OFFSET($R$3,0,0,'Données projet'!$E$9+1,1))-AVERAGE(OFFSET($H$3,0,0,'Données projet'!$E$9+1,1))</f>
        <v>232.56424130731699</v>
      </c>
      <c r="T77" s="59">
        <f t="shared" si="88"/>
        <v>384.58890620364178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13.307776201028894</v>
      </c>
      <c r="AA77" s="21">
        <f>EXP(-LN(2)/25)*AA76+(1-EXP(-LN(2)/25))/(LN(2)/25)*Calculateur!V77*Calculateur!X77*VLOOKUP('Données projet'!$B$9,Paramètres!$A$1:$I$89,3,0)*0.475*44/12</f>
        <v>23.587443107823681</v>
      </c>
      <c r="AB77" s="21">
        <f>EXP(-LN(2)/2)*AB76+(1-EXP(-LN(2)/2))/(LN(2)/2)*V77*Y77*VLOOKUP('Données projet'!$B$9,Paramètres!$A$1:$I$89,3,0)*0.475*44/12</f>
        <v>2.3565824236562377E-5</v>
      </c>
      <c r="AC77" s="22">
        <f t="shared" si="57"/>
        <v>36.895242874676811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415.99999999999955</v>
      </c>
      <c r="AJ77" s="13">
        <f>AI77*VLOOKUP('Données projet'!$B$10,Paramètres!$A$1:$I$89,3,0)*VLOOKUP('Données projet'!$B$10,Paramètres!$A$1:$I$89,5,0)</f>
        <v>248.76799999999972</v>
      </c>
      <c r="AK77" s="13">
        <f t="shared" si="89"/>
        <v>60.32205079116369</v>
      </c>
      <c r="AL77" s="20">
        <f t="shared" si="58"/>
        <v>538.33183846127633</v>
      </c>
      <c r="AM77" s="59">
        <f t="shared" si="59"/>
        <v>831.66517179460971</v>
      </c>
      <c r="AN77" s="59">
        <f ca="1">AVERAGE(OFFSET($AM$3,0,0,'Données projet'!$E$10+1,1))-AVERAGE(OFFSET($H$3,0,0,'Données projet'!$E$10+1,1))</f>
        <v>279.39350157328471</v>
      </c>
      <c r="AO77" s="59">
        <f t="shared" si="90"/>
        <v>261.55559683031657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23.94295176365733</v>
      </c>
      <c r="AV77" s="21">
        <f>EXP(-LN(2)/25)*AV76+(1-EXP(-LN(2)/25))/(LN(2)/25)*Calculateur!AQ77*Calculateur!AS77*VLOOKUP('Données projet'!$B$10,Paramètres!$A$1:$I$89,3,0)*0.475*44/12</f>
        <v>25.065731479048271</v>
      </c>
      <c r="AW77" s="21">
        <f>EXP(-LN(2)/2)*AW76+(1-EXP(-LN(2)/2))/(LN(2)/2)*AQ77*AT77*VLOOKUP('Données projet'!$B$10,Paramètres!$A$1:$I$89,3,0)*0.475*44/12</f>
        <v>0.14723884439115795</v>
      </c>
      <c r="AX77" s="21">
        <f t="shared" si="60"/>
        <v>49.155922087096762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475.00000000000011</v>
      </c>
      <c r="BE77" s="13">
        <f>BD77*VLOOKUP('Données projet'!$B$11,Paramètres!$A$1:$I$89,3,0)*VLOOKUP('Données projet'!$B$11,Paramètres!$A$1:$I$89,5,0)</f>
        <v>265.52500000000009</v>
      </c>
      <c r="BF77" s="13">
        <f t="shared" si="91"/>
        <v>63.898639547235177</v>
      </c>
      <c r="BG77" s="20">
        <f t="shared" si="61"/>
        <v>573.74617221143478</v>
      </c>
      <c r="BH77" s="59">
        <f t="shared" si="62"/>
        <v>867.07950554476815</v>
      </c>
      <c r="BI77" s="59">
        <f ca="1">AVERAGE(OFFSET($BH$3,0,0,'Données projet'!$E$11+1,1))-AVERAGE(OFFSET($H$3,0,0,'Données projet'!$E$11+1,1))</f>
        <v>342.37397177572871</v>
      </c>
      <c r="BJ77" s="59">
        <f t="shared" si="92"/>
        <v>331.32436050472762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37.53255156388613</v>
      </c>
      <c r="BQ77" s="21">
        <f>EXP(-LN(2)/25)*BQ76+(1-EXP(-LN(2)/25))/(LN(2)/25)*Calculateur!BL77*Calculateur!BN77*VLOOKUP('Données projet'!$B$11,Paramètres!$A$1:$I$89,3,0)*0.475*44/12</f>
        <v>45.489099703205937</v>
      </c>
      <c r="BR77" s="21">
        <f>EXP(-LN(2)/2)*BR76+(1-EXP(-LN(2)/2))/(LN(2)/2)*BL77*BO77*VLOOKUP('Données projet'!$B$11,Paramètres!$A$1:$I$89,3,0)*0.475*44/12</f>
        <v>1.0534291691090865</v>
      </c>
      <c r="BS77" s="22">
        <f t="shared" si="63"/>
        <v>84.075080436201148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254.43287999999995</v>
      </c>
      <c r="CA77" s="13">
        <f t="shared" si="93"/>
        <v>61.534202204620392</v>
      </c>
      <c r="CB77" s="20">
        <f t="shared" si="64"/>
        <v>550.30933483971376</v>
      </c>
      <c r="CC77" s="59">
        <f t="shared" si="65"/>
        <v>843.64266817304701</v>
      </c>
      <c r="CD77" s="59">
        <f ca="1">AVERAGE(OFFSET($CC$3,0,0,'Données projet'!$E$12+1,1))-AVERAGE(OFFSET($H$3,0,0,'Données projet'!$E$12+1,1))</f>
        <v>353.37479213497227</v>
      </c>
      <c r="CE77" s="59">
        <f t="shared" si="94"/>
        <v>345.4750813433123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36.880664179352692</v>
      </c>
      <c r="CL77" s="21">
        <f>EXP(-LN(2)/25)*CL76+(1-EXP(-LN(2)/25))/(LN(2)/25)*Calculateur!CG77*Calculateur!CI77*VLOOKUP('Données projet'!$B$12,Paramètres!$A$1:$I$89,3,0)*0.475*44/12</f>
        <v>2.5490653913575749</v>
      </c>
      <c r="CM77" s="21">
        <f>EXP(-LN(2)/2)*CM76+(1-EXP(-LN(2)/2))/(LN(2)/2)*CG77*CJ77*VLOOKUP('Données projet'!$B$12,Paramètres!$A$1:$I$89,3,0)*0.475*44/12</f>
        <v>0.1784516129935407</v>
      </c>
      <c r="CN77" s="22">
        <f t="shared" si="66"/>
        <v>39.608181183703806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277.99999999999994</v>
      </c>
      <c r="O78" s="13">
        <f>N78*VLOOKUP('Données projet'!$B$9,Paramètres!$A$1:$I$89,3,0)*VLOOKUP('Données projet'!$B$9,Paramètres!$A$1:$I$89,5,0)</f>
        <v>173.47199999999998</v>
      </c>
      <c r="P78" s="13">
        <f t="shared" si="87"/>
        <v>43.866718728383574</v>
      </c>
      <c r="Q78" s="20">
        <f t="shared" si="54"/>
        <v>378.53160178526804</v>
      </c>
      <c r="R78" s="59">
        <f t="shared" si="55"/>
        <v>671.86493511860135</v>
      </c>
      <c r="S78" s="59">
        <f ca="1">AVERAGE(OFFSET($R$3,0,0,'Données projet'!$E$9+1,1))-AVERAGE(OFFSET($H$3,0,0,'Données projet'!$E$9+1,1))</f>
        <v>232.56424130731699</v>
      </c>
      <c r="T78" s="59">
        <f t="shared" si="88"/>
        <v>384.58890620364178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13.046818826668718</v>
      </c>
      <c r="AA78" s="21">
        <f>EXP(-LN(2)/25)*AA77+(1-EXP(-LN(2)/25))/(LN(2)/25)*Calculateur!V78*Calculateur!X78*VLOOKUP('Données projet'!$B$9,Paramètres!$A$1:$I$89,3,0)*0.475*44/12</f>
        <v>22.94244323563052</v>
      </c>
      <c r="AB78" s="21">
        <f>EXP(-LN(2)/2)*AB77+(1-EXP(-LN(2)/2))/(LN(2)/2)*V78*Y78*VLOOKUP('Données projet'!$B$9,Paramètres!$A$1:$I$89,3,0)*0.475*44/12</f>
        <v>1.666355412192355E-5</v>
      </c>
      <c r="AC78" s="22">
        <f t="shared" si="57"/>
        <v>35.98927872585336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415.99999999999955</v>
      </c>
      <c r="AJ78" s="13">
        <f>AI78*VLOOKUP('Données projet'!$B$10,Paramètres!$A$1:$I$89,3,0)*VLOOKUP('Données projet'!$B$10,Paramètres!$A$1:$I$89,5,0)</f>
        <v>248.76799999999972</v>
      </c>
      <c r="AK78" s="13">
        <f t="shared" si="89"/>
        <v>60.32205079116369</v>
      </c>
      <c r="AL78" s="20">
        <f t="shared" si="58"/>
        <v>538.33183846127633</v>
      </c>
      <c r="AM78" s="59">
        <f t="shared" si="59"/>
        <v>831.66517179460971</v>
      </c>
      <c r="AN78" s="59">
        <f ca="1">AVERAGE(OFFSET($AM$3,0,0,'Données projet'!$E$10+1,1))-AVERAGE(OFFSET($H$3,0,0,'Données projet'!$E$10+1,1))</f>
        <v>279.39350157328471</v>
      </c>
      <c r="AO78" s="59">
        <f t="shared" si="90"/>
        <v>261.55559683031657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23.473445083330585</v>
      </c>
      <c r="AV78" s="21">
        <f>EXP(-LN(2)/25)*AV77+(1-EXP(-LN(2)/25))/(LN(2)/25)*Calculateur!AQ78*Calculateur!AS78*VLOOKUP('Données projet'!$B$10,Paramètres!$A$1:$I$89,3,0)*0.475*44/12</f>
        <v>24.380307733604166</v>
      </c>
      <c r="AW78" s="21">
        <f>EXP(-LN(2)/2)*AW77+(1-EXP(-LN(2)/2))/(LN(2)/2)*AQ78*AT78*VLOOKUP('Données projet'!$B$10,Paramètres!$A$1:$I$89,3,0)*0.475*44/12</f>
        <v>0.10411358532305864</v>
      </c>
      <c r="AX78" s="21">
        <f t="shared" si="60"/>
        <v>47.957866402257807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475.00000000000011</v>
      </c>
      <c r="BE78" s="13">
        <f>BD78*VLOOKUP('Données projet'!$B$11,Paramètres!$A$1:$I$89,3,0)*VLOOKUP('Données projet'!$B$11,Paramètres!$A$1:$I$89,5,0)</f>
        <v>265.52500000000009</v>
      </c>
      <c r="BF78" s="13">
        <f t="shared" si="91"/>
        <v>63.898639547235177</v>
      </c>
      <c r="BG78" s="20">
        <f t="shared" si="61"/>
        <v>573.74617221143478</v>
      </c>
      <c r="BH78" s="59">
        <f t="shared" si="62"/>
        <v>867.07950554476815</v>
      </c>
      <c r="BI78" s="59">
        <f ca="1">AVERAGE(OFFSET($BH$3,0,0,'Données projet'!$E$11+1,1))-AVERAGE(OFFSET($H$3,0,0,'Données projet'!$E$11+1,1))</f>
        <v>342.37397177572871</v>
      </c>
      <c r="BJ78" s="59">
        <f t="shared" si="92"/>
        <v>331.32436050472762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36.796561120314323</v>
      </c>
      <c r="BQ78" s="21">
        <f>EXP(-LN(2)/25)*BQ77+(1-EXP(-LN(2)/25))/(LN(2)/25)*Calculateur!BL78*Calculateur!BN78*VLOOKUP('Données projet'!$B$11,Paramètres!$A$1:$I$89,3,0)*0.475*44/12</f>
        <v>44.245197879653986</v>
      </c>
      <c r="BR78" s="21">
        <f>EXP(-LN(2)/2)*BR77+(1-EXP(-LN(2)/2))/(LN(2)/2)*BL78*BO78*VLOOKUP('Données projet'!$B$11,Paramètres!$A$1:$I$89,3,0)*0.475*44/12</f>
        <v>0.74488690897674537</v>
      </c>
      <c r="BS78" s="22">
        <f t="shared" si="63"/>
        <v>81.786645908945047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257.77439999999996</v>
      </c>
      <c r="CA78" s="13">
        <f t="shared" si="93"/>
        <v>62.247732872134293</v>
      </c>
      <c r="CB78" s="20">
        <f t="shared" si="64"/>
        <v>557.37188141896718</v>
      </c>
      <c r="CC78" s="59">
        <f t="shared" si="65"/>
        <v>850.70521475230044</v>
      </c>
      <c r="CD78" s="59">
        <f ca="1">AVERAGE(OFFSET($CC$3,0,0,'Données projet'!$E$12+1,1))-AVERAGE(OFFSET($H$3,0,0,'Données projet'!$E$12+1,1))</f>
        <v>353.37479213497227</v>
      </c>
      <c r="CE78" s="59">
        <f t="shared" si="94"/>
        <v>345.4750813433123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0.42400000000000004</v>
      </c>
      <c r="CI78" s="16">
        <f>IF(ISNA(VLOOKUP(A78,'Données projet'!$A$113:$I$133,6,0)),0%,VLOOKUP(A78,'Données projet'!$A$113:$I$133,6,0)*VLOOKUP('Données projet'!$B$12,Paramètres!$A$1:$I$89,7,0))</f>
        <v>2.12E-2</v>
      </c>
      <c r="CJ78" s="16">
        <f>IF(ISNA(VLOOKUP(A78,'Données projet'!$A$113:$I$133,7,0)),0%,VLOOKUP(A78,'Données projet'!$A$113:$I$133,7,0))</f>
        <v>0.06</v>
      </c>
      <c r="CK78" s="21">
        <f>EXP(-LN(2)/35)*CK77+(1-EXP(-LN(2)/35))/(LN(2)/35)*CG78*CH78*VLOOKUP('Données projet'!$B$12,Paramètres!$A$1:$I$89,3,0)*0.475*44/12</f>
        <v>40.632415096149785</v>
      </c>
      <c r="CL78" s="21">
        <f>EXP(-LN(2)/25)*CL77+(1-EXP(-LN(2)/25))/(LN(2)/25)*Calculateur!CG78*Calculateur!CI78*VLOOKUP('Données projet'!$B$12,Paramètres!$A$1:$I$89,3,0)*0.475*44/12</f>
        <v>2.702227995714455</v>
      </c>
      <c r="CM78" s="21">
        <f>EXP(-LN(2)/2)*CM77+(1-EXP(-LN(2)/2))/(LN(2)/2)*CG78*CJ78*VLOOKUP('Données projet'!$B$12,Paramètres!$A$1:$I$89,3,0)*0.475*44/12</f>
        <v>0.6666667552086436</v>
      </c>
      <c r="CN78" s="22">
        <f t="shared" si="66"/>
        <v>44.001309847072882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277.99999999999994</v>
      </c>
      <c r="O79" s="13">
        <f>N79*VLOOKUP('Données projet'!$B$9,Paramètres!$A$1:$I$89,3,0)*VLOOKUP('Données projet'!$B$9,Paramètres!$A$1:$I$89,5,0)</f>
        <v>173.47199999999998</v>
      </c>
      <c r="P79" s="13">
        <f t="shared" si="87"/>
        <v>43.866718728383574</v>
      </c>
      <c r="Q79" s="20">
        <f t="shared" si="54"/>
        <v>378.53160178526804</v>
      </c>
      <c r="R79" s="59">
        <f t="shared" si="55"/>
        <v>671.86493511860135</v>
      </c>
      <c r="S79" s="59">
        <f ca="1">AVERAGE(OFFSET($R$3,0,0,'Données projet'!$E$9+1,1))-AVERAGE(OFFSET($H$3,0,0,'Données projet'!$E$9+1,1))</f>
        <v>232.56424130731699</v>
      </c>
      <c r="T79" s="59">
        <f t="shared" si="88"/>
        <v>384.58890620364178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12.790978667251464</v>
      </c>
      <c r="AA79" s="21">
        <f>EXP(-LN(2)/25)*AA78+(1-EXP(-LN(2)/25))/(LN(2)/25)*Calculateur!V79*Calculateur!X79*VLOOKUP('Données projet'!$B$9,Paramètres!$A$1:$I$89,3,0)*0.475*44/12</f>
        <v>22.31508091886155</v>
      </c>
      <c r="AB79" s="21">
        <f>EXP(-LN(2)/2)*AB78+(1-EXP(-LN(2)/2))/(LN(2)/2)*V79*Y79*VLOOKUP('Données projet'!$B$9,Paramètres!$A$1:$I$89,3,0)*0.475*44/12</f>
        <v>1.1782912118281188E-5</v>
      </c>
      <c r="AC79" s="22">
        <f t="shared" si="57"/>
        <v>35.10607136902513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415.99999999999955</v>
      </c>
      <c r="AJ79" s="13">
        <f>AI79*VLOOKUP('Données projet'!$B$10,Paramètres!$A$1:$I$89,3,0)*VLOOKUP('Données projet'!$B$10,Paramètres!$A$1:$I$89,5,0)</f>
        <v>248.76799999999972</v>
      </c>
      <c r="AK79" s="13">
        <f t="shared" si="89"/>
        <v>60.32205079116369</v>
      </c>
      <c r="AL79" s="20">
        <f t="shared" si="58"/>
        <v>538.33183846127633</v>
      </c>
      <c r="AM79" s="59">
        <f t="shared" si="59"/>
        <v>831.66517179460971</v>
      </c>
      <c r="AN79" s="59">
        <f ca="1">AVERAGE(OFFSET($AM$3,0,0,'Données projet'!$E$10+1,1))-AVERAGE(OFFSET($H$3,0,0,'Données projet'!$E$10+1,1))</f>
        <v>279.39350157328471</v>
      </c>
      <c r="AO79" s="59">
        <f t="shared" si="90"/>
        <v>261.55559683031657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23.013145142634247</v>
      </c>
      <c r="AV79" s="21">
        <f>EXP(-LN(2)/25)*AV78+(1-EXP(-LN(2)/25))/(LN(2)/25)*Calculateur!AQ79*Calculateur!AS79*VLOOKUP('Données projet'!$B$10,Paramètres!$A$1:$I$89,3,0)*0.475*44/12</f>
        <v>23.713626936524097</v>
      </c>
      <c r="AW79" s="21">
        <f>EXP(-LN(2)/2)*AW78+(1-EXP(-LN(2)/2))/(LN(2)/2)*AQ79*AT79*VLOOKUP('Données projet'!$B$10,Paramètres!$A$1:$I$89,3,0)*0.475*44/12</f>
        <v>7.3619422195578973E-2</v>
      </c>
      <c r="AX79" s="21">
        <f t="shared" si="60"/>
        <v>46.800391501353921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475.00000000000011</v>
      </c>
      <c r="BE79" s="13">
        <f>BD79*VLOOKUP('Données projet'!$B$11,Paramètres!$A$1:$I$89,3,0)*VLOOKUP('Données projet'!$B$11,Paramètres!$A$1:$I$89,5,0)</f>
        <v>265.52500000000009</v>
      </c>
      <c r="BF79" s="13">
        <f t="shared" si="91"/>
        <v>63.898639547235177</v>
      </c>
      <c r="BG79" s="20">
        <f t="shared" si="61"/>
        <v>573.74617221143478</v>
      </c>
      <c r="BH79" s="59">
        <f t="shared" si="62"/>
        <v>867.07950554476815</v>
      </c>
      <c r="BI79" s="59">
        <f ca="1">AVERAGE(OFFSET($BH$3,0,0,'Données projet'!$E$11+1,1))-AVERAGE(OFFSET($H$3,0,0,'Données projet'!$E$11+1,1))</f>
        <v>342.37397177572871</v>
      </c>
      <c r="BJ79" s="59">
        <f t="shared" si="92"/>
        <v>331.32436050472762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36.07500300043111</v>
      </c>
      <c r="BQ79" s="21">
        <f>EXP(-LN(2)/25)*BQ78+(1-EXP(-LN(2)/25))/(LN(2)/25)*Calculateur!BL79*Calculateur!BN79*VLOOKUP('Données projet'!$B$11,Paramètres!$A$1:$I$89,3,0)*0.475*44/12</f>
        <v>43.035310616881013</v>
      </c>
      <c r="BR79" s="21">
        <f>EXP(-LN(2)/2)*BR78+(1-EXP(-LN(2)/2))/(LN(2)/2)*BL79*BO79*VLOOKUP('Données projet'!$B$11,Paramètres!$A$1:$I$89,3,0)*0.475*44/12</f>
        <v>0.52671458455454323</v>
      </c>
      <c r="BS79" s="22">
        <f t="shared" si="63"/>
        <v>79.63702820186667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251.09135999999995</v>
      </c>
      <c r="CA79" s="13">
        <f t="shared" si="93"/>
        <v>60.81957989149403</v>
      </c>
      <c r="CB79" s="20">
        <f t="shared" si="64"/>
        <v>543.24488697768527</v>
      </c>
      <c r="CC79" s="59">
        <f t="shared" si="65"/>
        <v>836.57822031101864</v>
      </c>
      <c r="CD79" s="59">
        <f ca="1">AVERAGE(OFFSET($CC$3,0,0,'Données projet'!$E$12+1,1))-AVERAGE(OFFSET($H$3,0,0,'Données projet'!$E$12+1,1))</f>
        <v>353.37479213497227</v>
      </c>
      <c r="CE79" s="59">
        <f t="shared" si="94"/>
        <v>345.4750813433123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39.835638219440348</v>
      </c>
      <c r="CL79" s="21">
        <f>EXP(-LN(2)/25)*CL78+(1-EXP(-LN(2)/25))/(LN(2)/25)*Calculateur!CG79*Calculateur!CI79*VLOOKUP('Données projet'!$B$12,Paramètres!$A$1:$I$89,3,0)*0.475*44/12</f>
        <v>2.6283354290676488</v>
      </c>
      <c r="CM79" s="21">
        <f>EXP(-LN(2)/2)*CM78+(1-EXP(-LN(2)/2))/(LN(2)/2)*CG79*CJ79*VLOOKUP('Données projet'!$B$12,Paramètres!$A$1:$I$89,3,0)*0.475*44/12</f>
        <v>0.47140458339966401</v>
      </c>
      <c r="CN79" s="22">
        <f t="shared" si="66"/>
        <v>42.935378231907656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277.99999999999994</v>
      </c>
      <c r="O80" s="13">
        <f>N80*VLOOKUP('Données projet'!$B$9,Paramètres!$A$1:$I$89,3,0)*VLOOKUP('Données projet'!$B$9,Paramètres!$A$1:$I$89,5,0)</f>
        <v>173.47199999999998</v>
      </c>
      <c r="P80" s="13">
        <f t="shared" si="87"/>
        <v>43.866718728383574</v>
      </c>
      <c r="Q80" s="20">
        <f t="shared" si="54"/>
        <v>378.53160178526804</v>
      </c>
      <c r="R80" s="59">
        <f t="shared" si="55"/>
        <v>671.86493511860135</v>
      </c>
      <c r="S80" s="59">
        <f ca="1">AVERAGE(OFFSET($R$3,0,0,'Données projet'!$E$9+1,1))-AVERAGE(OFFSET($H$3,0,0,'Données projet'!$E$9+1,1))</f>
        <v>232.56424130731699</v>
      </c>
      <c r="T80" s="59">
        <f t="shared" si="88"/>
        <v>384.58890620364178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12.540155377313294</v>
      </c>
      <c r="AA80" s="21">
        <f>EXP(-LN(2)/25)*AA79+(1-EXP(-LN(2)/25))/(LN(2)/25)*Calculateur!V80*Calculateur!X80*VLOOKUP('Données projet'!$B$9,Paramètres!$A$1:$I$89,3,0)*0.475*44/12</f>
        <v>21.704873857636176</v>
      </c>
      <c r="AB80" s="21">
        <f>EXP(-LN(2)/2)*AB79+(1-EXP(-LN(2)/2))/(LN(2)/2)*V80*Y80*VLOOKUP('Données projet'!$B$9,Paramètres!$A$1:$I$89,3,0)*0.475*44/12</f>
        <v>8.3317770609617752E-6</v>
      </c>
      <c r="AC80" s="22">
        <f t="shared" si="57"/>
        <v>34.245037566726531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415.99999999999955</v>
      </c>
      <c r="AJ80" s="13">
        <f>AI80*VLOOKUP('Données projet'!$B$10,Paramètres!$A$1:$I$89,3,0)*VLOOKUP('Données projet'!$B$10,Paramètres!$A$1:$I$89,5,0)</f>
        <v>248.76799999999972</v>
      </c>
      <c r="AK80" s="13">
        <f t="shared" si="89"/>
        <v>60.32205079116369</v>
      </c>
      <c r="AL80" s="20">
        <f t="shared" si="58"/>
        <v>538.33183846127633</v>
      </c>
      <c r="AM80" s="59">
        <f t="shared" si="59"/>
        <v>831.66517179460971</v>
      </c>
      <c r="AN80" s="59">
        <f ca="1">AVERAGE(OFFSET($AM$3,0,0,'Données projet'!$E$10+1,1))-AVERAGE(OFFSET($H$3,0,0,'Données projet'!$E$10+1,1))</f>
        <v>279.39350157328471</v>
      </c>
      <c r="AO80" s="59">
        <f t="shared" si="90"/>
        <v>261.55559683031657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22.561871403019726</v>
      </c>
      <c r="AV80" s="21">
        <f>EXP(-LN(2)/25)*AV79+(1-EXP(-LN(2)/25))/(LN(2)/25)*Calculateur!AQ80*Calculateur!AS80*VLOOKUP('Données projet'!$B$10,Paramètres!$A$1:$I$89,3,0)*0.475*44/12</f>
        <v>23.065176560899403</v>
      </c>
      <c r="AW80" s="21">
        <f>EXP(-LN(2)/2)*AW79+(1-EXP(-LN(2)/2))/(LN(2)/2)*AQ80*AT80*VLOOKUP('Données projet'!$B$10,Paramètres!$A$1:$I$89,3,0)*0.475*44/12</f>
        <v>5.2056792661529322E-2</v>
      </c>
      <c r="AX80" s="21">
        <f t="shared" si="60"/>
        <v>45.679104756580656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475.00000000000011</v>
      </c>
      <c r="BE80" s="13">
        <f>BD80*VLOOKUP('Données projet'!$B$11,Paramètres!$A$1:$I$89,3,0)*VLOOKUP('Données projet'!$B$11,Paramètres!$A$1:$I$89,5,0)</f>
        <v>265.52500000000009</v>
      </c>
      <c r="BF80" s="13">
        <f t="shared" si="91"/>
        <v>63.898639547235177</v>
      </c>
      <c r="BG80" s="20">
        <f t="shared" si="61"/>
        <v>573.74617221143478</v>
      </c>
      <c r="BH80" s="59">
        <f t="shared" si="62"/>
        <v>867.07950554476815</v>
      </c>
      <c r="BI80" s="59">
        <f ca="1">AVERAGE(OFFSET($BH$3,0,0,'Données projet'!$E$11+1,1))-AVERAGE(OFFSET($H$3,0,0,'Données projet'!$E$11+1,1))</f>
        <v>342.37397177572871</v>
      </c>
      <c r="BJ80" s="59">
        <f t="shared" si="92"/>
        <v>331.32436050472762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35.367594195171812</v>
      </c>
      <c r="BQ80" s="21">
        <f>EXP(-LN(2)/25)*BQ79+(1-EXP(-LN(2)/25))/(LN(2)/25)*Calculateur!BL80*Calculateur!BN80*VLOOKUP('Données projet'!$B$11,Paramètres!$A$1:$I$89,3,0)*0.475*44/12</f>
        <v>41.858507784933778</v>
      </c>
      <c r="BR80" s="21">
        <f>EXP(-LN(2)/2)*BR79+(1-EXP(-LN(2)/2))/(LN(2)/2)*BL80*BO80*VLOOKUP('Données projet'!$B$11,Paramètres!$A$1:$I$89,3,0)*0.475*44/12</f>
        <v>0.37244345448837268</v>
      </c>
      <c r="BS80" s="22">
        <f t="shared" si="63"/>
        <v>77.598545434593973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253.95551999999998</v>
      </c>
      <c r="CA80" s="13">
        <f t="shared" si="93"/>
        <v>61.432180511879253</v>
      </c>
      <c r="CB80" s="20">
        <f t="shared" si="64"/>
        <v>549.30024505818972</v>
      </c>
      <c r="CC80" s="59">
        <f t="shared" si="65"/>
        <v>842.63357839152309</v>
      </c>
      <c r="CD80" s="59">
        <f ca="1">AVERAGE(OFFSET($CC$3,0,0,'Données projet'!$E$12+1,1))-AVERAGE(OFFSET($H$3,0,0,'Données projet'!$E$12+1,1))</f>
        <v>353.37479213497227</v>
      </c>
      <c r="CE80" s="59">
        <f t="shared" si="94"/>
        <v>345.4750813433123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39.05448565129727</v>
      </c>
      <c r="CL80" s="21">
        <f>EXP(-LN(2)/25)*CL79+(1-EXP(-LN(2)/25))/(LN(2)/25)*Calculateur!CG80*Calculateur!CI80*VLOOKUP('Données projet'!$B$12,Paramètres!$A$1:$I$89,3,0)*0.475*44/12</f>
        <v>2.556463458541641</v>
      </c>
      <c r="CM80" s="21">
        <f>EXP(-LN(2)/2)*CM79+(1-EXP(-LN(2)/2))/(LN(2)/2)*CG80*CJ80*VLOOKUP('Données projet'!$B$12,Paramètres!$A$1:$I$89,3,0)*0.475*44/12</f>
        <v>0.33333337760432186</v>
      </c>
      <c r="CN80" s="22">
        <f t="shared" si="66"/>
        <v>41.944282487443232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277.99999999999994</v>
      </c>
      <c r="O81" s="13">
        <f>N81*VLOOKUP('Données projet'!$B$9,Paramètres!$A$1:$I$89,3,0)*VLOOKUP('Données projet'!$B$9,Paramètres!$A$1:$I$89,5,0)</f>
        <v>173.47199999999998</v>
      </c>
      <c r="P81" s="13">
        <f t="shared" si="87"/>
        <v>43.866718728383574</v>
      </c>
      <c r="Q81" s="20">
        <f t="shared" si="54"/>
        <v>378.53160178526804</v>
      </c>
      <c r="R81" s="59">
        <f t="shared" si="55"/>
        <v>671.86493511860135</v>
      </c>
      <c r="S81" s="59">
        <f ca="1">AVERAGE(OFFSET($R$3,0,0,'Données projet'!$E$9+1,1))-AVERAGE(OFFSET($H$3,0,0,'Données projet'!$E$9+1,1))</f>
        <v>232.56424130731699</v>
      </c>
      <c r="T81" s="59">
        <f t="shared" si="88"/>
        <v>384.58890620364178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12.294250579103711</v>
      </c>
      <c r="AA81" s="21">
        <f>EXP(-LN(2)/25)*AA80+(1-EXP(-LN(2)/25))/(LN(2)/25)*Calculateur!V81*Calculateur!X81*VLOOKUP('Données projet'!$B$9,Paramètres!$A$1:$I$89,3,0)*0.475*44/12</f>
        <v>21.111352940589406</v>
      </c>
      <c r="AB81" s="21">
        <f>EXP(-LN(2)/2)*AB80+(1-EXP(-LN(2)/2))/(LN(2)/2)*V81*Y81*VLOOKUP('Données projet'!$B$9,Paramètres!$A$1:$I$89,3,0)*0.475*44/12</f>
        <v>5.8914560591405941E-6</v>
      </c>
      <c r="AC81" s="22">
        <f t="shared" si="57"/>
        <v>33.405609411149179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415.99999999999955</v>
      </c>
      <c r="AJ81" s="13">
        <f>AI81*VLOOKUP('Données projet'!$B$10,Paramètres!$A$1:$I$89,3,0)*VLOOKUP('Données projet'!$B$10,Paramètres!$A$1:$I$89,5,0)</f>
        <v>248.76799999999972</v>
      </c>
      <c r="AK81" s="13">
        <f t="shared" si="89"/>
        <v>60.32205079116369</v>
      </c>
      <c r="AL81" s="20">
        <f t="shared" si="58"/>
        <v>538.33183846127633</v>
      </c>
      <c r="AM81" s="59">
        <f t="shared" si="59"/>
        <v>831.66517179460971</v>
      </c>
      <c r="AN81" s="59">
        <f ca="1">AVERAGE(OFFSET($AM$3,0,0,'Données projet'!$E$10+1,1))-AVERAGE(OFFSET($H$3,0,0,'Données projet'!$E$10+1,1))</f>
        <v>279.39350157328471</v>
      </c>
      <c r="AO81" s="59">
        <f t="shared" si="90"/>
        <v>261.55559683031657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22.119446866189243</v>
      </c>
      <c r="AV81" s="21">
        <f>EXP(-LN(2)/25)*AV80+(1-EXP(-LN(2)/25))/(LN(2)/25)*Calculateur!AQ81*Calculateur!AS81*VLOOKUP('Données projet'!$B$10,Paramètres!$A$1:$I$89,3,0)*0.475*44/12</f>
        <v>22.434458094896691</v>
      </c>
      <c r="AW81" s="21">
        <f>EXP(-LN(2)/2)*AW80+(1-EXP(-LN(2)/2))/(LN(2)/2)*AQ81*AT81*VLOOKUP('Données projet'!$B$10,Paramètres!$A$1:$I$89,3,0)*0.475*44/12</f>
        <v>3.6809711097789487E-2</v>
      </c>
      <c r="AX81" s="21">
        <f t="shared" si="60"/>
        <v>44.590714672183722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475.00000000000011</v>
      </c>
      <c r="BE81" s="13">
        <f>BD81*VLOOKUP('Données projet'!$B$11,Paramètres!$A$1:$I$89,3,0)*VLOOKUP('Données projet'!$B$11,Paramètres!$A$1:$I$89,5,0)</f>
        <v>265.52500000000009</v>
      </c>
      <c r="BF81" s="13">
        <f t="shared" si="91"/>
        <v>63.898639547235177</v>
      </c>
      <c r="BG81" s="20">
        <f t="shared" si="61"/>
        <v>573.74617221143478</v>
      </c>
      <c r="BH81" s="59">
        <f t="shared" si="62"/>
        <v>867.07950554476815</v>
      </c>
      <c r="BI81" s="59">
        <f ca="1">AVERAGE(OFFSET($BH$3,0,0,'Données projet'!$E$11+1,1))-AVERAGE(OFFSET($H$3,0,0,'Données projet'!$E$11+1,1))</f>
        <v>342.37397177572871</v>
      </c>
      <c r="BJ81" s="59">
        <f t="shared" si="92"/>
        <v>331.32436050472762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34.67405724510688</v>
      </c>
      <c r="BQ81" s="21">
        <f>EXP(-LN(2)/25)*BQ80+(1-EXP(-LN(2)/25))/(LN(2)/25)*Calculateur!BL81*Calculateur!BN81*VLOOKUP('Données projet'!$B$11,Paramètres!$A$1:$I$89,3,0)*0.475*44/12</f>
        <v>40.713884688311509</v>
      </c>
      <c r="BR81" s="21">
        <f>EXP(-LN(2)/2)*BR80+(1-EXP(-LN(2)/2))/(LN(2)/2)*BL81*BO81*VLOOKUP('Données projet'!$B$11,Paramètres!$A$1:$I$89,3,0)*0.475*44/12</f>
        <v>0.26335729227727162</v>
      </c>
      <c r="BS81" s="22">
        <f t="shared" si="63"/>
        <v>75.651299225695666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256.81968000000001</v>
      </c>
      <c r="CA81" s="13">
        <f t="shared" si="93"/>
        <v>62.043977430851903</v>
      </c>
      <c r="CB81" s="20">
        <f t="shared" si="64"/>
        <v>555.35420335873368</v>
      </c>
      <c r="CC81" s="59">
        <f t="shared" si="65"/>
        <v>848.68753669206694</v>
      </c>
      <c r="CD81" s="59">
        <f ca="1">AVERAGE(OFFSET($CC$3,0,0,'Données projet'!$E$12+1,1))-AVERAGE(OFFSET($H$3,0,0,'Données projet'!$E$12+1,1))</f>
        <v>353.37479213497227</v>
      </c>
      <c r="CE81" s="59">
        <f t="shared" si="94"/>
        <v>345.4750813433123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38.288651008559462</v>
      </c>
      <c r="CL81" s="21">
        <f>EXP(-LN(2)/25)*CL80+(1-EXP(-LN(2)/25))/(LN(2)/25)*Calculateur!CG81*Calculateur!CI81*VLOOKUP('Données projet'!$B$12,Paramètres!$A$1:$I$89,3,0)*0.475*44/12</f>
        <v>2.4865568308292496</v>
      </c>
      <c r="CM81" s="21">
        <f>EXP(-LN(2)/2)*CM80+(1-EXP(-LN(2)/2))/(LN(2)/2)*CG81*CJ81*VLOOKUP('Données projet'!$B$12,Paramètres!$A$1:$I$89,3,0)*0.475*44/12</f>
        <v>0.23570229169983206</v>
      </c>
      <c r="CN81" s="22">
        <f t="shared" si="66"/>
        <v>41.010910131088544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277.99999999999994</v>
      </c>
      <c r="O82" s="13">
        <f>N82*VLOOKUP('Données projet'!$B$9,Paramètres!$A$1:$I$89,3,0)*VLOOKUP('Données projet'!$B$9,Paramètres!$A$1:$I$89,5,0)</f>
        <v>173.47199999999998</v>
      </c>
      <c r="P82" s="13">
        <f t="shared" si="87"/>
        <v>43.866718728383574</v>
      </c>
      <c r="Q82" s="20">
        <f t="shared" si="54"/>
        <v>378.53160178526804</v>
      </c>
      <c r="R82" s="59">
        <f t="shared" si="55"/>
        <v>671.86493511860135</v>
      </c>
      <c r="S82" s="59">
        <f ca="1">AVERAGE(OFFSET($R$3,0,0,'Données projet'!$E$9+1,1))-AVERAGE(OFFSET($H$3,0,0,'Données projet'!$E$9+1,1))</f>
        <v>232.56424130731699</v>
      </c>
      <c r="T82" s="59">
        <f t="shared" si="88"/>
        <v>384.58890620364178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12.0531678239999</v>
      </c>
      <c r="AA82" s="21">
        <f>EXP(-LN(2)/25)*AA81+(1-EXP(-LN(2)/25))/(LN(2)/25)*Calculateur!V82*Calculateur!X82*VLOOKUP('Données projet'!$B$9,Paramètres!$A$1:$I$89,3,0)*0.475*44/12</f>
        <v>20.534061884231189</v>
      </c>
      <c r="AB82" s="21">
        <f>EXP(-LN(2)/2)*AB81+(1-EXP(-LN(2)/2))/(LN(2)/2)*V82*Y82*VLOOKUP('Données projet'!$B$9,Paramètres!$A$1:$I$89,3,0)*0.475*44/12</f>
        <v>4.1658885304808876E-6</v>
      </c>
      <c r="AC82" s="22">
        <f t="shared" si="57"/>
        <v>32.587233874119626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415.99999999999955</v>
      </c>
      <c r="AJ82" s="13">
        <f>AI82*VLOOKUP('Données projet'!$B$10,Paramètres!$A$1:$I$89,3,0)*VLOOKUP('Données projet'!$B$10,Paramètres!$A$1:$I$89,5,0)</f>
        <v>248.76799999999972</v>
      </c>
      <c r="AK82" s="13">
        <f t="shared" si="89"/>
        <v>60.32205079116369</v>
      </c>
      <c r="AL82" s="20">
        <f t="shared" si="58"/>
        <v>538.33183846127633</v>
      </c>
      <c r="AM82" s="59">
        <f t="shared" si="59"/>
        <v>831.66517179460971</v>
      </c>
      <c r="AN82" s="59">
        <f ca="1">AVERAGE(OFFSET($AM$3,0,0,'Données projet'!$E$10+1,1))-AVERAGE(OFFSET($H$3,0,0,'Données projet'!$E$10+1,1))</f>
        <v>279.39350157328471</v>
      </c>
      <c r="AO82" s="59">
        <f t="shared" si="90"/>
        <v>261.55559683031657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21.685698004673682</v>
      </c>
      <c r="AV82" s="21">
        <f>EXP(-LN(2)/25)*AV81+(1-EXP(-LN(2)/25))/(LN(2)/25)*Calculateur!AQ82*Calculateur!AS82*VLOOKUP('Données projet'!$B$10,Paramètres!$A$1:$I$89,3,0)*0.475*44/12</f>
        <v>21.820986658514865</v>
      </c>
      <c r="AW82" s="21">
        <f>EXP(-LN(2)/2)*AW81+(1-EXP(-LN(2)/2))/(LN(2)/2)*AQ82*AT82*VLOOKUP('Données projet'!$B$10,Paramètres!$A$1:$I$89,3,0)*0.475*44/12</f>
        <v>2.6028396330764661E-2</v>
      </c>
      <c r="AX82" s="21">
        <f t="shared" si="60"/>
        <v>43.532713059519317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475.00000000000011</v>
      </c>
      <c r="BE82" s="13">
        <f>BD82*VLOOKUP('Données projet'!$B$11,Paramètres!$A$1:$I$89,3,0)*VLOOKUP('Données projet'!$B$11,Paramètres!$A$1:$I$89,5,0)</f>
        <v>265.52500000000009</v>
      </c>
      <c r="BF82" s="13">
        <f t="shared" si="91"/>
        <v>63.898639547235177</v>
      </c>
      <c r="BG82" s="20">
        <f t="shared" si="61"/>
        <v>573.74617221143478</v>
      </c>
      <c r="BH82" s="59">
        <f t="shared" si="62"/>
        <v>867.07950554476815</v>
      </c>
      <c r="BI82" s="59">
        <f ca="1">AVERAGE(OFFSET($BH$3,0,0,'Données projet'!$E$11+1,1))-AVERAGE(OFFSET($H$3,0,0,'Données projet'!$E$11+1,1))</f>
        <v>342.37397177572871</v>
      </c>
      <c r="BJ82" s="59">
        <f t="shared" si="92"/>
        <v>331.32436050472762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33.994120131616953</v>
      </c>
      <c r="BQ82" s="21">
        <f>EXP(-LN(2)/25)*BQ81+(1-EXP(-LN(2)/25))/(LN(2)/25)*Calculateur!BL82*Calculateur!BN82*VLOOKUP('Données projet'!$B$11,Paramètres!$A$1:$I$89,3,0)*0.475*44/12</f>
        <v>39.600561370459488</v>
      </c>
      <c r="BR82" s="21">
        <f>EXP(-LN(2)/2)*BR81+(1-EXP(-LN(2)/2))/(LN(2)/2)*BL82*BO82*VLOOKUP('Données projet'!$B$11,Paramètres!$A$1:$I$89,3,0)*0.475*44/12</f>
        <v>0.18622172724418634</v>
      </c>
      <c r="BS82" s="22">
        <f t="shared" si="63"/>
        <v>73.780903229320629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259.68384000000003</v>
      </c>
      <c r="CA82" s="13">
        <f t="shared" si="93"/>
        <v>62.654980648867358</v>
      </c>
      <c r="CB82" s="20">
        <f t="shared" si="64"/>
        <v>561.40677929677736</v>
      </c>
      <c r="CC82" s="59">
        <f t="shared" si="65"/>
        <v>854.74011263011062</v>
      </c>
      <c r="CD82" s="59">
        <f ca="1">AVERAGE(OFFSET($CC$3,0,0,'Données projet'!$E$12+1,1))-AVERAGE(OFFSET($H$3,0,0,'Données projet'!$E$12+1,1))</f>
        <v>353.37479213497227</v>
      </c>
      <c r="CE82" s="59">
        <f t="shared" si="94"/>
        <v>345.4750813433123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37.537833916052733</v>
      </c>
      <c r="CL82" s="21">
        <f>EXP(-LN(2)/25)*CL81+(1-EXP(-LN(2)/25))/(LN(2)/25)*Calculateur!CG82*Calculateur!CI82*VLOOKUP('Données projet'!$B$12,Paramètres!$A$1:$I$89,3,0)*0.475*44/12</f>
        <v>2.4185618035278833</v>
      </c>
      <c r="CM82" s="21">
        <f>EXP(-LN(2)/2)*CM81+(1-EXP(-LN(2)/2))/(LN(2)/2)*CG82*CJ82*VLOOKUP('Données projet'!$B$12,Paramètres!$A$1:$I$89,3,0)*0.475*44/12</f>
        <v>0.16666668880216096</v>
      </c>
      <c r="CN82" s="22">
        <f t="shared" si="66"/>
        <v>40.123062408382779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277.99999999999994</v>
      </c>
      <c r="O83" s="13">
        <f>N83*VLOOKUP('Données projet'!$B$9,Paramètres!$A$1:$I$89,3,0)*VLOOKUP('Données projet'!$B$9,Paramètres!$A$1:$I$89,5,0)</f>
        <v>173.47199999999998</v>
      </c>
      <c r="P83" s="13">
        <f t="shared" si="87"/>
        <v>43.866718728383574</v>
      </c>
      <c r="Q83" s="20">
        <f t="shared" si="54"/>
        <v>378.53160178526804</v>
      </c>
      <c r="R83" s="59">
        <f t="shared" si="55"/>
        <v>671.86493511860135</v>
      </c>
      <c r="S83" s="59">
        <f ca="1">AVERAGE(OFFSET($R$3,0,0,'Données projet'!$E$9+1,1))-AVERAGE(OFFSET($H$3,0,0,'Données projet'!$E$9+1,1))</f>
        <v>232.56424130731699</v>
      </c>
      <c r="T83" s="59">
        <f t="shared" si="88"/>
        <v>384.58890620364178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11.816812554677714</v>
      </c>
      <c r="AA83" s="21">
        <f>EXP(-LN(2)/25)*AA82+(1-EXP(-LN(2)/25))/(LN(2)/25)*Calculateur!V83*Calculateur!X83*VLOOKUP('Données projet'!$B$9,Paramètres!$A$1:$I$89,3,0)*0.475*44/12</f>
        <v>19.972556882167503</v>
      </c>
      <c r="AB83" s="21">
        <f>EXP(-LN(2)/2)*AB82+(1-EXP(-LN(2)/2))/(LN(2)/2)*V83*Y83*VLOOKUP('Données projet'!$B$9,Paramètres!$A$1:$I$89,3,0)*0.475*44/12</f>
        <v>2.9457280295702971E-6</v>
      </c>
      <c r="AC83" s="22">
        <f t="shared" si="57"/>
        <v>31.789372382573248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415.99999999999955</v>
      </c>
      <c r="AJ83" s="13">
        <f>AI83*VLOOKUP('Données projet'!$B$10,Paramètres!$A$1:$I$89,3,0)*VLOOKUP('Données projet'!$B$10,Paramètres!$A$1:$I$89,5,0)</f>
        <v>248.76799999999972</v>
      </c>
      <c r="AK83" s="13">
        <f t="shared" si="89"/>
        <v>60.32205079116369</v>
      </c>
      <c r="AL83" s="20">
        <f t="shared" si="58"/>
        <v>538.33183846127633</v>
      </c>
      <c r="AM83" s="59">
        <f t="shared" si="59"/>
        <v>831.66517179460971</v>
      </c>
      <c r="AN83" s="59">
        <f ca="1">AVERAGE(OFFSET($AM$3,0,0,'Données projet'!$E$10+1,1))-AVERAGE(OFFSET($H$3,0,0,'Données projet'!$E$10+1,1))</f>
        <v>279.39350157328471</v>
      </c>
      <c r="AO83" s="59">
        <f t="shared" si="90"/>
        <v>261.55559683031657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21.260454693771759</v>
      </c>
      <c r="AV83" s="21">
        <f>EXP(-LN(2)/25)*AV82+(1-EXP(-LN(2)/25))/(LN(2)/25)*Calculateur!AQ83*Calculateur!AS83*VLOOKUP('Données projet'!$B$10,Paramètres!$A$1:$I$89,3,0)*0.475*44/12</f>
        <v>21.224290630821962</v>
      </c>
      <c r="AW83" s="21">
        <f>EXP(-LN(2)/2)*AW82+(1-EXP(-LN(2)/2))/(LN(2)/2)*AQ83*AT83*VLOOKUP('Données projet'!$B$10,Paramètres!$A$1:$I$89,3,0)*0.475*44/12</f>
        <v>1.8404855548894743E-2</v>
      </c>
      <c r="AX83" s="21">
        <f t="shared" si="60"/>
        <v>42.503150180142612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475.00000000000011</v>
      </c>
      <c r="BE83" s="13">
        <f>BD83*VLOOKUP('Données projet'!$B$11,Paramètres!$A$1:$I$89,3,0)*VLOOKUP('Données projet'!$B$11,Paramètres!$A$1:$I$89,5,0)</f>
        <v>265.52500000000009</v>
      </c>
      <c r="BF83" s="13">
        <f t="shared" si="91"/>
        <v>63.898639547235177</v>
      </c>
      <c r="BG83" s="20">
        <f t="shared" si="61"/>
        <v>573.74617221143478</v>
      </c>
      <c r="BH83" s="59">
        <f t="shared" si="62"/>
        <v>867.07950554476815</v>
      </c>
      <c r="BI83" s="59">
        <f ca="1">AVERAGE(OFFSET($BH$3,0,0,'Données projet'!$E$11+1,1))-AVERAGE(OFFSET($H$3,0,0,'Données projet'!$E$11+1,1))</f>
        <v>342.37397177572871</v>
      </c>
      <c r="BJ83" s="59">
        <f t="shared" si="92"/>
        <v>331.32436050472762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33.327516170201875</v>
      </c>
      <c r="BQ83" s="21">
        <f>EXP(-LN(2)/25)*BQ82+(1-EXP(-LN(2)/25))/(LN(2)/25)*Calculateur!BL83*Calculateur!BN83*VLOOKUP('Données projet'!$B$11,Paramètres!$A$1:$I$89,3,0)*0.475*44/12</f>
        <v>38.51768193728126</v>
      </c>
      <c r="BR83" s="21">
        <f>EXP(-LN(2)/2)*BR82+(1-EXP(-LN(2)/2))/(LN(2)/2)*BL83*BO83*VLOOKUP('Données projet'!$B$11,Paramètres!$A$1:$I$89,3,0)*0.475*44/12</f>
        <v>0.13167864613863581</v>
      </c>
      <c r="BS83" s="22">
        <f t="shared" si="63"/>
        <v>71.976876753621767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262.548</v>
      </c>
      <c r="CA83" s="13">
        <f t="shared" si="93"/>
        <v>63.265199933079444</v>
      </c>
      <c r="CB83" s="20">
        <f t="shared" si="64"/>
        <v>567.45798988344666</v>
      </c>
      <c r="CC83" s="59">
        <f t="shared" si="65"/>
        <v>860.79132321678003</v>
      </c>
      <c r="CD83" s="59">
        <f ca="1">AVERAGE(OFFSET($CC$3,0,0,'Données projet'!$E$12+1,1))-AVERAGE(OFFSET($H$3,0,0,'Données projet'!$E$12+1,1))</f>
        <v>353.37479213497227</v>
      </c>
      <c r="CE83" s="59">
        <f t="shared" si="94"/>
        <v>345.4750813433123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0.42400000000000004</v>
      </c>
      <c r="CI83" s="16">
        <f>IF(ISNA(VLOOKUP(A83,'Données projet'!$A$113:$I$133,6,0)),0%,VLOOKUP(A83,'Données projet'!$A$113:$I$133,6,0)*VLOOKUP('Données projet'!$B$12,Paramètres!$A$1:$I$89,7,0))</f>
        <v>2.12E-2</v>
      </c>
      <c r="CJ83" s="16">
        <f>IF(ISNA(VLOOKUP(A83,'Données projet'!$A$113:$I$133,7,0)),0%,VLOOKUP(A83,'Données projet'!$A$113:$I$133,7,0))</f>
        <v>0.06</v>
      </c>
      <c r="CK83" s="21">
        <f>EXP(-LN(2)/35)*CK82+(1-EXP(-LN(2)/35))/(LN(2)/35)*CG83*CH83*VLOOKUP('Données projet'!$B$12,Paramètres!$A$1:$I$89,3,0)*0.475*44/12</f>
        <v>40.903784947949575</v>
      </c>
      <c r="CL83" s="21">
        <f>EXP(-LN(2)/25)*CL82+(1-EXP(-LN(2)/25))/(LN(2)/25)*Calculateur!CG83*Calculateur!CI83*VLOOKUP('Données projet'!$B$12,Paramètres!$A$1:$I$89,3,0)*0.475*44/12</f>
        <v>2.5567207910624283</v>
      </c>
      <c r="CM83" s="21">
        <f>EXP(-LN(2)/2)*CM82+(1-EXP(-LN(2)/2))/(LN(2)/2)*CG83*CJ83*VLOOKUP('Données projet'!$B$12,Paramètres!$A$1:$I$89,3,0)*0.475*44/12</f>
        <v>0.61329335460154688</v>
      </c>
      <c r="CN83" s="22">
        <f t="shared" si="66"/>
        <v>44.073799093613552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277.99999999999994</v>
      </c>
      <c r="O84" s="13">
        <f>N84*VLOOKUP('Données projet'!$B$9,Paramètres!$A$1:$I$89,3,0)*VLOOKUP('Données projet'!$B$9,Paramètres!$A$1:$I$89,5,0)</f>
        <v>173.47199999999998</v>
      </c>
      <c r="P84" s="13">
        <f t="shared" si="87"/>
        <v>43.866718728383574</v>
      </c>
      <c r="Q84" s="20">
        <f t="shared" si="54"/>
        <v>378.53160178526804</v>
      </c>
      <c r="R84" s="59">
        <f t="shared" si="55"/>
        <v>671.86493511860135</v>
      </c>
      <c r="S84" s="59">
        <f ca="1">AVERAGE(OFFSET($R$3,0,0,'Données projet'!$E$9+1,1))-AVERAGE(OFFSET($H$3,0,0,'Données projet'!$E$9+1,1))</f>
        <v>232.56424130731699</v>
      </c>
      <c r="T84" s="59">
        <f t="shared" si="88"/>
        <v>384.58890620364178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11.585092068024457</v>
      </c>
      <c r="AA84" s="21">
        <f>EXP(-LN(2)/25)*AA83+(1-EXP(-LN(2)/25))/(LN(2)/25)*Calculateur!V84*Calculateur!X84*VLOOKUP('Données projet'!$B$9,Paramètres!$A$1:$I$89,3,0)*0.475*44/12</f>
        <v>19.426406263913513</v>
      </c>
      <c r="AB84" s="21">
        <f>EXP(-LN(2)/2)*AB83+(1-EXP(-LN(2)/2))/(LN(2)/2)*V84*Y84*VLOOKUP('Données projet'!$B$9,Paramètres!$A$1:$I$89,3,0)*0.475*44/12</f>
        <v>2.0829442652404438E-6</v>
      </c>
      <c r="AC84" s="22">
        <f t="shared" si="57"/>
        <v>31.011500414882239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415.99999999999955</v>
      </c>
      <c r="AJ84" s="13">
        <f>AI84*VLOOKUP('Données projet'!$B$10,Paramètres!$A$1:$I$89,3,0)*VLOOKUP('Données projet'!$B$10,Paramètres!$A$1:$I$89,5,0)</f>
        <v>248.76799999999972</v>
      </c>
      <c r="AK84" s="13">
        <f t="shared" si="89"/>
        <v>60.32205079116369</v>
      </c>
      <c r="AL84" s="20">
        <f t="shared" si="58"/>
        <v>538.33183846127633</v>
      </c>
      <c r="AM84" s="59">
        <f t="shared" si="59"/>
        <v>831.66517179460971</v>
      </c>
      <c r="AN84" s="59">
        <f ca="1">AVERAGE(OFFSET($AM$3,0,0,'Données projet'!$E$10+1,1))-AVERAGE(OFFSET($H$3,0,0,'Données projet'!$E$10+1,1))</f>
        <v>279.39350157328471</v>
      </c>
      <c r="AO84" s="59">
        <f t="shared" si="90"/>
        <v>261.55559683031657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20.843550144823816</v>
      </c>
      <c r="AV84" s="21">
        <f>EXP(-LN(2)/25)*AV83+(1-EXP(-LN(2)/25))/(LN(2)/25)*Calculateur!AQ84*Calculateur!AS84*VLOOKUP('Données projet'!$B$10,Paramètres!$A$1:$I$89,3,0)*0.475*44/12</f>
        <v>20.643911287385201</v>
      </c>
      <c r="AW84" s="21">
        <f>EXP(-LN(2)/2)*AW83+(1-EXP(-LN(2)/2))/(LN(2)/2)*AQ84*AT84*VLOOKUP('Données projet'!$B$10,Paramètres!$A$1:$I$89,3,0)*0.475*44/12</f>
        <v>1.301419816538233E-2</v>
      </c>
      <c r="AX84" s="21">
        <f t="shared" si="60"/>
        <v>41.500475630374396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475.00000000000011</v>
      </c>
      <c r="BE84" s="13">
        <f>BD84*VLOOKUP('Données projet'!$B$11,Paramètres!$A$1:$I$89,3,0)*VLOOKUP('Données projet'!$B$11,Paramètres!$A$1:$I$89,5,0)</f>
        <v>265.52500000000009</v>
      </c>
      <c r="BF84" s="13">
        <f t="shared" si="91"/>
        <v>63.898639547235177</v>
      </c>
      <c r="BG84" s="20">
        <f t="shared" si="61"/>
        <v>573.74617221143478</v>
      </c>
      <c r="BH84" s="59">
        <f t="shared" si="62"/>
        <v>867.07950554476815</v>
      </c>
      <c r="BI84" s="59">
        <f ca="1">AVERAGE(OFFSET($BH$3,0,0,'Données projet'!$E$11+1,1))-AVERAGE(OFFSET($H$3,0,0,'Données projet'!$E$11+1,1))</f>
        <v>342.37397177572871</v>
      </c>
      <c r="BJ84" s="59">
        <f t="shared" si="92"/>
        <v>331.32436050472762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32.673983905881876</v>
      </c>
      <c r="BQ84" s="21">
        <f>EXP(-LN(2)/25)*BQ83+(1-EXP(-LN(2)/25))/(LN(2)/25)*Calculateur!BL84*Calculateur!BN84*VLOOKUP('Données projet'!$B$11,Paramètres!$A$1:$I$89,3,0)*0.475*44/12</f>
        <v>37.464413899149442</v>
      </c>
      <c r="BR84" s="21">
        <f>EXP(-LN(2)/2)*BR83+(1-EXP(-LN(2)/2))/(LN(2)/2)*BL84*BO84*VLOOKUP('Données projet'!$B$11,Paramètres!$A$1:$I$89,3,0)*0.475*44/12</f>
        <v>9.3110863622093171E-2</v>
      </c>
      <c r="BS84" s="22">
        <f t="shared" si="63"/>
        <v>70.231508668653404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253.79640000000001</v>
      </c>
      <c r="CA84" s="13">
        <f t="shared" si="93"/>
        <v>61.39816832228076</v>
      </c>
      <c r="CB84" s="20">
        <f t="shared" si="64"/>
        <v>548.96387316130563</v>
      </c>
      <c r="CC84" s="59">
        <f t="shared" si="65"/>
        <v>842.29720649463889</v>
      </c>
      <c r="CD84" s="59">
        <f ca="1">AVERAGE(OFFSET($CC$3,0,0,'Données projet'!$E$12+1,1))-AVERAGE(OFFSET($H$3,0,0,'Données projet'!$E$12+1,1))</f>
        <v>353.37479213497227</v>
      </c>
      <c r="CE84" s="59">
        <f t="shared" si="94"/>
        <v>345.4750813433123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40.101686673965609</v>
      </c>
      <c r="CL84" s="21">
        <f>EXP(-LN(2)/25)*CL83+(1-EXP(-LN(2)/25))/(LN(2)/25)*Calculateur!CG84*Calculateur!CI84*VLOOKUP('Données projet'!$B$12,Paramètres!$A$1:$I$89,3,0)*0.475*44/12</f>
        <v>2.4868071265787233</v>
      </c>
      <c r="CM84" s="21">
        <f>EXP(-LN(2)/2)*CM83+(1-EXP(-LN(2)/2))/(LN(2)/2)*CG84*CJ84*VLOOKUP('Données projet'!$B$12,Paramètres!$A$1:$I$89,3,0)*0.475*44/12</f>
        <v>0.43366388989539972</v>
      </c>
      <c r="CN84" s="22">
        <f t="shared" si="66"/>
        <v>43.022157690439734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277.99999999999994</v>
      </c>
      <c r="O85" s="13">
        <f>N85*VLOOKUP('Données projet'!$B$9,Paramètres!$A$1:$I$89,3,0)*VLOOKUP('Données projet'!$B$9,Paramètres!$A$1:$I$89,5,0)</f>
        <v>173.47199999999998</v>
      </c>
      <c r="P85" s="13">
        <f t="shared" si="87"/>
        <v>43.866718728383574</v>
      </c>
      <c r="Q85" s="20">
        <f t="shared" si="54"/>
        <v>378.53160178526804</v>
      </c>
      <c r="R85" s="59">
        <f t="shared" si="55"/>
        <v>671.86493511860135</v>
      </c>
      <c r="S85" s="59">
        <f ca="1">AVERAGE(OFFSET($R$3,0,0,'Données projet'!$E$9+1,1))-AVERAGE(OFFSET($H$3,0,0,'Données projet'!$E$9+1,1))</f>
        <v>232.56424130731699</v>
      </c>
      <c r="T85" s="59">
        <f t="shared" si="88"/>
        <v>384.58890620364178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11.357915478778928</v>
      </c>
      <c r="AA85" s="21">
        <f>EXP(-LN(2)/25)*AA84+(1-EXP(-LN(2)/25))/(LN(2)/25)*Calculateur!V85*Calculateur!X85*VLOOKUP('Données projet'!$B$9,Paramètres!$A$1:$I$89,3,0)*0.475*44/12</f>
        <v>18.895190163036492</v>
      </c>
      <c r="AB85" s="21">
        <f>EXP(-LN(2)/2)*AB84+(1-EXP(-LN(2)/2))/(LN(2)/2)*V85*Y85*VLOOKUP('Données projet'!$B$9,Paramètres!$A$1:$I$89,3,0)*0.475*44/12</f>
        <v>1.4728640147851485E-6</v>
      </c>
      <c r="AC85" s="22">
        <f t="shared" si="57"/>
        <v>30.253107114679434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415.99999999999955</v>
      </c>
      <c r="AJ85" s="13">
        <f>AI85*VLOOKUP('Données projet'!$B$10,Paramètres!$A$1:$I$89,3,0)*VLOOKUP('Données projet'!$B$10,Paramètres!$A$1:$I$89,5,0)</f>
        <v>248.76799999999972</v>
      </c>
      <c r="AK85" s="13">
        <f t="shared" si="89"/>
        <v>60.32205079116369</v>
      </c>
      <c r="AL85" s="20">
        <f t="shared" si="58"/>
        <v>538.33183846127633</v>
      </c>
      <c r="AM85" s="59">
        <f t="shared" si="59"/>
        <v>831.66517179460971</v>
      </c>
      <c r="AN85" s="59">
        <f ca="1">AVERAGE(OFFSET($AM$3,0,0,'Données projet'!$E$10+1,1))-AVERAGE(OFFSET($H$3,0,0,'Données projet'!$E$10+1,1))</f>
        <v>279.39350157328471</v>
      </c>
      <c r="AO85" s="59">
        <f t="shared" si="90"/>
        <v>261.55559683031657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20.434820839794074</v>
      </c>
      <c r="AV85" s="21">
        <f>EXP(-LN(2)/25)*AV84+(1-EXP(-LN(2)/25))/(LN(2)/25)*Calculateur!AQ85*Calculateur!AS85*VLOOKUP('Données projet'!$B$10,Paramètres!$A$1:$I$89,3,0)*0.475*44/12</f>
        <v>20.079402447615539</v>
      </c>
      <c r="AW85" s="21">
        <f>EXP(-LN(2)/2)*AW84+(1-EXP(-LN(2)/2))/(LN(2)/2)*AQ85*AT85*VLOOKUP('Données projet'!$B$10,Paramètres!$A$1:$I$89,3,0)*0.475*44/12</f>
        <v>9.2024277744473717E-3</v>
      </c>
      <c r="AX85" s="21">
        <f t="shared" si="60"/>
        <v>40.523425715184061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475.00000000000011</v>
      </c>
      <c r="BE85" s="13">
        <f>BD85*VLOOKUP('Données projet'!$B$11,Paramètres!$A$1:$I$89,3,0)*VLOOKUP('Données projet'!$B$11,Paramètres!$A$1:$I$89,5,0)</f>
        <v>265.52500000000009</v>
      </c>
      <c r="BF85" s="13">
        <f t="shared" si="91"/>
        <v>63.898639547235177</v>
      </c>
      <c r="BG85" s="20">
        <f t="shared" si="61"/>
        <v>573.74617221143478</v>
      </c>
      <c r="BH85" s="59">
        <f t="shared" si="62"/>
        <v>867.07950554476815</v>
      </c>
      <c r="BI85" s="59">
        <f ca="1">AVERAGE(OFFSET($BH$3,0,0,'Données projet'!$E$11+1,1))-AVERAGE(OFFSET($H$3,0,0,'Données projet'!$E$11+1,1))</f>
        <v>342.37397177572871</v>
      </c>
      <c r="BJ85" s="59">
        <f t="shared" si="92"/>
        <v>331.32436050472762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32.033267010649872</v>
      </c>
      <c r="BQ85" s="21">
        <f>EXP(-LN(2)/25)*BQ84+(1-EXP(-LN(2)/25))/(LN(2)/25)*Calculateur!BL85*Calculateur!BN85*VLOOKUP('Données projet'!$B$11,Paramètres!$A$1:$I$89,3,0)*0.475*44/12</f>
        <v>36.439947530909301</v>
      </c>
      <c r="BR85" s="21">
        <f>EXP(-LN(2)/2)*BR84+(1-EXP(-LN(2)/2))/(LN(2)/2)*BL85*BO85*VLOOKUP('Données projet'!$B$11,Paramètres!$A$1:$I$89,3,0)*0.475*44/12</f>
        <v>6.5839323069317904E-2</v>
      </c>
      <c r="BS85" s="22">
        <f t="shared" si="63"/>
        <v>68.539053864628485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253.79640000000001</v>
      </c>
      <c r="CA85" s="13">
        <f t="shared" si="93"/>
        <v>61.39816832228076</v>
      </c>
      <c r="CB85" s="20">
        <f t="shared" si="64"/>
        <v>548.96387316130563</v>
      </c>
      <c r="CC85" s="59">
        <f t="shared" si="65"/>
        <v>842.29720649463889</v>
      </c>
      <c r="CD85" s="59">
        <f ca="1">AVERAGE(OFFSET($CC$3,0,0,'Données projet'!$E$12+1,1))-AVERAGE(OFFSET($H$3,0,0,'Données projet'!$E$12+1,1))</f>
        <v>353.37479213497227</v>
      </c>
      <c r="CE85" s="59">
        <f t="shared" si="94"/>
        <v>345.4750813433123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39.315317057902831</v>
      </c>
      <c r="CL85" s="21">
        <f>EXP(-LN(2)/25)*CL84+(1-EXP(-LN(2)/25))/(LN(2)/25)*Calculateur!CG85*Calculateur!CI85*VLOOKUP('Données projet'!$B$12,Paramètres!$A$1:$I$89,3,0)*0.475*44/12</f>
        <v>2.4188052549269248</v>
      </c>
      <c r="CM85" s="21">
        <f>EXP(-LN(2)/2)*CM84+(1-EXP(-LN(2)/2))/(LN(2)/2)*CG85*CJ85*VLOOKUP('Données projet'!$B$12,Paramètres!$A$1:$I$89,3,0)*0.475*44/12</f>
        <v>0.3066466773007735</v>
      </c>
      <c r="CN85" s="22">
        <f t="shared" si="66"/>
        <v>42.04076899013053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277.99999999999994</v>
      </c>
      <c r="O86" s="13">
        <f>N86*VLOOKUP('Données projet'!$B$9,Paramètres!$A$1:$I$89,3,0)*VLOOKUP('Données projet'!$B$9,Paramètres!$A$1:$I$89,5,0)</f>
        <v>173.47199999999998</v>
      </c>
      <c r="P86" s="13">
        <f t="shared" si="87"/>
        <v>43.866718728383574</v>
      </c>
      <c r="Q86" s="20">
        <f t="shared" si="54"/>
        <v>378.53160178526804</v>
      </c>
      <c r="R86" s="59">
        <f t="shared" si="55"/>
        <v>671.86493511860135</v>
      </c>
      <c r="S86" s="59">
        <f ca="1">AVERAGE(OFFSET($R$3,0,0,'Données projet'!$E$9+1,1))-AVERAGE(OFFSET($H$3,0,0,'Données projet'!$E$9+1,1))</f>
        <v>232.56424130731699</v>
      </c>
      <c r="T86" s="59">
        <f t="shared" si="88"/>
        <v>384.58890620364178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11.135193683884467</v>
      </c>
      <c r="AA86" s="21">
        <f>EXP(-LN(2)/25)*AA85+(1-EXP(-LN(2)/25))/(LN(2)/25)*Calculateur!V86*Calculateur!X86*VLOOKUP('Données projet'!$B$9,Paramètres!$A$1:$I$89,3,0)*0.475*44/12</f>
        <v>18.378500194373395</v>
      </c>
      <c r="AB86" s="21">
        <f>EXP(-LN(2)/2)*AB85+(1-EXP(-LN(2)/2))/(LN(2)/2)*V86*Y86*VLOOKUP('Données projet'!$B$9,Paramètres!$A$1:$I$89,3,0)*0.475*44/12</f>
        <v>1.0414721326202219E-6</v>
      </c>
      <c r="AC86" s="22">
        <f t="shared" si="57"/>
        <v>29.513694919729993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415.99999999999955</v>
      </c>
      <c r="AJ86" s="13">
        <f>AI86*VLOOKUP('Données projet'!$B$10,Paramètres!$A$1:$I$89,3,0)*VLOOKUP('Données projet'!$B$10,Paramètres!$A$1:$I$89,5,0)</f>
        <v>248.76799999999972</v>
      </c>
      <c r="AK86" s="13">
        <f t="shared" si="89"/>
        <v>60.32205079116369</v>
      </c>
      <c r="AL86" s="20">
        <f t="shared" si="58"/>
        <v>538.33183846127633</v>
      </c>
      <c r="AM86" s="59">
        <f t="shared" si="59"/>
        <v>831.66517179460971</v>
      </c>
      <c r="AN86" s="59">
        <f ca="1">AVERAGE(OFFSET($AM$3,0,0,'Données projet'!$E$10+1,1))-AVERAGE(OFFSET($H$3,0,0,'Données projet'!$E$10+1,1))</f>
        <v>279.39350157328471</v>
      </c>
      <c r="AO86" s="59">
        <f t="shared" si="90"/>
        <v>261.55559683031657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20.034106467135707</v>
      </c>
      <c r="AV86" s="21">
        <f>EXP(-LN(2)/25)*AV85+(1-EXP(-LN(2)/25))/(LN(2)/25)*Calculateur!AQ86*Calculateur!AS86*VLOOKUP('Données projet'!$B$10,Paramètres!$A$1:$I$89,3,0)*0.475*44/12</f>
        <v>19.530330131755608</v>
      </c>
      <c r="AW86" s="21">
        <f>EXP(-LN(2)/2)*AW85+(1-EXP(-LN(2)/2))/(LN(2)/2)*AQ86*AT86*VLOOKUP('Données projet'!$B$10,Paramètres!$A$1:$I$89,3,0)*0.475*44/12</f>
        <v>6.5070990826911652E-3</v>
      </c>
      <c r="AX86" s="21">
        <f t="shared" si="60"/>
        <v>39.570943697974009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475.00000000000011</v>
      </c>
      <c r="BE86" s="13">
        <f>BD86*VLOOKUP('Données projet'!$B$11,Paramètres!$A$1:$I$89,3,0)*VLOOKUP('Données projet'!$B$11,Paramètres!$A$1:$I$89,5,0)</f>
        <v>265.52500000000009</v>
      </c>
      <c r="BF86" s="13">
        <f t="shared" si="91"/>
        <v>63.898639547235177</v>
      </c>
      <c r="BG86" s="20">
        <f t="shared" si="61"/>
        <v>573.74617221143478</v>
      </c>
      <c r="BH86" s="59">
        <f t="shared" si="62"/>
        <v>867.07950554476815</v>
      </c>
      <c r="BI86" s="59">
        <f ca="1">AVERAGE(OFFSET($BH$3,0,0,'Données projet'!$E$11+1,1))-AVERAGE(OFFSET($H$3,0,0,'Données projet'!$E$11+1,1))</f>
        <v>342.37397177572871</v>
      </c>
      <c r="BJ86" s="59">
        <f t="shared" si="92"/>
        <v>331.32436050472762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31.405114182934653</v>
      </c>
      <c r="BQ86" s="21">
        <f>EXP(-LN(2)/25)*BQ85+(1-EXP(-LN(2)/25))/(LN(2)/25)*Calculateur!BL86*Calculateur!BN86*VLOOKUP('Données projet'!$B$11,Paramètres!$A$1:$I$89,3,0)*0.475*44/12</f>
        <v>35.443495249383027</v>
      </c>
      <c r="BR86" s="21">
        <f>EXP(-LN(2)/2)*BR85+(1-EXP(-LN(2)/2))/(LN(2)/2)*BL86*BO86*VLOOKUP('Données projet'!$B$11,Paramètres!$A$1:$I$89,3,0)*0.475*44/12</f>
        <v>4.6555431811046585E-2</v>
      </c>
      <c r="BS86" s="22">
        <f t="shared" si="63"/>
        <v>66.895164864128731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253.79640000000001</v>
      </c>
      <c r="CA86" s="13">
        <f t="shared" si="93"/>
        <v>61.39816832228076</v>
      </c>
      <c r="CB86" s="20">
        <f t="shared" si="64"/>
        <v>548.96387316130563</v>
      </c>
      <c r="CC86" s="59">
        <f t="shared" si="65"/>
        <v>842.29720649463889</v>
      </c>
      <c r="CD86" s="59">
        <f ca="1">AVERAGE(OFFSET($CC$3,0,0,'Données projet'!$E$12+1,1))-AVERAGE(OFFSET($H$3,0,0,'Données projet'!$E$12+1,1))</f>
        <v>353.37479213497227</v>
      </c>
      <c r="CE86" s="59">
        <f t="shared" si="94"/>
        <v>345.4750813433123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38.544367670372935</v>
      </c>
      <c r="CL86" s="21">
        <f>EXP(-LN(2)/25)*CL85+(1-EXP(-LN(2)/25))/(LN(2)/25)*Calculateur!CG86*Calculateur!CI86*VLOOKUP('Données projet'!$B$12,Paramètres!$A$1:$I$89,3,0)*0.475*44/12</f>
        <v>2.3526628980315079</v>
      </c>
      <c r="CM86" s="21">
        <f>EXP(-LN(2)/2)*CM85+(1-EXP(-LN(2)/2))/(LN(2)/2)*CG86*CJ86*VLOOKUP('Données projet'!$B$12,Paramètres!$A$1:$I$89,3,0)*0.475*44/12</f>
        <v>0.21683194494769992</v>
      </c>
      <c r="CN86" s="22">
        <f t="shared" si="66"/>
        <v>41.113862513352146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277.99999999999994</v>
      </c>
      <c r="O87" s="13">
        <f>N87*VLOOKUP('Données projet'!$B$9,Paramètres!$A$1:$I$89,3,0)*VLOOKUP('Données projet'!$B$9,Paramètres!$A$1:$I$89,5,0)</f>
        <v>173.47199999999998</v>
      </c>
      <c r="P87" s="13">
        <f t="shared" si="87"/>
        <v>43.866718728383574</v>
      </c>
      <c r="Q87" s="20">
        <f t="shared" si="54"/>
        <v>378.53160178526804</v>
      </c>
      <c r="R87" s="59">
        <f t="shared" si="55"/>
        <v>671.86493511860135</v>
      </c>
      <c r="S87" s="59">
        <f ca="1">AVERAGE(OFFSET($R$3,0,0,'Données projet'!$E$9+1,1))-AVERAGE(OFFSET($H$3,0,0,'Données projet'!$E$9+1,1))</f>
        <v>232.56424130731699</v>
      </c>
      <c r="T87" s="59">
        <f t="shared" si="88"/>
        <v>384.58890620364178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10.916839327541005</v>
      </c>
      <c r="AA87" s="21">
        <f>EXP(-LN(2)/25)*AA86+(1-EXP(-LN(2)/25))/(LN(2)/25)*Calculateur!V87*Calculateur!X87*VLOOKUP('Données projet'!$B$9,Paramètres!$A$1:$I$89,3,0)*0.475*44/12</f>
        <v>17.875939140074934</v>
      </c>
      <c r="AB87" s="21">
        <f>EXP(-LN(2)/2)*AB86+(1-EXP(-LN(2)/2))/(LN(2)/2)*V87*Y87*VLOOKUP('Données projet'!$B$9,Paramètres!$A$1:$I$89,3,0)*0.475*44/12</f>
        <v>7.3643200739257427E-7</v>
      </c>
      <c r="AC87" s="22">
        <f t="shared" si="57"/>
        <v>28.792779204047946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415.99999999999955</v>
      </c>
      <c r="AJ87" s="13">
        <f>AI87*VLOOKUP('Données projet'!$B$10,Paramètres!$A$1:$I$89,3,0)*VLOOKUP('Données projet'!$B$10,Paramètres!$A$1:$I$89,5,0)</f>
        <v>248.76799999999972</v>
      </c>
      <c r="AK87" s="13">
        <f t="shared" si="89"/>
        <v>60.32205079116369</v>
      </c>
      <c r="AL87" s="20">
        <f t="shared" si="58"/>
        <v>538.33183846127633</v>
      </c>
      <c r="AM87" s="59">
        <f t="shared" si="59"/>
        <v>831.66517179460971</v>
      </c>
      <c r="AN87" s="59">
        <f ca="1">AVERAGE(OFFSET($AM$3,0,0,'Données projet'!$E$10+1,1))-AVERAGE(OFFSET($H$3,0,0,'Données projet'!$E$10+1,1))</f>
        <v>279.39350157328471</v>
      </c>
      <c r="AO87" s="59">
        <f t="shared" si="90"/>
        <v>261.55559683031657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19.641249858913536</v>
      </c>
      <c r="AV87" s="21">
        <f>EXP(-LN(2)/25)*AV86+(1-EXP(-LN(2)/25))/(LN(2)/25)*Calculateur!AQ87*Calculateur!AS87*VLOOKUP('Données projet'!$B$10,Paramètres!$A$1:$I$89,3,0)*0.475*44/12</f>
        <v>18.996272227247328</v>
      </c>
      <c r="AW87" s="21">
        <f>EXP(-LN(2)/2)*AW86+(1-EXP(-LN(2)/2))/(LN(2)/2)*AQ87*AT87*VLOOKUP('Données projet'!$B$10,Paramètres!$A$1:$I$89,3,0)*0.475*44/12</f>
        <v>4.6012138872236858E-3</v>
      </c>
      <c r="AX87" s="21">
        <f t="shared" si="60"/>
        <v>38.642123300048091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475.00000000000011</v>
      </c>
      <c r="BE87" s="13">
        <f>BD87*VLOOKUP('Données projet'!$B$11,Paramètres!$A$1:$I$89,3,0)*VLOOKUP('Données projet'!$B$11,Paramètres!$A$1:$I$89,5,0)</f>
        <v>265.52500000000009</v>
      </c>
      <c r="BF87" s="13">
        <f t="shared" si="91"/>
        <v>63.898639547235177</v>
      </c>
      <c r="BG87" s="20">
        <f t="shared" si="61"/>
        <v>573.74617221143478</v>
      </c>
      <c r="BH87" s="59">
        <f t="shared" si="62"/>
        <v>867.07950554476815</v>
      </c>
      <c r="BI87" s="59">
        <f ca="1">AVERAGE(OFFSET($BH$3,0,0,'Données projet'!$E$11+1,1))-AVERAGE(OFFSET($H$3,0,0,'Données projet'!$E$11+1,1))</f>
        <v>342.37397177572871</v>
      </c>
      <c r="BJ87" s="59">
        <f t="shared" si="92"/>
        <v>331.32436050472762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30.789279049035535</v>
      </c>
      <c r="BQ87" s="21">
        <f>EXP(-LN(2)/25)*BQ86+(1-EXP(-LN(2)/25))/(LN(2)/25)*Calculateur!BL87*Calculateur!BN87*VLOOKUP('Données projet'!$B$11,Paramètres!$A$1:$I$89,3,0)*0.475*44/12</f>
        <v>34.474291007896241</v>
      </c>
      <c r="BR87" s="21">
        <f>EXP(-LN(2)/2)*BR86+(1-EXP(-LN(2)/2))/(LN(2)/2)*BL87*BO87*VLOOKUP('Données projet'!$B$11,Paramètres!$A$1:$I$89,3,0)*0.475*44/12</f>
        <v>3.2919661534658952E-2</v>
      </c>
      <c r="BS87" s="22">
        <f t="shared" si="63"/>
        <v>65.296489718466432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253.79640000000001</v>
      </c>
      <c r="CA87" s="13">
        <f t="shared" si="93"/>
        <v>61.39816832228076</v>
      </c>
      <c r="CB87" s="20">
        <f t="shared" si="64"/>
        <v>548.96387316130563</v>
      </c>
      <c r="CC87" s="59">
        <f t="shared" si="65"/>
        <v>842.29720649463889</v>
      </c>
      <c r="CD87" s="59">
        <f ca="1">AVERAGE(OFFSET($CC$3,0,0,'Données projet'!$E$12+1,1))-AVERAGE(OFFSET($H$3,0,0,'Données projet'!$E$12+1,1))</f>
        <v>353.37479213497227</v>
      </c>
      <c r="CE87" s="59">
        <f t="shared" si="94"/>
        <v>345.4750813433123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37.788536130099807</v>
      </c>
      <c r="CL87" s="21">
        <f>EXP(-LN(2)/25)*CL86+(1-EXP(-LN(2)/25))/(LN(2)/25)*Calculateur!CG87*Calculateur!CI87*VLOOKUP('Données projet'!$B$12,Paramètres!$A$1:$I$89,3,0)*0.475*44/12</f>
        <v>2.2883292073636716</v>
      </c>
      <c r="CM87" s="21">
        <f>EXP(-LN(2)/2)*CM86+(1-EXP(-LN(2)/2))/(LN(2)/2)*CG87*CJ87*VLOOKUP('Données projet'!$B$12,Paramètres!$A$1:$I$89,3,0)*0.475*44/12</f>
        <v>0.15332333865038678</v>
      </c>
      <c r="CN87" s="22">
        <f t="shared" si="66"/>
        <v>40.230188676113869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277.99999999999994</v>
      </c>
      <c r="O88" s="13">
        <f>N88*VLOOKUP('Données projet'!$B$9,Paramètres!$A$1:$I$89,3,0)*VLOOKUP('Données projet'!$B$9,Paramètres!$A$1:$I$89,5,0)</f>
        <v>173.47199999999998</v>
      </c>
      <c r="P88" s="13">
        <f t="shared" si="87"/>
        <v>43.866718728383574</v>
      </c>
      <c r="Q88" s="20">
        <f t="shared" si="54"/>
        <v>378.53160178526804</v>
      </c>
      <c r="R88" s="59">
        <f t="shared" si="55"/>
        <v>671.86493511860135</v>
      </c>
      <c r="S88" s="59">
        <f ca="1">AVERAGE(OFFSET($R$3,0,0,'Données projet'!$E$9+1,1))-AVERAGE(OFFSET($H$3,0,0,'Données projet'!$E$9+1,1))</f>
        <v>232.56424130731699</v>
      </c>
      <c r="T88" s="59">
        <f t="shared" si="88"/>
        <v>384.58890620364178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10.702766766942432</v>
      </c>
      <c r="AA88" s="21">
        <f>EXP(-LN(2)/25)*AA87+(1-EXP(-LN(2)/25))/(LN(2)/25)*Calculateur!V88*Calculateur!X88*VLOOKUP('Données projet'!$B$9,Paramètres!$A$1:$I$89,3,0)*0.475*44/12</f>
        <v>17.387120644234802</v>
      </c>
      <c r="AB88" s="21">
        <f>EXP(-LN(2)/2)*AB87+(1-EXP(-LN(2)/2))/(LN(2)/2)*V88*Y88*VLOOKUP('Données projet'!$B$9,Paramètres!$A$1:$I$89,3,0)*0.475*44/12</f>
        <v>5.2073606631011095E-7</v>
      </c>
      <c r="AC88" s="22">
        <f t="shared" si="57"/>
        <v>28.089887931913299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415.99999999999955</v>
      </c>
      <c r="AJ88" s="13">
        <f>AI88*VLOOKUP('Données projet'!$B$10,Paramètres!$A$1:$I$89,3,0)*VLOOKUP('Données projet'!$B$10,Paramètres!$A$1:$I$89,5,0)</f>
        <v>248.76799999999972</v>
      </c>
      <c r="AK88" s="13">
        <f t="shared" si="89"/>
        <v>60.32205079116369</v>
      </c>
      <c r="AL88" s="20">
        <f t="shared" si="58"/>
        <v>538.33183846127633</v>
      </c>
      <c r="AM88" s="59">
        <f t="shared" si="59"/>
        <v>831.66517179460971</v>
      </c>
      <c r="AN88" s="59">
        <f ca="1">AVERAGE(OFFSET($AM$3,0,0,'Données projet'!$E$10+1,1))-AVERAGE(OFFSET($H$3,0,0,'Données projet'!$E$10+1,1))</f>
        <v>279.39350157328471</v>
      </c>
      <c r="AO88" s="59">
        <f t="shared" si="90"/>
        <v>261.55559683031657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19.256096929159732</v>
      </c>
      <c r="AV88" s="21">
        <f>EXP(-LN(2)/25)*AV87+(1-EXP(-LN(2)/25))/(LN(2)/25)*Calculateur!AQ88*Calculateur!AS88*VLOOKUP('Données projet'!$B$10,Paramètres!$A$1:$I$89,3,0)*0.475*44/12</f>
        <v>18.47681816422271</v>
      </c>
      <c r="AW88" s="21">
        <f>EXP(-LN(2)/2)*AW87+(1-EXP(-LN(2)/2))/(LN(2)/2)*AQ88*AT88*VLOOKUP('Données projet'!$B$10,Paramètres!$A$1:$I$89,3,0)*0.475*44/12</f>
        <v>3.2535495413455826E-3</v>
      </c>
      <c r="AX88" s="21">
        <f t="shared" si="60"/>
        <v>37.736168642923793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475.00000000000011</v>
      </c>
      <c r="BE88" s="13">
        <f>BD88*VLOOKUP('Données projet'!$B$11,Paramètres!$A$1:$I$89,3,0)*VLOOKUP('Données projet'!$B$11,Paramètres!$A$1:$I$89,5,0)</f>
        <v>265.52500000000009</v>
      </c>
      <c r="BF88" s="13">
        <f t="shared" si="91"/>
        <v>63.898639547235177</v>
      </c>
      <c r="BG88" s="20">
        <f t="shared" si="61"/>
        <v>573.74617221143478</v>
      </c>
      <c r="BH88" s="59">
        <f t="shared" si="62"/>
        <v>867.07950554476815</v>
      </c>
      <c r="BI88" s="59">
        <f ca="1">AVERAGE(OFFSET($BH$3,0,0,'Données projet'!$E$11+1,1))-AVERAGE(OFFSET($H$3,0,0,'Données projet'!$E$11+1,1))</f>
        <v>342.37397177572871</v>
      </c>
      <c r="BJ88" s="59">
        <f t="shared" si="92"/>
        <v>331.32436050472762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30.185520066489836</v>
      </c>
      <c r="BQ88" s="21">
        <f>EXP(-LN(2)/25)*BQ87+(1-EXP(-LN(2)/25))/(LN(2)/25)*Calculateur!BL88*Calculateur!BN88*VLOOKUP('Données projet'!$B$11,Paramètres!$A$1:$I$89,3,0)*0.475*44/12</f>
        <v>33.53158970736115</v>
      </c>
      <c r="BR88" s="21">
        <f>EXP(-LN(2)/2)*BR87+(1-EXP(-LN(2)/2))/(LN(2)/2)*BL88*BO88*VLOOKUP('Données projet'!$B$11,Paramètres!$A$1:$I$89,3,0)*0.475*44/12</f>
        <v>2.3277715905523293E-2</v>
      </c>
      <c r="BS88" s="22">
        <f t="shared" si="63"/>
        <v>63.740387489756507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253.79640000000001</v>
      </c>
      <c r="CA88" s="13">
        <f t="shared" si="93"/>
        <v>61.39816832228076</v>
      </c>
      <c r="CB88" s="20">
        <f t="shared" si="64"/>
        <v>548.96387316130563</v>
      </c>
      <c r="CC88" s="59">
        <f t="shared" si="65"/>
        <v>842.29720649463889</v>
      </c>
      <c r="CD88" s="59">
        <f ca="1">AVERAGE(OFFSET($CC$3,0,0,'Données projet'!$E$12+1,1))-AVERAGE(OFFSET($H$3,0,0,'Données projet'!$E$12+1,1))</f>
        <v>353.37479213497227</v>
      </c>
      <c r="CE88" s="59">
        <f t="shared" si="94"/>
        <v>345.4750813433123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37.047525985319716</v>
      </c>
      <c r="CL88" s="21">
        <f>EXP(-LN(2)/25)*CL87+(1-EXP(-LN(2)/25))/(LN(2)/25)*Calculateur!CG88*Calculateur!CI88*VLOOKUP('Données projet'!$B$12,Paramètres!$A$1:$I$89,3,0)*0.475*44/12</f>
        <v>2.2257547248503089</v>
      </c>
      <c r="CM88" s="21">
        <f>EXP(-LN(2)/2)*CM87+(1-EXP(-LN(2)/2))/(LN(2)/2)*CG88*CJ88*VLOOKUP('Données projet'!$B$12,Paramètres!$A$1:$I$89,3,0)*0.475*44/12</f>
        <v>0.10841597247384997</v>
      </c>
      <c r="CN88" s="22">
        <f t="shared" si="66"/>
        <v>39.381696682643877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277.99999999999994</v>
      </c>
      <c r="O89" s="13">
        <f>N89*VLOOKUP('Données projet'!$B$9,Paramètres!$A$1:$I$89,3,0)*VLOOKUP('Données projet'!$B$9,Paramètres!$A$1:$I$89,5,0)</f>
        <v>173.47199999999998</v>
      </c>
      <c r="P89" s="13">
        <f t="shared" si="87"/>
        <v>43.866718728383574</v>
      </c>
      <c r="Q89" s="20">
        <f t="shared" si="54"/>
        <v>378.53160178526804</v>
      </c>
      <c r="R89" s="59">
        <f t="shared" si="55"/>
        <v>671.86493511860135</v>
      </c>
      <c r="S89" s="59">
        <f ca="1">AVERAGE(OFFSET($R$3,0,0,'Données projet'!$E$9+1,1))-AVERAGE(OFFSET($H$3,0,0,'Données projet'!$E$9+1,1))</f>
        <v>232.56424130731699</v>
      </c>
      <c r="T89" s="59">
        <f t="shared" si="88"/>
        <v>384.58890620364178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10.492892038685827</v>
      </c>
      <c r="AA89" s="21">
        <f>EXP(-LN(2)/25)*AA88+(1-EXP(-LN(2)/25))/(LN(2)/25)*Calculateur!V89*Calculateur!X89*VLOOKUP('Données projet'!$B$9,Paramètres!$A$1:$I$89,3,0)*0.475*44/12</f>
        <v>16.911668915869264</v>
      </c>
      <c r="AB89" s="21">
        <f>EXP(-LN(2)/2)*AB88+(1-EXP(-LN(2)/2))/(LN(2)/2)*V89*Y89*VLOOKUP('Données projet'!$B$9,Paramètres!$A$1:$I$89,3,0)*0.475*44/12</f>
        <v>3.6821600369628713E-7</v>
      </c>
      <c r="AC89" s="22">
        <f t="shared" si="57"/>
        <v>27.404561322771094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415.99999999999955</v>
      </c>
      <c r="AJ89" s="13">
        <f>AI89*VLOOKUP('Données projet'!$B$10,Paramètres!$A$1:$I$89,3,0)*VLOOKUP('Données projet'!$B$10,Paramètres!$A$1:$I$89,5,0)</f>
        <v>248.76799999999972</v>
      </c>
      <c r="AK89" s="13">
        <f t="shared" si="89"/>
        <v>60.32205079116369</v>
      </c>
      <c r="AL89" s="20">
        <f t="shared" si="58"/>
        <v>538.33183846127633</v>
      </c>
      <c r="AM89" s="59">
        <f t="shared" si="59"/>
        <v>831.66517179460971</v>
      </c>
      <c r="AN89" s="59">
        <f ca="1">AVERAGE(OFFSET($AM$3,0,0,'Données projet'!$E$10+1,1))-AVERAGE(OFFSET($H$3,0,0,'Données projet'!$E$10+1,1))</f>
        <v>279.39350157328471</v>
      </c>
      <c r="AO89" s="59">
        <f t="shared" si="90"/>
        <v>261.55559683031657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18.878496613438308</v>
      </c>
      <c r="AV89" s="21">
        <f>EXP(-LN(2)/25)*AV88+(1-EXP(-LN(2)/25))/(LN(2)/25)*Calculateur!AQ89*Calculateur!AS89*VLOOKUP('Données projet'!$B$10,Paramètres!$A$1:$I$89,3,0)*0.475*44/12</f>
        <v>17.971568599868402</v>
      </c>
      <c r="AW89" s="21">
        <f>EXP(-LN(2)/2)*AW88+(1-EXP(-LN(2)/2))/(LN(2)/2)*AQ89*AT89*VLOOKUP('Données projet'!$B$10,Paramètres!$A$1:$I$89,3,0)*0.475*44/12</f>
        <v>2.3006069436118429E-3</v>
      </c>
      <c r="AX89" s="21">
        <f t="shared" si="60"/>
        <v>36.85236582025032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475.00000000000011</v>
      </c>
      <c r="BE89" s="13">
        <f>BD89*VLOOKUP('Données projet'!$B$11,Paramètres!$A$1:$I$89,3,0)*VLOOKUP('Données projet'!$B$11,Paramètres!$A$1:$I$89,5,0)</f>
        <v>265.52500000000009</v>
      </c>
      <c r="BF89" s="13">
        <f t="shared" si="91"/>
        <v>63.898639547235177</v>
      </c>
      <c r="BG89" s="20">
        <f t="shared" si="61"/>
        <v>573.74617221143478</v>
      </c>
      <c r="BH89" s="59">
        <f t="shared" si="62"/>
        <v>867.07950554476815</v>
      </c>
      <c r="BI89" s="59">
        <f ca="1">AVERAGE(OFFSET($BH$3,0,0,'Données projet'!$E$11+1,1))-AVERAGE(OFFSET($H$3,0,0,'Données projet'!$E$11+1,1))</f>
        <v>342.37397177572871</v>
      </c>
      <c r="BJ89" s="59">
        <f t="shared" si="92"/>
        <v>331.32436050472762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29.59360042933524</v>
      </c>
      <c r="BQ89" s="21">
        <f>EXP(-LN(2)/25)*BQ88+(1-EXP(-LN(2)/25))/(LN(2)/25)*Calculateur!BL89*Calculateur!BN89*VLOOKUP('Données projet'!$B$11,Paramètres!$A$1:$I$89,3,0)*0.475*44/12</f>
        <v>32.614666623463691</v>
      </c>
      <c r="BR89" s="21">
        <f>EXP(-LN(2)/2)*BR88+(1-EXP(-LN(2)/2))/(LN(2)/2)*BL89*BO89*VLOOKUP('Données projet'!$B$11,Paramètres!$A$1:$I$89,3,0)*0.475*44/12</f>
        <v>1.6459830767329476E-2</v>
      </c>
      <c r="BS89" s="22">
        <f t="shared" si="63"/>
        <v>62.224726883566262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253.79640000000001</v>
      </c>
      <c r="CA89" s="13">
        <f t="shared" si="93"/>
        <v>61.39816832228076</v>
      </c>
      <c r="CB89" s="20">
        <f t="shared" si="64"/>
        <v>548.96387316130563</v>
      </c>
      <c r="CC89" s="59">
        <f t="shared" si="65"/>
        <v>842.29720649463889</v>
      </c>
      <c r="CD89" s="59">
        <f ca="1">AVERAGE(OFFSET($CC$3,0,0,'Données projet'!$E$12+1,1))-AVERAGE(OFFSET($H$3,0,0,'Données projet'!$E$12+1,1))</f>
        <v>353.37479213497227</v>
      </c>
      <c r="CE89" s="59">
        <f t="shared" si="94"/>
        <v>345.4750813433123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36.321046597507205</v>
      </c>
      <c r="CL89" s="21">
        <f>EXP(-LN(2)/25)*CL88+(1-EXP(-LN(2)/25))/(LN(2)/25)*Calculateur!CG89*Calculateur!CI89*VLOOKUP('Données projet'!$B$12,Paramètres!$A$1:$I$89,3,0)*0.475*44/12</f>
        <v>2.1648913448519234</v>
      </c>
      <c r="CM89" s="21">
        <f>EXP(-LN(2)/2)*CM88+(1-EXP(-LN(2)/2))/(LN(2)/2)*CG89*CJ89*VLOOKUP('Données projet'!$B$12,Paramètres!$A$1:$I$89,3,0)*0.475*44/12</f>
        <v>7.6661669325193402E-2</v>
      </c>
      <c r="CN89" s="22">
        <f t="shared" si="66"/>
        <v>38.56259961168432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277.99999999999994</v>
      </c>
      <c r="O90" s="13">
        <f>N90*VLOOKUP('Données projet'!$B$9,Paramètres!$A$1:$I$89,3,0)*VLOOKUP('Données projet'!$B$9,Paramètres!$A$1:$I$89,5,0)</f>
        <v>173.47199999999998</v>
      </c>
      <c r="P90" s="13">
        <f t="shared" si="87"/>
        <v>43.866718728383574</v>
      </c>
      <c r="Q90" s="20">
        <f t="shared" si="54"/>
        <v>378.53160178526804</v>
      </c>
      <c r="R90" s="59">
        <f t="shared" si="55"/>
        <v>671.86493511860135</v>
      </c>
      <c r="S90" s="59">
        <f ca="1">AVERAGE(OFFSET($R$3,0,0,'Données projet'!$E$9+1,1))-AVERAGE(OFFSET($H$3,0,0,'Données projet'!$E$9+1,1))</f>
        <v>232.56424130731699</v>
      </c>
      <c r="T90" s="59">
        <f t="shared" si="88"/>
        <v>384.58890620364178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10.287132825839391</v>
      </c>
      <c r="AA90" s="21">
        <f>EXP(-LN(2)/25)*AA89+(1-EXP(-LN(2)/25))/(LN(2)/25)*Calculateur!V90*Calculateur!X90*VLOOKUP('Données projet'!$B$9,Paramètres!$A$1:$I$89,3,0)*0.475*44/12</f>
        <v>16.449218440018804</v>
      </c>
      <c r="AB90" s="21">
        <f>EXP(-LN(2)/2)*AB89+(1-EXP(-LN(2)/2))/(LN(2)/2)*V90*Y90*VLOOKUP('Données projet'!$B$9,Paramètres!$A$1:$I$89,3,0)*0.475*44/12</f>
        <v>2.6036803315505548E-7</v>
      </c>
      <c r="AC90" s="22">
        <f t="shared" si="57"/>
        <v>26.73635152622623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415.99999999999955</v>
      </c>
      <c r="AJ90" s="13">
        <f>AI90*VLOOKUP('Données projet'!$B$10,Paramètres!$A$1:$I$89,3,0)*VLOOKUP('Données projet'!$B$10,Paramètres!$A$1:$I$89,5,0)</f>
        <v>248.76799999999972</v>
      </c>
      <c r="AK90" s="13">
        <f t="shared" si="89"/>
        <v>60.32205079116369</v>
      </c>
      <c r="AL90" s="20">
        <f t="shared" si="58"/>
        <v>538.33183846127633</v>
      </c>
      <c r="AM90" s="59">
        <f t="shared" si="59"/>
        <v>831.66517179460971</v>
      </c>
      <c r="AN90" s="59">
        <f ca="1">AVERAGE(OFFSET($AM$3,0,0,'Données projet'!$E$10+1,1))-AVERAGE(OFFSET($H$3,0,0,'Données projet'!$E$10+1,1))</f>
        <v>279.39350157328471</v>
      </c>
      <c r="AO90" s="59">
        <f t="shared" si="90"/>
        <v>261.55559683031657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18.508300809594729</v>
      </c>
      <c r="AV90" s="21">
        <f>EXP(-LN(2)/25)*AV89+(1-EXP(-LN(2)/25))/(LN(2)/25)*Calculateur!AQ90*Calculateur!AS90*VLOOKUP('Données projet'!$B$10,Paramètres!$A$1:$I$89,3,0)*0.475*44/12</f>
        <v>17.480135111421284</v>
      </c>
      <c r="AW90" s="21">
        <f>EXP(-LN(2)/2)*AW89+(1-EXP(-LN(2)/2))/(LN(2)/2)*AQ90*AT90*VLOOKUP('Données projet'!$B$10,Paramètres!$A$1:$I$89,3,0)*0.475*44/12</f>
        <v>1.6267747706727913E-3</v>
      </c>
      <c r="AX90" s="21">
        <f t="shared" si="60"/>
        <v>35.990062695786683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475.00000000000011</v>
      </c>
      <c r="BE90" s="13">
        <f>BD90*VLOOKUP('Données projet'!$B$11,Paramètres!$A$1:$I$89,3,0)*VLOOKUP('Données projet'!$B$11,Paramètres!$A$1:$I$89,5,0)</f>
        <v>265.52500000000009</v>
      </c>
      <c r="BF90" s="13">
        <f t="shared" si="91"/>
        <v>63.898639547235177</v>
      </c>
      <c r="BG90" s="20">
        <f t="shared" si="61"/>
        <v>573.74617221143478</v>
      </c>
      <c r="BH90" s="59">
        <f t="shared" si="62"/>
        <v>867.07950554476815</v>
      </c>
      <c r="BI90" s="59">
        <f ca="1">AVERAGE(OFFSET($BH$3,0,0,'Données projet'!$E$11+1,1))-AVERAGE(OFFSET($H$3,0,0,'Données projet'!$E$11+1,1))</f>
        <v>342.37397177572871</v>
      </c>
      <c r="BJ90" s="59">
        <f t="shared" si="92"/>
        <v>331.32436050472762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29.013287975229918</v>
      </c>
      <c r="BQ90" s="21">
        <f>EXP(-LN(2)/25)*BQ89+(1-EXP(-LN(2)/25))/(LN(2)/25)*Calculateur!BL90*Calculateur!BN90*VLOOKUP('Données projet'!$B$11,Paramètres!$A$1:$I$89,3,0)*0.475*44/12</f>
        <v>31.722816849514299</v>
      </c>
      <c r="BR90" s="21">
        <f>EXP(-LN(2)/2)*BR89+(1-EXP(-LN(2)/2))/(LN(2)/2)*BL90*BO90*VLOOKUP('Données projet'!$B$11,Paramètres!$A$1:$I$89,3,0)*0.475*44/12</f>
        <v>1.1638857952761646E-2</v>
      </c>
      <c r="BS90" s="22">
        <f t="shared" si="63"/>
        <v>60.747743682696978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253.79640000000001</v>
      </c>
      <c r="CA90" s="13">
        <f t="shared" si="93"/>
        <v>61.39816832228076</v>
      </c>
      <c r="CB90" s="20">
        <f t="shared" si="64"/>
        <v>548.96387316130563</v>
      </c>
      <c r="CC90" s="59">
        <f t="shared" si="65"/>
        <v>842.29720649463889</v>
      </c>
      <c r="CD90" s="59">
        <f ca="1">AVERAGE(OFFSET($CC$3,0,0,'Données projet'!$E$12+1,1))-AVERAGE(OFFSET($H$3,0,0,'Données projet'!$E$12+1,1))</f>
        <v>353.37479213497227</v>
      </c>
      <c r="CE90" s="59">
        <f t="shared" si="94"/>
        <v>345.4750813433123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35.608813027381025</v>
      </c>
      <c r="CL90" s="21">
        <f>EXP(-LN(2)/25)*CL89+(1-EXP(-LN(2)/25))/(LN(2)/25)*Calculateur!CG90*Calculateur!CI90*VLOOKUP('Données projet'!$B$12,Paramètres!$A$1:$I$89,3,0)*0.475*44/12</f>
        <v>2.1056922771802595</v>
      </c>
      <c r="CM90" s="21">
        <f>EXP(-LN(2)/2)*CM89+(1-EXP(-LN(2)/2))/(LN(2)/2)*CG90*CJ90*VLOOKUP('Données projet'!$B$12,Paramètres!$A$1:$I$89,3,0)*0.475*44/12</f>
        <v>5.4207986236925E-2</v>
      </c>
      <c r="CN90" s="22">
        <f t="shared" si="66"/>
        <v>37.76871329079821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277.99999999999994</v>
      </c>
      <c r="O91" s="13">
        <f>N91*VLOOKUP('Données projet'!$B$9,Paramètres!$A$1:$I$89,3,0)*VLOOKUP('Données projet'!$B$9,Paramètres!$A$1:$I$89,5,0)</f>
        <v>173.47199999999998</v>
      </c>
      <c r="P91" s="13">
        <f t="shared" si="87"/>
        <v>43.866718728383574</v>
      </c>
      <c r="Q91" s="20">
        <f t="shared" si="54"/>
        <v>378.53160178526804</v>
      </c>
      <c r="R91" s="59">
        <f t="shared" si="55"/>
        <v>671.86493511860135</v>
      </c>
      <c r="S91" s="59">
        <f ca="1">AVERAGE(OFFSET($R$3,0,0,'Données projet'!$E$9+1,1))-AVERAGE(OFFSET($H$3,0,0,'Données projet'!$E$9+1,1))</f>
        <v>232.56424130731699</v>
      </c>
      <c r="T91" s="59">
        <f t="shared" si="88"/>
        <v>384.58890620364178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10.085408425656146</v>
      </c>
      <c r="AA91" s="21">
        <f>EXP(-LN(2)/25)*AA90+(1-EXP(-LN(2)/25))/(LN(2)/25)*Calculateur!V91*Calculateur!X91*VLOOKUP('Données projet'!$B$9,Paramètres!$A$1:$I$89,3,0)*0.475*44/12</f>
        <v>15.999413696749688</v>
      </c>
      <c r="AB91" s="21">
        <f>EXP(-LN(2)/2)*AB90+(1-EXP(-LN(2)/2))/(LN(2)/2)*V91*Y91*VLOOKUP('Données projet'!$B$9,Paramètres!$A$1:$I$89,3,0)*0.475*44/12</f>
        <v>1.8410800184814357E-7</v>
      </c>
      <c r="AC91" s="22">
        <f t="shared" si="57"/>
        <v>26.084822306513836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415.99999999999955</v>
      </c>
      <c r="AJ91" s="13">
        <f>AI91*VLOOKUP('Données projet'!$B$10,Paramètres!$A$1:$I$89,3,0)*VLOOKUP('Données projet'!$B$10,Paramètres!$A$1:$I$89,5,0)</f>
        <v>248.76799999999972</v>
      </c>
      <c r="AK91" s="13">
        <f t="shared" si="89"/>
        <v>60.32205079116369</v>
      </c>
      <c r="AL91" s="20">
        <f t="shared" si="58"/>
        <v>538.33183846127633</v>
      </c>
      <c r="AM91" s="59">
        <f t="shared" si="59"/>
        <v>831.66517179460971</v>
      </c>
      <c r="AN91" s="59">
        <f ca="1">AVERAGE(OFFSET($AM$3,0,0,'Données projet'!$E$10+1,1))-AVERAGE(OFFSET($H$3,0,0,'Données projet'!$E$10+1,1))</f>
        <v>279.39350157328471</v>
      </c>
      <c r="AO91" s="59">
        <f t="shared" si="90"/>
        <v>261.55559683031657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18.14536431966738</v>
      </c>
      <c r="AV91" s="21">
        <f>EXP(-LN(2)/25)*AV90+(1-EXP(-LN(2)/25))/(LN(2)/25)*Calculateur!AQ91*Calculateur!AS91*VLOOKUP('Données projet'!$B$10,Paramètres!$A$1:$I$89,3,0)*0.475*44/12</f>
        <v>17.002139897559115</v>
      </c>
      <c r="AW91" s="21">
        <f>EXP(-LN(2)/2)*AW90+(1-EXP(-LN(2)/2))/(LN(2)/2)*AQ91*AT91*VLOOKUP('Données projet'!$B$10,Paramètres!$A$1:$I$89,3,0)*0.475*44/12</f>
        <v>1.1503034718059215E-3</v>
      </c>
      <c r="AX91" s="21">
        <f t="shared" si="60"/>
        <v>35.148654520698301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475.00000000000011</v>
      </c>
      <c r="BE91" s="13">
        <f>BD91*VLOOKUP('Données projet'!$B$11,Paramètres!$A$1:$I$89,3,0)*VLOOKUP('Données projet'!$B$11,Paramètres!$A$1:$I$89,5,0)</f>
        <v>265.52500000000009</v>
      </c>
      <c r="BF91" s="13">
        <f t="shared" si="91"/>
        <v>63.898639547235177</v>
      </c>
      <c r="BG91" s="20">
        <f t="shared" si="61"/>
        <v>573.74617221143478</v>
      </c>
      <c r="BH91" s="59">
        <f t="shared" si="62"/>
        <v>867.07950554476815</v>
      </c>
      <c r="BI91" s="59">
        <f ca="1">AVERAGE(OFFSET($BH$3,0,0,'Données projet'!$E$11+1,1))-AVERAGE(OFFSET($H$3,0,0,'Données projet'!$E$11+1,1))</f>
        <v>342.37397177572871</v>
      </c>
      <c r="BJ91" s="59">
        <f t="shared" si="92"/>
        <v>331.32436050472762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28.444355094393956</v>
      </c>
      <c r="BQ91" s="21">
        <f>EXP(-LN(2)/25)*BQ90+(1-EXP(-LN(2)/25))/(LN(2)/25)*Calculateur!BL91*Calculateur!BN91*VLOOKUP('Données projet'!$B$11,Paramètres!$A$1:$I$89,3,0)*0.475*44/12</f>
        <v>30.855354754533895</v>
      </c>
      <c r="BR91" s="21">
        <f>EXP(-LN(2)/2)*BR90+(1-EXP(-LN(2)/2))/(LN(2)/2)*BL91*BO91*VLOOKUP('Données projet'!$B$11,Paramètres!$A$1:$I$89,3,0)*0.475*44/12</f>
        <v>8.229915383664738E-3</v>
      </c>
      <c r="BS91" s="22">
        <f t="shared" si="63"/>
        <v>59.307939764311513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253.79640000000001</v>
      </c>
      <c r="CA91" s="13">
        <f t="shared" si="93"/>
        <v>61.39816832228076</v>
      </c>
      <c r="CB91" s="20">
        <f t="shared" si="64"/>
        <v>548.96387316130563</v>
      </c>
      <c r="CC91" s="59">
        <f t="shared" si="65"/>
        <v>842.29720649463889</v>
      </c>
      <c r="CD91" s="59">
        <f ca="1">AVERAGE(OFFSET($CC$3,0,0,'Données projet'!$E$12+1,1))-AVERAGE(OFFSET($H$3,0,0,'Données projet'!$E$12+1,1))</f>
        <v>353.37479213497227</v>
      </c>
      <c r="CE91" s="59">
        <f t="shared" si="94"/>
        <v>345.4750813433123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34.910545923145435</v>
      </c>
      <c r="CL91" s="21">
        <f>EXP(-LN(2)/25)*CL90+(1-EXP(-LN(2)/25))/(LN(2)/25)*Calculateur!CG91*Calculateur!CI91*VLOOKUP('Données projet'!$B$12,Paramètres!$A$1:$I$89,3,0)*0.475*44/12</f>
        <v>2.0481120111272211</v>
      </c>
      <c r="CM91" s="21">
        <f>EXP(-LN(2)/2)*CM90+(1-EXP(-LN(2)/2))/(LN(2)/2)*CG91*CJ91*VLOOKUP('Données projet'!$B$12,Paramètres!$A$1:$I$89,3,0)*0.475*44/12</f>
        <v>3.8330834662596708E-2</v>
      </c>
      <c r="CN91" s="22">
        <f t="shared" si="66"/>
        <v>36.996988768935253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277.99999999999994</v>
      </c>
      <c r="O92" s="13">
        <f>N92*VLOOKUP('Données projet'!$B$9,Paramètres!$A$1:$I$89,3,0)*VLOOKUP('Données projet'!$B$9,Paramètres!$A$1:$I$89,5,0)</f>
        <v>173.47199999999998</v>
      </c>
      <c r="P92" s="13">
        <f t="shared" si="87"/>
        <v>43.866718728383574</v>
      </c>
      <c r="Q92" s="20">
        <f t="shared" si="54"/>
        <v>378.53160178526804</v>
      </c>
      <c r="R92" s="59">
        <f t="shared" si="55"/>
        <v>671.86493511860135</v>
      </c>
      <c r="S92" s="59">
        <f ca="1">AVERAGE(OFFSET($R$3,0,0,'Données projet'!$E$9+1,1))-AVERAGE(OFFSET($H$3,0,0,'Données projet'!$E$9+1,1))</f>
        <v>232.56424130731699</v>
      </c>
      <c r="T92" s="59">
        <f t="shared" si="88"/>
        <v>384.58890620364178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9.8876397179207594</v>
      </c>
      <c r="AA92" s="21">
        <f>EXP(-LN(2)/25)*AA91+(1-EXP(-LN(2)/25))/(LN(2)/25)*Calculateur!V92*Calculateur!X92*VLOOKUP('Données projet'!$B$9,Paramètres!$A$1:$I$89,3,0)*0.475*44/12</f>
        <v>15.561908887839468</v>
      </c>
      <c r="AB92" s="21">
        <f>EXP(-LN(2)/2)*AB91+(1-EXP(-LN(2)/2))/(LN(2)/2)*V92*Y92*VLOOKUP('Données projet'!$B$9,Paramètres!$A$1:$I$89,3,0)*0.475*44/12</f>
        <v>1.3018401657752774E-7</v>
      </c>
      <c r="AC92" s="22">
        <f t="shared" si="57"/>
        <v>25.449548735944244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415.99999999999955</v>
      </c>
      <c r="AJ92" s="13">
        <f>AI92*VLOOKUP('Données projet'!$B$10,Paramètres!$A$1:$I$89,3,0)*VLOOKUP('Données projet'!$B$10,Paramètres!$A$1:$I$89,5,0)</f>
        <v>248.76799999999972</v>
      </c>
      <c r="AK92" s="13">
        <f t="shared" si="89"/>
        <v>60.32205079116369</v>
      </c>
      <c r="AL92" s="20">
        <f t="shared" si="58"/>
        <v>538.33183846127633</v>
      </c>
      <c r="AM92" s="59">
        <f t="shared" si="59"/>
        <v>831.66517179460971</v>
      </c>
      <c r="AN92" s="59">
        <f ca="1">AVERAGE(OFFSET($AM$3,0,0,'Données projet'!$E$10+1,1))-AVERAGE(OFFSET($H$3,0,0,'Données projet'!$E$10+1,1))</f>
        <v>279.39350157328471</v>
      </c>
      <c r="AO92" s="59">
        <f t="shared" si="90"/>
        <v>261.55559683031657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17.789544792938106</v>
      </c>
      <c r="AV92" s="21">
        <f>EXP(-LN(2)/25)*AV91+(1-EXP(-LN(2)/25))/(LN(2)/25)*Calculateur!AQ92*Calculateur!AS92*VLOOKUP('Données projet'!$B$10,Paramètres!$A$1:$I$89,3,0)*0.475*44/12</f>
        <v>16.537215487956683</v>
      </c>
      <c r="AW92" s="21">
        <f>EXP(-LN(2)/2)*AW91+(1-EXP(-LN(2)/2))/(LN(2)/2)*AQ92*AT92*VLOOKUP('Données projet'!$B$10,Paramètres!$A$1:$I$89,3,0)*0.475*44/12</f>
        <v>8.1338738533639566E-4</v>
      </c>
      <c r="AX92" s="21">
        <f t="shared" si="60"/>
        <v>34.327573668280124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475.00000000000011</v>
      </c>
      <c r="BE92" s="13">
        <f>BD92*VLOOKUP('Données projet'!$B$11,Paramètres!$A$1:$I$89,3,0)*VLOOKUP('Données projet'!$B$11,Paramètres!$A$1:$I$89,5,0)</f>
        <v>265.52500000000009</v>
      </c>
      <c r="BF92" s="13">
        <f t="shared" si="91"/>
        <v>63.898639547235177</v>
      </c>
      <c r="BG92" s="20">
        <f t="shared" si="61"/>
        <v>573.74617221143478</v>
      </c>
      <c r="BH92" s="59">
        <f t="shared" si="62"/>
        <v>867.07950554476815</v>
      </c>
      <c r="BI92" s="59">
        <f ca="1">AVERAGE(OFFSET($BH$3,0,0,'Données projet'!$E$11+1,1))-AVERAGE(OFFSET($H$3,0,0,'Données projet'!$E$11+1,1))</f>
        <v>342.37397177572871</v>
      </c>
      <c r="BJ92" s="59">
        <f t="shared" si="92"/>
        <v>331.32436050472762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27.886578640336392</v>
      </c>
      <c r="BQ92" s="21">
        <f>EXP(-LN(2)/25)*BQ91+(1-EXP(-LN(2)/25))/(LN(2)/25)*Calculateur!BL92*Calculateur!BN92*VLOOKUP('Données projet'!$B$11,Paramètres!$A$1:$I$89,3,0)*0.475*44/12</f>
        <v>30.011613456158582</v>
      </c>
      <c r="BR92" s="21">
        <f>EXP(-LN(2)/2)*BR91+(1-EXP(-LN(2)/2))/(LN(2)/2)*BL92*BO92*VLOOKUP('Données projet'!$B$11,Paramètres!$A$1:$I$89,3,0)*0.475*44/12</f>
        <v>5.8194289763808232E-3</v>
      </c>
      <c r="BS92" s="22">
        <f t="shared" si="63"/>
        <v>57.904011525471354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253.79640000000001</v>
      </c>
      <c r="CA92" s="13">
        <f t="shared" si="93"/>
        <v>61.39816832228076</v>
      </c>
      <c r="CB92" s="20">
        <f t="shared" si="64"/>
        <v>548.96387316130563</v>
      </c>
      <c r="CC92" s="59">
        <f t="shared" si="65"/>
        <v>842.29720649463889</v>
      </c>
      <c r="CD92" s="59">
        <f ca="1">AVERAGE(OFFSET($CC$3,0,0,'Données projet'!$E$12+1,1))-AVERAGE(OFFSET($H$3,0,0,'Données projet'!$E$12+1,1))</f>
        <v>353.37479213497227</v>
      </c>
      <c r="CE92" s="59">
        <f t="shared" si="94"/>
        <v>345.4750813433123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34.225971410923023</v>
      </c>
      <c r="CL92" s="21">
        <f>EXP(-LN(2)/25)*CL91+(1-EXP(-LN(2)/25))/(LN(2)/25)*Calculateur!CG92*Calculateur!CI92*VLOOKUP('Données projet'!$B$12,Paramètres!$A$1:$I$89,3,0)*0.475*44/12</f>
        <v>1.9921062804774177</v>
      </c>
      <c r="CM92" s="21">
        <f>EXP(-LN(2)/2)*CM91+(1-EXP(-LN(2)/2))/(LN(2)/2)*CG92*CJ92*VLOOKUP('Données projet'!$B$12,Paramètres!$A$1:$I$89,3,0)*0.475*44/12</f>
        <v>2.7103993118462504E-2</v>
      </c>
      <c r="CN92" s="22">
        <f t="shared" si="66"/>
        <v>36.245181684518904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277.99999999999994</v>
      </c>
      <c r="O93" s="13">
        <f>N93*VLOOKUP('Données projet'!$B$9,Paramètres!$A$1:$I$89,3,0)*VLOOKUP('Données projet'!$B$9,Paramètres!$A$1:$I$89,5,0)</f>
        <v>173.47199999999998</v>
      </c>
      <c r="P93" s="13">
        <f t="shared" si="87"/>
        <v>43.866718728383574</v>
      </c>
      <c r="Q93" s="20">
        <f t="shared" si="54"/>
        <v>378.53160178526804</v>
      </c>
      <c r="R93" s="59">
        <f t="shared" si="55"/>
        <v>671.86493511860135</v>
      </c>
      <c r="S93" s="59">
        <f ca="1">AVERAGE(OFFSET($R$3,0,0,'Données projet'!$E$9+1,1))-AVERAGE(OFFSET($H$3,0,0,'Données projet'!$E$9+1,1))</f>
        <v>232.56424130731699</v>
      </c>
      <c r="T93" s="59">
        <f t="shared" si="88"/>
        <v>384.58890620364178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9.6937491339170627</v>
      </c>
      <c r="AA93" s="21">
        <f>EXP(-LN(2)/25)*AA92+(1-EXP(-LN(2)/25))/(LN(2)/25)*Calculateur!V93*Calculateur!X93*VLOOKUP('Données projet'!$B$9,Paramètres!$A$1:$I$89,3,0)*0.475*44/12</f>
        <v>15.136367670936277</v>
      </c>
      <c r="AB93" s="21">
        <f>EXP(-LN(2)/2)*AB92+(1-EXP(-LN(2)/2))/(LN(2)/2)*V93*Y93*VLOOKUP('Données projet'!$B$9,Paramètres!$A$1:$I$89,3,0)*0.475*44/12</f>
        <v>9.2054000924071783E-8</v>
      </c>
      <c r="AC93" s="22">
        <f t="shared" si="57"/>
        <v>24.830116896907342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415.99999999999955</v>
      </c>
      <c r="AJ93" s="13">
        <f>AI93*VLOOKUP('Données projet'!$B$10,Paramètres!$A$1:$I$89,3,0)*VLOOKUP('Données projet'!$B$10,Paramètres!$A$1:$I$89,5,0)</f>
        <v>248.76799999999972</v>
      </c>
      <c r="AK93" s="13">
        <f t="shared" si="89"/>
        <v>60.32205079116369</v>
      </c>
      <c r="AL93" s="20">
        <f t="shared" si="58"/>
        <v>538.33183846127633</v>
      </c>
      <c r="AM93" s="59">
        <f t="shared" si="59"/>
        <v>831.66517179460971</v>
      </c>
      <c r="AN93" s="59">
        <f ca="1">AVERAGE(OFFSET($AM$3,0,0,'Données projet'!$E$10+1,1))-AVERAGE(OFFSET($H$3,0,0,'Données projet'!$E$10+1,1))</f>
        <v>279.39350157328471</v>
      </c>
      <c r="AO93" s="59">
        <f t="shared" si="90"/>
        <v>261.55559683031657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17.440702670099512</v>
      </c>
      <c r="AV93" s="21">
        <f>EXP(-LN(2)/25)*AV92+(1-EXP(-LN(2)/25))/(LN(2)/25)*Calculateur!AQ93*Calculateur!AS93*VLOOKUP('Données projet'!$B$10,Paramètres!$A$1:$I$89,3,0)*0.475*44/12</f>
        <v>16.085004460784141</v>
      </c>
      <c r="AW93" s="21">
        <f>EXP(-LN(2)/2)*AW92+(1-EXP(-LN(2)/2))/(LN(2)/2)*AQ93*AT93*VLOOKUP('Données projet'!$B$10,Paramètres!$A$1:$I$89,3,0)*0.475*44/12</f>
        <v>5.7515173590296073E-4</v>
      </c>
      <c r="AX93" s="21">
        <f t="shared" si="60"/>
        <v>33.526282282619555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475.00000000000011</v>
      </c>
      <c r="BE93" s="13">
        <f>BD93*VLOOKUP('Données projet'!$B$11,Paramètres!$A$1:$I$89,3,0)*VLOOKUP('Données projet'!$B$11,Paramètres!$A$1:$I$89,5,0)</f>
        <v>265.52500000000009</v>
      </c>
      <c r="BF93" s="13">
        <f t="shared" si="91"/>
        <v>63.898639547235177</v>
      </c>
      <c r="BG93" s="20">
        <f t="shared" si="61"/>
        <v>573.74617221143478</v>
      </c>
      <c r="BH93" s="59">
        <f t="shared" si="62"/>
        <v>867.07950554476815</v>
      </c>
      <c r="BI93" s="59">
        <f ca="1">AVERAGE(OFFSET($BH$3,0,0,'Données projet'!$E$11+1,1))-AVERAGE(OFFSET($H$3,0,0,'Données projet'!$E$11+1,1))</f>
        <v>342.37397177572871</v>
      </c>
      <c r="BJ93" s="59">
        <f t="shared" si="92"/>
        <v>331.32436050472762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27.339739842332854</v>
      </c>
      <c r="BQ93" s="21">
        <f>EXP(-LN(2)/25)*BQ92+(1-EXP(-LN(2)/25))/(LN(2)/25)*Calculateur!BL93*Calculateur!BN93*VLOOKUP('Données projet'!$B$11,Paramètres!$A$1:$I$89,3,0)*0.475*44/12</f>
        <v>29.190944307957768</v>
      </c>
      <c r="BR93" s="21">
        <f>EXP(-LN(2)/2)*BR92+(1-EXP(-LN(2)/2))/(LN(2)/2)*BL93*BO93*VLOOKUP('Données projet'!$B$11,Paramètres!$A$1:$I$89,3,0)*0.475*44/12</f>
        <v>4.114957691832369E-3</v>
      </c>
      <c r="BS93" s="22">
        <f t="shared" si="63"/>
        <v>56.534799107982458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253.79640000000001</v>
      </c>
      <c r="CA93" s="13">
        <f t="shared" si="93"/>
        <v>61.39816832228076</v>
      </c>
      <c r="CB93" s="20">
        <f t="shared" si="64"/>
        <v>548.96387316130563</v>
      </c>
      <c r="CC93" s="59">
        <f t="shared" si="65"/>
        <v>842.29720649463889</v>
      </c>
      <c r="CD93" s="59">
        <f ca="1">AVERAGE(OFFSET($CC$3,0,0,'Données projet'!$E$12+1,1))-AVERAGE(OFFSET($H$3,0,0,'Données projet'!$E$12+1,1))</f>
        <v>353.37479213497227</v>
      </c>
      <c r="CE93" s="59">
        <f t="shared" si="94"/>
        <v>345.4750813433123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33.554820987336072</v>
      </c>
      <c r="CL93" s="21">
        <f>EXP(-LN(2)/25)*CL92+(1-EXP(-LN(2)/25))/(LN(2)/25)*Calculateur!CG93*Calculateur!CI93*VLOOKUP('Données projet'!$B$12,Paramètres!$A$1:$I$89,3,0)*0.475*44/12</f>
        <v>1.9376320294774465</v>
      </c>
      <c r="CM93" s="21">
        <f>EXP(-LN(2)/2)*CM92+(1-EXP(-LN(2)/2))/(LN(2)/2)*CG93*CJ93*VLOOKUP('Données projet'!$B$12,Paramètres!$A$1:$I$89,3,0)*0.475*44/12</f>
        <v>1.9165417331298357E-2</v>
      </c>
      <c r="CN93" s="22">
        <f t="shared" si="66"/>
        <v>35.511618434144822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277.99999999999994</v>
      </c>
      <c r="O94" s="13">
        <f>N94*VLOOKUP('Données projet'!$B$9,Paramètres!$A$1:$I$89,3,0)*VLOOKUP('Données projet'!$B$9,Paramètres!$A$1:$I$89,5,0)</f>
        <v>173.47199999999998</v>
      </c>
      <c r="P94" s="13">
        <f t="shared" si="87"/>
        <v>43.866718728383574</v>
      </c>
      <c r="Q94" s="20">
        <f t="shared" si="54"/>
        <v>378.53160178526804</v>
      </c>
      <c r="R94" s="59">
        <f t="shared" si="55"/>
        <v>671.86493511860135</v>
      </c>
      <c r="S94" s="59">
        <f ca="1">AVERAGE(OFFSET($R$3,0,0,'Données projet'!$E$9+1,1))-AVERAGE(OFFSET($H$3,0,0,'Données projet'!$E$9+1,1))</f>
        <v>232.56424130731699</v>
      </c>
      <c r="T94" s="59">
        <f t="shared" si="88"/>
        <v>384.58890620364178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9.5036606260041001</v>
      </c>
      <c r="AA94" s="21">
        <f>EXP(-LN(2)/25)*AA93+(1-EXP(-LN(2)/25))/(LN(2)/25)*Calculateur!V94*Calculateur!X94*VLOOKUP('Données projet'!$B$9,Paramètres!$A$1:$I$89,3,0)*0.475*44/12</f>
        <v>14.722462900987544</v>
      </c>
      <c r="AB94" s="21">
        <f>EXP(-LN(2)/2)*AB93+(1-EXP(-LN(2)/2))/(LN(2)/2)*V94*Y94*VLOOKUP('Données projet'!$B$9,Paramètres!$A$1:$I$89,3,0)*0.475*44/12</f>
        <v>6.5092008288763869E-8</v>
      </c>
      <c r="AC94" s="22">
        <f t="shared" si="57"/>
        <v>24.226123592083653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415.99999999999955</v>
      </c>
      <c r="AJ94" s="13">
        <f>AI94*VLOOKUP('Données projet'!$B$10,Paramètres!$A$1:$I$89,3,0)*VLOOKUP('Données projet'!$B$10,Paramètres!$A$1:$I$89,5,0)</f>
        <v>248.76799999999972</v>
      </c>
      <c r="AK94" s="13">
        <f t="shared" si="89"/>
        <v>60.32205079116369</v>
      </c>
      <c r="AL94" s="20">
        <f t="shared" si="58"/>
        <v>538.33183846127633</v>
      </c>
      <c r="AM94" s="59">
        <f t="shared" si="59"/>
        <v>831.66517179460971</v>
      </c>
      <c r="AN94" s="59">
        <f ca="1">AVERAGE(OFFSET($AM$3,0,0,'Données projet'!$E$10+1,1))-AVERAGE(OFFSET($H$3,0,0,'Données projet'!$E$10+1,1))</f>
        <v>279.39350157328471</v>
      </c>
      <c r="AO94" s="59">
        <f t="shared" si="90"/>
        <v>261.55559683031657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17.098701128517096</v>
      </c>
      <c r="AV94" s="21">
        <f>EXP(-LN(2)/25)*AV93+(1-EXP(-LN(2)/25))/(LN(2)/25)*Calculateur!AQ94*Calculateur!AS94*VLOOKUP('Données projet'!$B$10,Paramètres!$A$1:$I$89,3,0)*0.475*44/12</f>
        <v>15.645159167930377</v>
      </c>
      <c r="AW94" s="21">
        <f>EXP(-LN(2)/2)*AW93+(1-EXP(-LN(2)/2))/(LN(2)/2)*AQ94*AT94*VLOOKUP('Données projet'!$B$10,Paramètres!$A$1:$I$89,3,0)*0.475*44/12</f>
        <v>4.0669369266819783E-4</v>
      </c>
      <c r="AX94" s="21">
        <f t="shared" si="60"/>
        <v>32.74426699014014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475.00000000000011</v>
      </c>
      <c r="BE94" s="13">
        <f>BD94*VLOOKUP('Données projet'!$B$11,Paramètres!$A$1:$I$89,3,0)*VLOOKUP('Données projet'!$B$11,Paramètres!$A$1:$I$89,5,0)</f>
        <v>265.52500000000009</v>
      </c>
      <c r="BF94" s="13">
        <f t="shared" si="91"/>
        <v>63.898639547235177</v>
      </c>
      <c r="BG94" s="20">
        <f t="shared" si="61"/>
        <v>573.74617221143478</v>
      </c>
      <c r="BH94" s="59">
        <f t="shared" si="62"/>
        <v>867.07950554476815</v>
      </c>
      <c r="BI94" s="59">
        <f ca="1">AVERAGE(OFFSET($BH$3,0,0,'Données projet'!$E$11+1,1))-AVERAGE(OFFSET($H$3,0,0,'Données projet'!$E$11+1,1))</f>
        <v>342.37397177572871</v>
      </c>
      <c r="BJ94" s="59">
        <f t="shared" si="92"/>
        <v>331.32436050472762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26.803624219619433</v>
      </c>
      <c r="BQ94" s="21">
        <f>EXP(-LN(2)/25)*BQ93+(1-EXP(-LN(2)/25))/(LN(2)/25)*Calculateur!BL94*Calculateur!BN94*VLOOKUP('Données projet'!$B$11,Paramètres!$A$1:$I$89,3,0)*0.475*44/12</f>
        <v>28.392716400771619</v>
      </c>
      <c r="BR94" s="21">
        <f>EXP(-LN(2)/2)*BR93+(1-EXP(-LN(2)/2))/(LN(2)/2)*BL94*BO94*VLOOKUP('Données projet'!$B$11,Paramètres!$A$1:$I$89,3,0)*0.475*44/12</f>
        <v>2.9097144881904116E-3</v>
      </c>
      <c r="BS94" s="22">
        <f t="shared" si="63"/>
        <v>55.199250334879245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253.79640000000001</v>
      </c>
      <c r="CA94" s="13">
        <f t="shared" si="93"/>
        <v>61.39816832228076</v>
      </c>
      <c r="CB94" s="20">
        <f t="shared" si="64"/>
        <v>548.96387316130563</v>
      </c>
      <c r="CC94" s="59">
        <f t="shared" si="65"/>
        <v>842.29720649463889</v>
      </c>
      <c r="CD94" s="59">
        <f ca="1">AVERAGE(OFFSET($CC$3,0,0,'Données projet'!$E$12+1,1))-AVERAGE(OFFSET($H$3,0,0,'Données projet'!$E$12+1,1))</f>
        <v>353.37479213497227</v>
      </c>
      <c r="CE94" s="59">
        <f t="shared" si="94"/>
        <v>345.4750813433123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32.896831414194324</v>
      </c>
      <c r="CL94" s="21">
        <f>EXP(-LN(2)/25)*CL93+(1-EXP(-LN(2)/25))/(LN(2)/25)*Calculateur!CG94*Calculateur!CI94*VLOOKUP('Données projet'!$B$12,Paramètres!$A$1:$I$89,3,0)*0.475*44/12</f>
        <v>1.8846473797357459</v>
      </c>
      <c r="CM94" s="21">
        <f>EXP(-LN(2)/2)*CM93+(1-EXP(-LN(2)/2))/(LN(2)/2)*CG94*CJ94*VLOOKUP('Données projet'!$B$12,Paramètres!$A$1:$I$89,3,0)*0.475*44/12</f>
        <v>1.3551996559231254E-2</v>
      </c>
      <c r="CN94" s="22">
        <f t="shared" si="66"/>
        <v>34.795030790489299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277.99999999999994</v>
      </c>
      <c r="O95" s="13">
        <f>N95*VLOOKUP('Données projet'!$B$9,Paramètres!$A$1:$I$89,3,0)*VLOOKUP('Données projet'!$B$9,Paramètres!$A$1:$I$89,5,0)</f>
        <v>173.47199999999998</v>
      </c>
      <c r="P95" s="13">
        <f t="shared" si="87"/>
        <v>43.866718728383574</v>
      </c>
      <c r="Q95" s="20">
        <f t="shared" si="54"/>
        <v>378.53160178526804</v>
      </c>
      <c r="R95" s="59">
        <f t="shared" si="55"/>
        <v>671.86493511860135</v>
      </c>
      <c r="S95" s="59">
        <f ca="1">AVERAGE(OFFSET($R$3,0,0,'Données projet'!$E$9+1,1))-AVERAGE(OFFSET($H$3,0,0,'Données projet'!$E$9+1,1))</f>
        <v>232.56424130731699</v>
      </c>
      <c r="T95" s="59">
        <f t="shared" si="88"/>
        <v>384.58890620364178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9.3172996377887696</v>
      </c>
      <c r="AA95" s="21">
        <f>EXP(-LN(2)/25)*AA94+(1-EXP(-LN(2)/25))/(LN(2)/25)*Calculateur!V95*Calculateur!X95*VLOOKUP('Données projet'!$B$9,Paramètres!$A$1:$I$89,3,0)*0.475*44/12</f>
        <v>14.319876378739364</v>
      </c>
      <c r="AB95" s="21">
        <f>EXP(-LN(2)/2)*AB94+(1-EXP(-LN(2)/2))/(LN(2)/2)*V95*Y95*VLOOKUP('Données projet'!$B$9,Paramètres!$A$1:$I$89,3,0)*0.475*44/12</f>
        <v>4.6027000462035892E-8</v>
      </c>
      <c r="AC95" s="22">
        <f t="shared" si="57"/>
        <v>23.637176062555135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415.99999999999955</v>
      </c>
      <c r="AJ95" s="13">
        <f>AI95*VLOOKUP('Données projet'!$B$10,Paramètres!$A$1:$I$89,3,0)*VLOOKUP('Données projet'!$B$10,Paramètres!$A$1:$I$89,5,0)</f>
        <v>248.76799999999972</v>
      </c>
      <c r="AK95" s="13">
        <f t="shared" si="89"/>
        <v>60.32205079116369</v>
      </c>
      <c r="AL95" s="20">
        <f t="shared" si="58"/>
        <v>538.33183846127633</v>
      </c>
      <c r="AM95" s="59">
        <f t="shared" si="59"/>
        <v>831.66517179460971</v>
      </c>
      <c r="AN95" s="59">
        <f ca="1">AVERAGE(OFFSET($AM$3,0,0,'Données projet'!$E$10+1,1))-AVERAGE(OFFSET($H$3,0,0,'Données projet'!$E$10+1,1))</f>
        <v>279.39350157328471</v>
      </c>
      <c r="AO95" s="59">
        <f t="shared" si="90"/>
        <v>261.55559683031657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16.76340602856477</v>
      </c>
      <c r="AV95" s="21">
        <f>EXP(-LN(2)/25)*AV94+(1-EXP(-LN(2)/25))/(LN(2)/25)*Calculateur!AQ95*Calculateur!AS95*VLOOKUP('Données projet'!$B$10,Paramètres!$A$1:$I$89,3,0)*0.475*44/12</f>
        <v>15.217341467740157</v>
      </c>
      <c r="AW95" s="21">
        <f>EXP(-LN(2)/2)*AW94+(1-EXP(-LN(2)/2))/(LN(2)/2)*AQ95*AT95*VLOOKUP('Données projet'!$B$10,Paramètres!$A$1:$I$89,3,0)*0.475*44/12</f>
        <v>2.8757586795148037E-4</v>
      </c>
      <c r="AX95" s="21">
        <f t="shared" si="60"/>
        <v>31.98103507217288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475.00000000000011</v>
      </c>
      <c r="BE95" s="13">
        <f>BD95*VLOOKUP('Données projet'!$B$11,Paramètres!$A$1:$I$89,3,0)*VLOOKUP('Données projet'!$B$11,Paramètres!$A$1:$I$89,5,0)</f>
        <v>265.52500000000009</v>
      </c>
      <c r="BF95" s="13">
        <f t="shared" si="91"/>
        <v>63.898639547235177</v>
      </c>
      <c r="BG95" s="20">
        <f t="shared" si="61"/>
        <v>573.74617221143478</v>
      </c>
      <c r="BH95" s="59">
        <f t="shared" si="62"/>
        <v>867.07950554476815</v>
      </c>
      <c r="BI95" s="59">
        <f ca="1">AVERAGE(OFFSET($BH$3,0,0,'Données projet'!$E$11+1,1))-AVERAGE(OFFSET($H$3,0,0,'Données projet'!$E$11+1,1))</f>
        <v>342.37397177572871</v>
      </c>
      <c r="BJ95" s="59">
        <f t="shared" si="92"/>
        <v>331.32436050472762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26.278021497269179</v>
      </c>
      <c r="BQ95" s="21">
        <f>EXP(-LN(2)/25)*BQ94+(1-EXP(-LN(2)/25))/(LN(2)/25)*Calculateur!BL95*Calculateur!BN95*VLOOKUP('Données projet'!$B$11,Paramètres!$A$1:$I$89,3,0)*0.475*44/12</f>
        <v>27.616316077684456</v>
      </c>
      <c r="BR95" s="21">
        <f>EXP(-LN(2)/2)*BR94+(1-EXP(-LN(2)/2))/(LN(2)/2)*BL95*BO95*VLOOKUP('Données projet'!$B$11,Paramètres!$A$1:$I$89,3,0)*0.475*44/12</f>
        <v>2.0574788459161845E-3</v>
      </c>
      <c r="BS95" s="22">
        <f t="shared" si="63"/>
        <v>53.896395053799552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253.79640000000001</v>
      </c>
      <c r="CA95" s="13">
        <f t="shared" si="93"/>
        <v>61.39816832228076</v>
      </c>
      <c r="CB95" s="20">
        <f t="shared" si="64"/>
        <v>548.96387316130563</v>
      </c>
      <c r="CC95" s="59">
        <f t="shared" si="65"/>
        <v>842.29720649463889</v>
      </c>
      <c r="CD95" s="59">
        <f ca="1">AVERAGE(OFFSET($CC$3,0,0,'Données projet'!$E$12+1,1))-AVERAGE(OFFSET($H$3,0,0,'Données projet'!$E$12+1,1))</f>
        <v>353.37479213497227</v>
      </c>
      <c r="CE95" s="59">
        <f t="shared" si="94"/>
        <v>345.4750813433123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32.251744615247873</v>
      </c>
      <c r="CL95" s="21">
        <f>EXP(-LN(2)/25)*CL94+(1-EXP(-LN(2)/25))/(LN(2)/25)*Calculateur!CG95*Calculateur!CI95*VLOOKUP('Données projet'!$B$12,Paramètres!$A$1:$I$89,3,0)*0.475*44/12</f>
        <v>1.8331115980275736</v>
      </c>
      <c r="CM95" s="21">
        <f>EXP(-LN(2)/2)*CM94+(1-EXP(-LN(2)/2))/(LN(2)/2)*CG95*CJ95*VLOOKUP('Données projet'!$B$12,Paramètres!$A$1:$I$89,3,0)*0.475*44/12</f>
        <v>9.5827086656491804E-3</v>
      </c>
      <c r="CN95" s="22">
        <f t="shared" si="66"/>
        <v>34.094438921941091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277.99999999999994</v>
      </c>
      <c r="O96" s="13">
        <f>N96*VLOOKUP('Données projet'!$B$9,Paramètres!$A$1:$I$89,3,0)*VLOOKUP('Données projet'!$B$9,Paramètres!$A$1:$I$89,5,0)</f>
        <v>173.47199999999998</v>
      </c>
      <c r="P96" s="13">
        <f t="shared" si="87"/>
        <v>43.866718728383574</v>
      </c>
      <c r="Q96" s="20">
        <f t="shared" si="54"/>
        <v>378.53160178526804</v>
      </c>
      <c r="R96" s="59">
        <f t="shared" si="55"/>
        <v>671.86493511860135</v>
      </c>
      <c r="S96" s="59">
        <f ca="1">AVERAGE(OFFSET($R$3,0,0,'Données projet'!$E$9+1,1))-AVERAGE(OFFSET($H$3,0,0,'Données projet'!$E$9+1,1))</f>
        <v>232.56424130731699</v>
      </c>
      <c r="T96" s="59">
        <f t="shared" si="88"/>
        <v>384.58890620364178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9.1345930748833624</v>
      </c>
      <c r="AA96" s="21">
        <f>EXP(-LN(2)/25)*AA95+(1-EXP(-LN(2)/25))/(LN(2)/25)*Calculateur!V96*Calculateur!X96*VLOOKUP('Données projet'!$B$9,Paramètres!$A$1:$I$89,3,0)*0.475*44/12</f>
        <v>13.928298606113167</v>
      </c>
      <c r="AB96" s="21">
        <f>EXP(-LN(2)/2)*AB95+(1-EXP(-LN(2)/2))/(LN(2)/2)*V96*Y96*VLOOKUP('Données projet'!$B$9,Paramètres!$A$1:$I$89,3,0)*0.475*44/12</f>
        <v>3.2546004144381934E-8</v>
      </c>
      <c r="AC96" s="22">
        <f t="shared" si="57"/>
        <v>23.062891713542534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415.99999999999955</v>
      </c>
      <c r="AJ96" s="13">
        <f>AI96*VLOOKUP('Données projet'!$B$10,Paramètres!$A$1:$I$89,3,0)*VLOOKUP('Données projet'!$B$10,Paramètres!$A$1:$I$89,5,0)</f>
        <v>248.76799999999972</v>
      </c>
      <c r="AK96" s="13">
        <f t="shared" si="89"/>
        <v>60.32205079116369</v>
      </c>
      <c r="AL96" s="20">
        <f t="shared" si="58"/>
        <v>538.33183846127633</v>
      </c>
      <c r="AM96" s="59">
        <f t="shared" si="59"/>
        <v>831.66517179460971</v>
      </c>
      <c r="AN96" s="59">
        <f ca="1">AVERAGE(OFFSET($AM$3,0,0,'Données projet'!$E$10+1,1))-AVERAGE(OFFSET($H$3,0,0,'Données projet'!$E$10+1,1))</f>
        <v>279.39350157328471</v>
      </c>
      <c r="AO96" s="59">
        <f t="shared" si="90"/>
        <v>261.55559683031657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16.434685861012689</v>
      </c>
      <c r="AV96" s="21">
        <f>EXP(-LN(2)/25)*AV95+(1-EXP(-LN(2)/25))/(LN(2)/25)*Calculateur!AQ96*Calculateur!AS96*VLOOKUP('Données projet'!$B$10,Paramètres!$A$1:$I$89,3,0)*0.475*44/12</f>
        <v>14.801222465059594</v>
      </c>
      <c r="AW96" s="21">
        <f>EXP(-LN(2)/2)*AW95+(1-EXP(-LN(2)/2))/(LN(2)/2)*AQ96*AT96*VLOOKUP('Données projet'!$B$10,Paramètres!$A$1:$I$89,3,0)*0.475*44/12</f>
        <v>2.0334684633409891E-4</v>
      </c>
      <c r="AX96" s="21">
        <f t="shared" si="60"/>
        <v>31.236111672918618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475.00000000000011</v>
      </c>
      <c r="BE96" s="13">
        <f>BD96*VLOOKUP('Données projet'!$B$11,Paramètres!$A$1:$I$89,3,0)*VLOOKUP('Données projet'!$B$11,Paramètres!$A$1:$I$89,5,0)</f>
        <v>265.52500000000009</v>
      </c>
      <c r="BF96" s="13">
        <f t="shared" si="91"/>
        <v>63.898639547235177</v>
      </c>
      <c r="BG96" s="20">
        <f t="shared" si="61"/>
        <v>573.74617221143478</v>
      </c>
      <c r="BH96" s="59">
        <f t="shared" si="62"/>
        <v>867.07950554476815</v>
      </c>
      <c r="BI96" s="59">
        <f ca="1">AVERAGE(OFFSET($BH$3,0,0,'Données projet'!$E$11+1,1))-AVERAGE(OFFSET($H$3,0,0,'Données projet'!$E$11+1,1))</f>
        <v>342.37397177572871</v>
      </c>
      <c r="BJ96" s="59">
        <f t="shared" si="92"/>
        <v>331.32436050472762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25.76272552371821</v>
      </c>
      <c r="BQ96" s="21">
        <f>EXP(-LN(2)/25)*BQ95+(1-EXP(-LN(2)/25))/(LN(2)/25)*Calculateur!BL96*Calculateur!BN96*VLOOKUP('Données projet'!$B$11,Paramètres!$A$1:$I$89,3,0)*0.475*44/12</f>
        <v>26.861146462261228</v>
      </c>
      <c r="BR96" s="21">
        <f>EXP(-LN(2)/2)*BR95+(1-EXP(-LN(2)/2))/(LN(2)/2)*BL96*BO96*VLOOKUP('Données projet'!$B$11,Paramètres!$A$1:$I$89,3,0)*0.475*44/12</f>
        <v>1.4548572440952058E-3</v>
      </c>
      <c r="BS96" s="22">
        <f t="shared" si="63"/>
        <v>52.625326843223533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253.79640000000001</v>
      </c>
      <c r="CA96" s="13">
        <f t="shared" si="93"/>
        <v>61.39816832228076</v>
      </c>
      <c r="CB96" s="20">
        <f t="shared" si="64"/>
        <v>548.96387316130563</v>
      </c>
      <c r="CC96" s="59">
        <f t="shared" si="65"/>
        <v>842.29720649463889</v>
      </c>
      <c r="CD96" s="59">
        <f ca="1">AVERAGE(OFFSET($CC$3,0,0,'Données projet'!$E$12+1,1))-AVERAGE(OFFSET($H$3,0,0,'Données projet'!$E$12+1,1))</f>
        <v>353.37479213497227</v>
      </c>
      <c r="CE96" s="59">
        <f t="shared" si="94"/>
        <v>345.4750813433123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31.619307574964665</v>
      </c>
      <c r="CL96" s="21">
        <f>EXP(-LN(2)/25)*CL95+(1-EXP(-LN(2)/25))/(LN(2)/25)*Calculateur!CG96*Calculateur!CI96*VLOOKUP('Données projet'!$B$12,Paramètres!$A$1:$I$89,3,0)*0.475*44/12</f>
        <v>1.7829850649803602</v>
      </c>
      <c r="CM96" s="21">
        <f>EXP(-LN(2)/2)*CM95+(1-EXP(-LN(2)/2))/(LN(2)/2)*CG96*CJ96*VLOOKUP('Données projet'!$B$12,Paramètres!$A$1:$I$89,3,0)*0.475*44/12</f>
        <v>6.7759982796156285E-3</v>
      </c>
      <c r="CN96" s="22">
        <f t="shared" si="66"/>
        <v>33.409068638224639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277.99999999999994</v>
      </c>
      <c r="O97" s="13">
        <f>N97*VLOOKUP('Données projet'!$B$9,Paramètres!$A$1:$I$89,3,0)*VLOOKUP('Données projet'!$B$9,Paramètres!$A$1:$I$89,5,0)</f>
        <v>173.47199999999998</v>
      </c>
      <c r="P97" s="13">
        <f t="shared" si="87"/>
        <v>43.866718728383574</v>
      </c>
      <c r="Q97" s="20">
        <f t="shared" si="54"/>
        <v>378.53160178526804</v>
      </c>
      <c r="R97" s="59">
        <f t="shared" si="55"/>
        <v>671.86493511860135</v>
      </c>
      <c r="S97" s="59">
        <f ca="1">AVERAGE(OFFSET($R$3,0,0,'Données projet'!$E$9+1,1))-AVERAGE(OFFSET($H$3,0,0,'Données projet'!$E$9+1,1))</f>
        <v>232.56424130731699</v>
      </c>
      <c r="T97" s="59">
        <f t="shared" si="88"/>
        <v>384.58890620364178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8.9554692762365296</v>
      </c>
      <c r="AA97" s="21">
        <f>EXP(-LN(2)/25)*AA96+(1-EXP(-LN(2)/25))/(LN(2)/25)*Calculateur!V97*Calculateur!X97*VLOOKUP('Données projet'!$B$9,Paramètres!$A$1:$I$89,3,0)*0.475*44/12</f>
        <v>13.547428548271611</v>
      </c>
      <c r="AB97" s="21">
        <f>EXP(-LN(2)/2)*AB96+(1-EXP(-LN(2)/2))/(LN(2)/2)*V97*Y97*VLOOKUP('Données projet'!$B$9,Paramètres!$A$1:$I$89,3,0)*0.475*44/12</f>
        <v>2.3013500231017946E-8</v>
      </c>
      <c r="AC97" s="22">
        <f t="shared" si="57"/>
        <v>22.502897847521638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415.99999999999955</v>
      </c>
      <c r="AJ97" s="13">
        <f>AI97*VLOOKUP('Données projet'!$B$10,Paramètres!$A$1:$I$89,3,0)*VLOOKUP('Données projet'!$B$10,Paramètres!$A$1:$I$89,5,0)</f>
        <v>248.76799999999972</v>
      </c>
      <c r="AK97" s="13">
        <f t="shared" si="89"/>
        <v>60.32205079116369</v>
      </c>
      <c r="AL97" s="20">
        <f t="shared" si="58"/>
        <v>538.33183846127633</v>
      </c>
      <c r="AM97" s="59">
        <f t="shared" si="59"/>
        <v>831.66517179460971</v>
      </c>
      <c r="AN97" s="59">
        <f ca="1">AVERAGE(OFFSET($AM$3,0,0,'Données projet'!$E$10+1,1))-AVERAGE(OFFSET($H$3,0,0,'Données projet'!$E$10+1,1))</f>
        <v>279.39350157328471</v>
      </c>
      <c r="AO97" s="59">
        <f t="shared" si="90"/>
        <v>261.55559683031657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16.112411695446802</v>
      </c>
      <c r="AV97" s="21">
        <f>EXP(-LN(2)/25)*AV96+(1-EXP(-LN(2)/25))/(LN(2)/25)*Calculateur!AQ97*Calculateur!AS97*VLOOKUP('Données projet'!$B$10,Paramètres!$A$1:$I$89,3,0)*0.475*44/12</f>
        <v>14.396482258390078</v>
      </c>
      <c r="AW97" s="21">
        <f>EXP(-LN(2)/2)*AW96+(1-EXP(-LN(2)/2))/(LN(2)/2)*AQ97*AT97*VLOOKUP('Données projet'!$B$10,Paramètres!$A$1:$I$89,3,0)*0.475*44/12</f>
        <v>1.4378793397574018E-4</v>
      </c>
      <c r="AX97" s="21">
        <f t="shared" si="60"/>
        <v>30.509037741770857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475.00000000000011</v>
      </c>
      <c r="BE97" s="13">
        <f>BD97*VLOOKUP('Données projet'!$B$11,Paramètres!$A$1:$I$89,3,0)*VLOOKUP('Données projet'!$B$11,Paramètres!$A$1:$I$89,5,0)</f>
        <v>265.52500000000009</v>
      </c>
      <c r="BF97" s="13">
        <f t="shared" si="91"/>
        <v>63.898639547235177</v>
      </c>
      <c r="BG97" s="20">
        <f t="shared" si="61"/>
        <v>573.74617221143478</v>
      </c>
      <c r="BH97" s="59">
        <f t="shared" si="62"/>
        <v>867.07950554476815</v>
      </c>
      <c r="BI97" s="59">
        <f ca="1">AVERAGE(OFFSET($BH$3,0,0,'Données projet'!$E$11+1,1))-AVERAGE(OFFSET($H$3,0,0,'Données projet'!$E$11+1,1))</f>
        <v>342.37397177572871</v>
      </c>
      <c r="BJ97" s="59">
        <f t="shared" si="92"/>
        <v>331.32436050472762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25.257534189909066</v>
      </c>
      <c r="BQ97" s="21">
        <f>EXP(-LN(2)/25)*BQ96+(1-EXP(-LN(2)/25))/(LN(2)/25)*Calculateur!BL97*Calculateur!BN97*VLOOKUP('Données projet'!$B$11,Paramètres!$A$1:$I$89,3,0)*0.475*44/12</f>
        <v>26.126626999684394</v>
      </c>
      <c r="BR97" s="21">
        <f>EXP(-LN(2)/2)*BR96+(1-EXP(-LN(2)/2))/(LN(2)/2)*BL97*BO97*VLOOKUP('Données projet'!$B$11,Paramètres!$A$1:$I$89,3,0)*0.475*44/12</f>
        <v>1.0287394229580922E-3</v>
      </c>
      <c r="BS97" s="22">
        <f t="shared" si="63"/>
        <v>51.385189929016413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253.79640000000001</v>
      </c>
      <c r="CA97" s="13">
        <f t="shared" si="93"/>
        <v>61.39816832228076</v>
      </c>
      <c r="CB97" s="20">
        <f t="shared" si="64"/>
        <v>548.96387316130563</v>
      </c>
      <c r="CC97" s="59">
        <f t="shared" si="65"/>
        <v>842.29720649463889</v>
      </c>
      <c r="CD97" s="59">
        <f ca="1">AVERAGE(OFFSET($CC$3,0,0,'Données projet'!$E$12+1,1))-AVERAGE(OFFSET($H$3,0,0,'Données projet'!$E$12+1,1))</f>
        <v>353.37479213497227</v>
      </c>
      <c r="CE97" s="59">
        <f t="shared" si="94"/>
        <v>345.4750813433123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30.999272239292907</v>
      </c>
      <c r="CL97" s="21">
        <f>EXP(-LN(2)/25)*CL96+(1-EXP(-LN(2)/25))/(LN(2)/25)*Calculateur!CG97*Calculateur!CI97*VLOOKUP('Données projet'!$B$12,Paramètres!$A$1:$I$89,3,0)*0.475*44/12</f>
        <v>1.7342292446153629</v>
      </c>
      <c r="CM97" s="21">
        <f>EXP(-LN(2)/2)*CM96+(1-EXP(-LN(2)/2))/(LN(2)/2)*CG97*CJ97*VLOOKUP('Données projet'!$B$12,Paramètres!$A$1:$I$89,3,0)*0.475*44/12</f>
        <v>4.7913543328245911E-3</v>
      </c>
      <c r="CN97" s="22">
        <f t="shared" si="66"/>
        <v>32.738292838241094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277.99999999999994</v>
      </c>
      <c r="O98" s="13">
        <f>N98*VLOOKUP('Données projet'!$B$9,Paramètres!$A$1:$I$89,3,0)*VLOOKUP('Données projet'!$B$9,Paramètres!$A$1:$I$89,5,0)</f>
        <v>173.47199999999998</v>
      </c>
      <c r="P98" s="13">
        <f t="shared" si="87"/>
        <v>43.866718728383574</v>
      </c>
      <c r="Q98" s="20">
        <f t="shared" si="54"/>
        <v>378.53160178526804</v>
      </c>
      <c r="R98" s="59">
        <f t="shared" si="55"/>
        <v>671.86493511860135</v>
      </c>
      <c r="S98" s="59">
        <f ca="1">AVERAGE(OFFSET($R$3,0,0,'Données projet'!$E$9+1,1))-AVERAGE(OFFSET($H$3,0,0,'Données projet'!$E$9+1,1))</f>
        <v>232.56424130731699</v>
      </c>
      <c r="T98" s="59">
        <f t="shared" si="88"/>
        <v>384.58890620364178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8.7798579860264319</v>
      </c>
      <c r="AA98" s="21">
        <f>EXP(-LN(2)/25)*AA97+(1-EXP(-LN(2)/25))/(LN(2)/25)*Calculateur!V98*Calculateur!X98*VLOOKUP('Données projet'!$B$9,Paramètres!$A$1:$I$89,3,0)*0.475*44/12</f>
        <v>13.17697340219082</v>
      </c>
      <c r="AB98" s="21">
        <f>EXP(-LN(2)/2)*AB97+(1-EXP(-LN(2)/2))/(LN(2)/2)*V98*Y98*VLOOKUP('Données projet'!$B$9,Paramètres!$A$1:$I$89,3,0)*0.475*44/12</f>
        <v>1.6273002072190967E-8</v>
      </c>
      <c r="AC98" s="22">
        <f t="shared" si="57"/>
        <v>21.956831404490256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415.99999999999955</v>
      </c>
      <c r="AJ98" s="13">
        <f>AI98*VLOOKUP('Données projet'!$B$10,Paramètres!$A$1:$I$89,3,0)*VLOOKUP('Données projet'!$B$10,Paramètres!$A$1:$I$89,5,0)</f>
        <v>248.76799999999972</v>
      </c>
      <c r="AK98" s="13">
        <f t="shared" si="89"/>
        <v>60.32205079116369</v>
      </c>
      <c r="AL98" s="20">
        <f t="shared" si="58"/>
        <v>538.33183846127633</v>
      </c>
      <c r="AM98" s="59">
        <f t="shared" si="59"/>
        <v>831.66517179460971</v>
      </c>
      <c r="AN98" s="59">
        <f ca="1">AVERAGE(OFFSET($AM$3,0,0,'Données projet'!$E$10+1,1))-AVERAGE(OFFSET($H$3,0,0,'Données projet'!$E$10+1,1))</f>
        <v>279.39350157328471</v>
      </c>
      <c r="AO98" s="59">
        <f t="shared" si="90"/>
        <v>261.55559683031657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15.79645712969983</v>
      </c>
      <c r="AV98" s="21">
        <f>EXP(-LN(2)/25)*AV97+(1-EXP(-LN(2)/25))/(LN(2)/25)*Calculateur!AQ98*Calculateur!AS98*VLOOKUP('Données projet'!$B$10,Paramètres!$A$1:$I$89,3,0)*0.475*44/12</f>
        <v>14.002809693956303</v>
      </c>
      <c r="AW98" s="21">
        <f>EXP(-LN(2)/2)*AW97+(1-EXP(-LN(2)/2))/(LN(2)/2)*AQ98*AT98*VLOOKUP('Données projet'!$B$10,Paramètres!$A$1:$I$89,3,0)*0.475*44/12</f>
        <v>1.0167342316704946E-4</v>
      </c>
      <c r="AX98" s="21">
        <f t="shared" si="60"/>
        <v>29.7993684970793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475.00000000000011</v>
      </c>
      <c r="BE98" s="13">
        <f>BD98*VLOOKUP('Données projet'!$B$11,Paramètres!$A$1:$I$89,3,0)*VLOOKUP('Données projet'!$B$11,Paramètres!$A$1:$I$89,5,0)</f>
        <v>265.52500000000009</v>
      </c>
      <c r="BF98" s="13">
        <f t="shared" si="91"/>
        <v>63.898639547235177</v>
      </c>
      <c r="BG98" s="20">
        <f t="shared" si="61"/>
        <v>573.74617221143478</v>
      </c>
      <c r="BH98" s="59">
        <f t="shared" si="62"/>
        <v>867.07950554476815</v>
      </c>
      <c r="BI98" s="59">
        <f ca="1">AVERAGE(OFFSET($BH$3,0,0,'Données projet'!$E$11+1,1))-AVERAGE(OFFSET($H$3,0,0,'Données projet'!$E$11+1,1))</f>
        <v>342.37397177572871</v>
      </c>
      <c r="BJ98" s="59">
        <f t="shared" si="92"/>
        <v>331.32436050472762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24.76224935001963</v>
      </c>
      <c r="BQ98" s="21">
        <f>EXP(-LN(2)/25)*BQ97+(1-EXP(-LN(2)/25))/(LN(2)/25)*Calculateur!BL98*Calculateur!BN98*VLOOKUP('Données projet'!$B$11,Paramètres!$A$1:$I$89,3,0)*0.475*44/12</f>
        <v>25.412193010438422</v>
      </c>
      <c r="BR98" s="21">
        <f>EXP(-LN(2)/2)*BR97+(1-EXP(-LN(2)/2))/(LN(2)/2)*BL98*BO98*VLOOKUP('Données projet'!$B$11,Paramètres!$A$1:$I$89,3,0)*0.475*44/12</f>
        <v>7.274286220476029E-4</v>
      </c>
      <c r="BS98" s="22">
        <f t="shared" si="63"/>
        <v>50.175169789080101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253.79640000000001</v>
      </c>
      <c r="CA98" s="13">
        <f t="shared" si="93"/>
        <v>61.39816832228076</v>
      </c>
      <c r="CB98" s="20">
        <f t="shared" si="64"/>
        <v>548.96387316130563</v>
      </c>
      <c r="CC98" s="59">
        <f t="shared" si="65"/>
        <v>842.29720649463889</v>
      </c>
      <c r="CD98" s="59">
        <f ca="1">AVERAGE(OFFSET($CC$3,0,0,'Données projet'!$E$12+1,1))-AVERAGE(OFFSET($H$3,0,0,'Données projet'!$E$12+1,1))</f>
        <v>353.37479213497227</v>
      </c>
      <c r="CE98" s="59">
        <f t="shared" si="94"/>
        <v>345.4750813433123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30.391395418369459</v>
      </c>
      <c r="CL98" s="21">
        <f>EXP(-LN(2)/25)*CL97+(1-EXP(-LN(2)/25))/(LN(2)/25)*Calculateur!CG98*Calculateur!CI98*VLOOKUP('Données projet'!$B$12,Paramètres!$A$1:$I$89,3,0)*0.475*44/12</f>
        <v>1.6868066547222034</v>
      </c>
      <c r="CM98" s="21">
        <f>EXP(-LN(2)/2)*CM97+(1-EXP(-LN(2)/2))/(LN(2)/2)*CG98*CJ98*VLOOKUP('Données projet'!$B$12,Paramètres!$A$1:$I$89,3,0)*0.475*44/12</f>
        <v>3.3879991398078147E-3</v>
      </c>
      <c r="CN98" s="22">
        <f t="shared" si="66"/>
        <v>32.081590072231471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277.99999999999994</v>
      </c>
      <c r="O99" s="13">
        <f>N99*VLOOKUP('Données projet'!$B$9,Paramètres!$A$1:$I$89,3,0)*VLOOKUP('Données projet'!$B$9,Paramètres!$A$1:$I$89,5,0)</f>
        <v>173.47199999999998</v>
      </c>
      <c r="P99" s="13">
        <f t="shared" si="87"/>
        <v>43.866718728383574</v>
      </c>
      <c r="Q99" s="20">
        <f t="shared" ref="Q99:Q130" si="107">(O99+P99)*0.475*44/12</f>
        <v>378.53160178526804</v>
      </c>
      <c r="R99" s="59">
        <f t="shared" si="55"/>
        <v>671.86493511860135</v>
      </c>
      <c r="S99" s="59">
        <f ca="1">AVERAGE(OFFSET($R$3,0,0,'Données projet'!$E$9+1,1))-AVERAGE(OFFSET($H$3,0,0,'Données projet'!$E$9+1,1))</f>
        <v>232.56424130731699</v>
      </c>
      <c r="T99" s="59">
        <f t="shared" si="88"/>
        <v>384.58890620364178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8.607690326105045</v>
      </c>
      <c r="AA99" s="21">
        <f>EXP(-LN(2)/25)*AA98+(1-EXP(-LN(2)/25))/(LN(2)/25)*Calculateur!V99*Calculateur!X99*VLOOKUP('Données projet'!$B$9,Paramètres!$A$1:$I$89,3,0)*0.475*44/12</f>
        <v>12.816648371560996</v>
      </c>
      <c r="AB99" s="21">
        <f>EXP(-LN(2)/2)*AB98+(1-EXP(-LN(2)/2))/(LN(2)/2)*V99*Y99*VLOOKUP('Données projet'!$B$9,Paramètres!$A$1:$I$89,3,0)*0.475*44/12</f>
        <v>1.1506750115508973E-8</v>
      </c>
      <c r="AC99" s="22">
        <f t="shared" si="57"/>
        <v>21.42433870917279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415.99999999999955</v>
      </c>
      <c r="AJ99" s="13">
        <f>AI99*VLOOKUP('Données projet'!$B$10,Paramètres!$A$1:$I$89,3,0)*VLOOKUP('Données projet'!$B$10,Paramètres!$A$1:$I$89,5,0)</f>
        <v>248.76799999999972</v>
      </c>
      <c r="AK99" s="13">
        <f t="shared" si="89"/>
        <v>60.32205079116369</v>
      </c>
      <c r="AL99" s="20">
        <f t="shared" si="58"/>
        <v>538.33183846127633</v>
      </c>
      <c r="AM99" s="59">
        <f t="shared" si="59"/>
        <v>831.66517179460971</v>
      </c>
      <c r="AN99" s="59">
        <f ca="1">AVERAGE(OFFSET($AM$3,0,0,'Données projet'!$E$10+1,1))-AVERAGE(OFFSET($H$3,0,0,'Données projet'!$E$10+1,1))</f>
        <v>279.39350157328471</v>
      </c>
      <c r="AO99" s="59">
        <f t="shared" si="90"/>
        <v>261.55559683031657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15.486698240273899</v>
      </c>
      <c r="AV99" s="21">
        <f>EXP(-LN(2)/25)*AV98+(1-EXP(-LN(2)/25))/(LN(2)/25)*Calculateur!AQ99*Calculateur!AS99*VLOOKUP('Données projet'!$B$10,Paramètres!$A$1:$I$89,3,0)*0.475*44/12</f>
        <v>13.61990212649931</v>
      </c>
      <c r="AW99" s="21">
        <f>EXP(-LN(2)/2)*AW98+(1-EXP(-LN(2)/2))/(LN(2)/2)*AQ99*AT99*VLOOKUP('Données projet'!$B$10,Paramètres!$A$1:$I$89,3,0)*0.475*44/12</f>
        <v>7.1893966987870091E-5</v>
      </c>
      <c r="AX99" s="21">
        <f t="shared" si="60"/>
        <v>29.106672260740197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475.00000000000011</v>
      </c>
      <c r="BE99" s="13">
        <f>BD99*VLOOKUP('Données projet'!$B$11,Paramètres!$A$1:$I$89,3,0)*VLOOKUP('Données projet'!$B$11,Paramètres!$A$1:$I$89,5,0)</f>
        <v>265.52500000000009</v>
      </c>
      <c r="BF99" s="13">
        <f t="shared" si="91"/>
        <v>63.898639547235177</v>
      </c>
      <c r="BG99" s="20">
        <f t="shared" si="61"/>
        <v>573.74617221143478</v>
      </c>
      <c r="BH99" s="59">
        <f t="shared" si="62"/>
        <v>867.07950554476815</v>
      </c>
      <c r="BI99" s="59">
        <f ca="1">AVERAGE(OFFSET($BH$3,0,0,'Données projet'!$E$11+1,1))-AVERAGE(OFFSET($H$3,0,0,'Données projet'!$E$11+1,1))</f>
        <v>342.37397177572871</v>
      </c>
      <c r="BJ99" s="59">
        <f t="shared" si="92"/>
        <v>331.32436050472762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24.276676743746503</v>
      </c>
      <c r="BQ99" s="21">
        <f>EXP(-LN(2)/25)*BQ98+(1-EXP(-LN(2)/25))/(LN(2)/25)*Calculateur!BL99*Calculateur!BN99*VLOOKUP('Données projet'!$B$11,Paramètres!$A$1:$I$89,3,0)*0.475*44/12</f>
        <v>24.717295256198835</v>
      </c>
      <c r="BR99" s="21">
        <f>EXP(-LN(2)/2)*BR98+(1-EXP(-LN(2)/2))/(LN(2)/2)*BL99*BO99*VLOOKUP('Données projet'!$B$11,Paramètres!$A$1:$I$89,3,0)*0.475*44/12</f>
        <v>5.1436971147904612E-4</v>
      </c>
      <c r="BS99" s="22">
        <f t="shared" si="63"/>
        <v>48.994486369656819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253.79640000000001</v>
      </c>
      <c r="CA99" s="13">
        <f t="shared" si="93"/>
        <v>61.39816832228076</v>
      </c>
      <c r="CB99" s="20">
        <f t="shared" si="64"/>
        <v>548.96387316130563</v>
      </c>
      <c r="CC99" s="59">
        <f t="shared" si="65"/>
        <v>842.29720649463889</v>
      </c>
      <c r="CD99" s="59">
        <f ca="1">AVERAGE(OFFSET($CC$3,0,0,'Données projet'!$E$12+1,1))-AVERAGE(OFFSET($H$3,0,0,'Données projet'!$E$12+1,1))</f>
        <v>353.37479213497227</v>
      </c>
      <c r="CE99" s="59">
        <f t="shared" si="94"/>
        <v>345.4750813433123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29.79543869113607</v>
      </c>
      <c r="CL99" s="21">
        <f>EXP(-LN(2)/25)*CL98+(1-EXP(-LN(2)/25))/(LN(2)/25)*Calculateur!CG99*Calculateur!CI99*VLOOKUP('Données projet'!$B$12,Paramètres!$A$1:$I$89,3,0)*0.475*44/12</f>
        <v>1.6406808380435181</v>
      </c>
      <c r="CM99" s="21">
        <f>EXP(-LN(2)/2)*CM98+(1-EXP(-LN(2)/2))/(LN(2)/2)*CG99*CJ99*VLOOKUP('Données projet'!$B$12,Paramètres!$A$1:$I$89,3,0)*0.475*44/12</f>
        <v>2.395677166412296E-3</v>
      </c>
      <c r="CN99" s="22">
        <f t="shared" si="66"/>
        <v>31.438515206346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277.99999999999994</v>
      </c>
      <c r="O100" s="13">
        <f>N100*VLOOKUP('Données projet'!$B$9,Paramètres!$A$1:$I$89,3,0)*VLOOKUP('Données projet'!$B$9,Paramètres!$A$1:$I$89,5,0)</f>
        <v>173.47199999999998</v>
      </c>
      <c r="P100" s="13">
        <f t="shared" si="87"/>
        <v>43.866718728383574</v>
      </c>
      <c r="Q100" s="20">
        <f t="shared" si="107"/>
        <v>378.53160178526804</v>
      </c>
      <c r="R100" s="59">
        <f t="shared" si="55"/>
        <v>671.86493511860135</v>
      </c>
      <c r="S100" s="59">
        <f ca="1">AVERAGE(OFFSET($R$3,0,0,'Données projet'!$E$9+1,1))-AVERAGE(OFFSET($H$3,0,0,'Données projet'!$E$9+1,1))</f>
        <v>232.56424130731699</v>
      </c>
      <c r="T100" s="59">
        <f t="shared" si="88"/>
        <v>384.58890620364178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8.4388987689828117</v>
      </c>
      <c r="AA100" s="21">
        <f>EXP(-LN(2)/25)*AA99+(1-EXP(-LN(2)/25))/(LN(2)/25)*Calculateur!V100*Calculateur!X100*VLOOKUP('Données projet'!$B$9,Paramètres!$A$1:$I$89,3,0)*0.475*44/12</f>
        <v>12.466176447842416</v>
      </c>
      <c r="AB100" s="21">
        <f>EXP(-LN(2)/2)*AB99+(1-EXP(-LN(2)/2))/(LN(2)/2)*V100*Y100*VLOOKUP('Données projet'!$B$9,Paramètres!$A$1:$I$89,3,0)*0.475*44/12</f>
        <v>8.1365010360954836E-9</v>
      </c>
      <c r="AC100" s="22">
        <f t="shared" si="57"/>
        <v>20.905075224961728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415.99999999999955</v>
      </c>
      <c r="AJ100" s="13">
        <f>AI100*VLOOKUP('Données projet'!$B$10,Paramètres!$A$1:$I$89,3,0)*VLOOKUP('Données projet'!$B$10,Paramètres!$A$1:$I$89,5,0)</f>
        <v>248.76799999999972</v>
      </c>
      <c r="AK100" s="13">
        <f t="shared" si="89"/>
        <v>60.32205079116369</v>
      </c>
      <c r="AL100" s="20">
        <f t="shared" si="58"/>
        <v>538.33183846127633</v>
      </c>
      <c r="AM100" s="59">
        <f t="shared" si="59"/>
        <v>831.66517179460971</v>
      </c>
      <c r="AN100" s="59">
        <f ca="1">AVERAGE(OFFSET($AM$3,0,0,'Données projet'!$E$10+1,1))-AVERAGE(OFFSET($H$3,0,0,'Données projet'!$E$10+1,1))</f>
        <v>279.39350157328471</v>
      </c>
      <c r="AO100" s="59">
        <f t="shared" si="90"/>
        <v>261.55559683031657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15.183013533735345</v>
      </c>
      <c r="AV100" s="21">
        <f>EXP(-LN(2)/25)*AV99+(1-EXP(-LN(2)/25))/(LN(2)/25)*Calculateur!AQ100*Calculateur!AS100*VLOOKUP('Données projet'!$B$10,Paramètres!$A$1:$I$89,3,0)*0.475*44/12</f>
        <v>13.247465186610663</v>
      </c>
      <c r="AW100" s="21">
        <f>EXP(-LN(2)/2)*AW99+(1-EXP(-LN(2)/2))/(LN(2)/2)*AQ100*AT100*VLOOKUP('Données projet'!$B$10,Paramètres!$A$1:$I$89,3,0)*0.475*44/12</f>
        <v>5.0836711583524728E-5</v>
      </c>
      <c r="AX100" s="21">
        <f t="shared" si="60"/>
        <v>28.430529557057593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475.00000000000011</v>
      </c>
      <c r="BE100" s="13">
        <f>BD100*VLOOKUP('Données projet'!$B$11,Paramètres!$A$1:$I$89,3,0)*VLOOKUP('Données projet'!$B$11,Paramètres!$A$1:$I$89,5,0)</f>
        <v>265.52500000000009</v>
      </c>
      <c r="BF100" s="13">
        <f t="shared" si="91"/>
        <v>63.898639547235177</v>
      </c>
      <c r="BG100" s="20">
        <f t="shared" si="61"/>
        <v>573.74617221143478</v>
      </c>
      <c r="BH100" s="59">
        <f t="shared" si="62"/>
        <v>867.07950554476815</v>
      </c>
      <c r="BI100" s="59">
        <f ca="1">AVERAGE(OFFSET($BH$3,0,0,'Données projet'!$E$11+1,1))-AVERAGE(OFFSET($H$3,0,0,'Données projet'!$E$11+1,1))</f>
        <v>342.37397177572871</v>
      </c>
      <c r="BJ100" s="59">
        <f t="shared" si="92"/>
        <v>331.32436050472762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23.800625920112346</v>
      </c>
      <c r="BQ100" s="21">
        <f>EXP(-LN(2)/25)*BQ99+(1-EXP(-LN(2)/25))/(LN(2)/25)*Calculateur!BL100*Calculateur!BN100*VLOOKUP('Données projet'!$B$11,Paramètres!$A$1:$I$89,3,0)*0.475*44/12</f>
        <v>24.041399517592012</v>
      </c>
      <c r="BR100" s="21">
        <f>EXP(-LN(2)/2)*BR99+(1-EXP(-LN(2)/2))/(LN(2)/2)*BL100*BO100*VLOOKUP('Données projet'!$B$11,Paramètres!$A$1:$I$89,3,0)*0.475*44/12</f>
        <v>3.6371431102380145E-4</v>
      </c>
      <c r="BS100" s="22">
        <f t="shared" si="63"/>
        <v>47.842389152015379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253.79640000000001</v>
      </c>
      <c r="CA100" s="13">
        <f t="shared" si="93"/>
        <v>61.39816832228076</v>
      </c>
      <c r="CB100" s="20">
        <f t="shared" si="64"/>
        <v>548.96387316130563</v>
      </c>
      <c r="CC100" s="59">
        <f t="shared" si="65"/>
        <v>842.29720649463889</v>
      </c>
      <c r="CD100" s="59">
        <f ca="1">AVERAGE(OFFSET($CC$3,0,0,'Données projet'!$E$12+1,1))-AVERAGE(OFFSET($H$3,0,0,'Données projet'!$E$12+1,1))</f>
        <v>353.37479213497227</v>
      </c>
      <c r="CE100" s="59">
        <f t="shared" si="94"/>
        <v>345.4750813433123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29.211168311826018</v>
      </c>
      <c r="CL100" s="21">
        <f>EXP(-LN(2)/25)*CL99+(1-EXP(-LN(2)/25))/(LN(2)/25)*Calculateur!CG100*Calculateur!CI100*VLOOKUP('Données projet'!$B$12,Paramètres!$A$1:$I$89,3,0)*0.475*44/12</f>
        <v>1.5958163342475626</v>
      </c>
      <c r="CM100" s="21">
        <f>EXP(-LN(2)/2)*CM99+(1-EXP(-LN(2)/2))/(LN(2)/2)*CG100*CJ100*VLOOKUP('Données projet'!$B$12,Paramètres!$A$1:$I$89,3,0)*0.475*44/12</f>
        <v>1.6939995699039078E-3</v>
      </c>
      <c r="CN100" s="22">
        <f t="shared" si="66"/>
        <v>30.808678645643486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277.99999999999994</v>
      </c>
      <c r="O101" s="13">
        <f>N101*VLOOKUP('Données projet'!$B$9,Paramètres!$A$1:$I$89,3,0)*VLOOKUP('Données projet'!$B$9,Paramètres!$A$1:$I$89,5,0)</f>
        <v>173.47199999999998</v>
      </c>
      <c r="P101" s="13">
        <f t="shared" si="87"/>
        <v>43.866718728383574</v>
      </c>
      <c r="Q101" s="20">
        <f t="shared" si="107"/>
        <v>378.53160178526804</v>
      </c>
      <c r="R101" s="59">
        <f t="shared" si="55"/>
        <v>671.86493511860135</v>
      </c>
      <c r="S101" s="59">
        <f ca="1">AVERAGE(OFFSET($R$3,0,0,'Données projet'!$E$9+1,1))-AVERAGE(OFFSET($H$3,0,0,'Données projet'!$E$9+1,1))</f>
        <v>232.56424130731699</v>
      </c>
      <c r="T101" s="59">
        <f t="shared" si="88"/>
        <v>384.58890620364178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8.2734171113430612</v>
      </c>
      <c r="AA101" s="21">
        <f>EXP(-LN(2)/25)*AA100+(1-EXP(-LN(2)/25))/(LN(2)/25)*Calculateur!V101*Calculateur!X101*VLOOKUP('Données projet'!$B$9,Paramètres!$A$1:$I$89,3,0)*0.475*44/12</f>
        <v>12.125288197308437</v>
      </c>
      <c r="AB101" s="21">
        <f>EXP(-LN(2)/2)*AB100+(1-EXP(-LN(2)/2))/(LN(2)/2)*V101*Y101*VLOOKUP('Données projet'!$B$9,Paramètres!$A$1:$I$89,3,0)*0.475*44/12</f>
        <v>5.7533750577544865E-9</v>
      </c>
      <c r="AC101" s="22">
        <f t="shared" si="57"/>
        <v>20.398705314404875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415.99999999999955</v>
      </c>
      <c r="AJ101" s="13">
        <f>AI101*VLOOKUP('Données projet'!$B$10,Paramètres!$A$1:$I$89,3,0)*VLOOKUP('Données projet'!$B$10,Paramètres!$A$1:$I$89,5,0)</f>
        <v>248.76799999999972</v>
      </c>
      <c r="AK101" s="13">
        <f t="shared" si="89"/>
        <v>60.32205079116369</v>
      </c>
      <c r="AL101" s="20">
        <f t="shared" si="58"/>
        <v>538.33183846127633</v>
      </c>
      <c r="AM101" s="59">
        <f t="shared" si="59"/>
        <v>831.66517179460971</v>
      </c>
      <c r="AN101" s="59">
        <f ca="1">AVERAGE(OFFSET($AM$3,0,0,'Données projet'!$E$10+1,1))-AVERAGE(OFFSET($H$3,0,0,'Données projet'!$E$10+1,1))</f>
        <v>279.39350157328471</v>
      </c>
      <c r="AO101" s="59">
        <f t="shared" si="90"/>
        <v>261.55559683031657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14.88528389906263</v>
      </c>
      <c r="AV101" s="21">
        <f>EXP(-LN(2)/25)*AV100+(1-EXP(-LN(2)/25))/(LN(2)/25)*Calculateur!AQ101*Calculateur!AS101*VLOOKUP('Données projet'!$B$10,Paramètres!$A$1:$I$89,3,0)*0.475*44/12</f>
        <v>12.885212554428877</v>
      </c>
      <c r="AW101" s="21">
        <f>EXP(-LN(2)/2)*AW100+(1-EXP(-LN(2)/2))/(LN(2)/2)*AQ101*AT101*VLOOKUP('Données projet'!$B$10,Paramètres!$A$1:$I$89,3,0)*0.475*44/12</f>
        <v>3.5946983493935046E-5</v>
      </c>
      <c r="AX101" s="21">
        <f t="shared" si="60"/>
        <v>27.770532400475002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475.00000000000011</v>
      </c>
      <c r="BE101" s="13">
        <f>BD101*VLOOKUP('Données projet'!$B$11,Paramètres!$A$1:$I$89,3,0)*VLOOKUP('Données projet'!$B$11,Paramètres!$A$1:$I$89,5,0)</f>
        <v>265.52500000000009</v>
      </c>
      <c r="BF101" s="13">
        <f t="shared" si="91"/>
        <v>63.898639547235177</v>
      </c>
      <c r="BG101" s="20">
        <f t="shared" si="61"/>
        <v>573.74617221143478</v>
      </c>
      <c r="BH101" s="59">
        <f t="shared" si="62"/>
        <v>867.07950554476815</v>
      </c>
      <c r="BI101" s="59">
        <f ca="1">AVERAGE(OFFSET($BH$3,0,0,'Données projet'!$E$11+1,1))-AVERAGE(OFFSET($H$3,0,0,'Données projet'!$E$11+1,1))</f>
        <v>342.37397177572871</v>
      </c>
      <c r="BJ101" s="59">
        <f t="shared" si="92"/>
        <v>331.32436050472762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23.333910162767324</v>
      </c>
      <c r="BQ101" s="21">
        <f>EXP(-LN(2)/25)*BQ100+(1-EXP(-LN(2)/25))/(LN(2)/25)*Calculateur!BL101*Calculateur!BN101*VLOOKUP('Données projet'!$B$11,Paramètres!$A$1:$I$89,3,0)*0.475*44/12</f>
        <v>23.383986183501204</v>
      </c>
      <c r="BR101" s="21">
        <f>EXP(-LN(2)/2)*BR100+(1-EXP(-LN(2)/2))/(LN(2)/2)*BL101*BO101*VLOOKUP('Données projet'!$B$11,Paramètres!$A$1:$I$89,3,0)*0.475*44/12</f>
        <v>2.5718485573952306E-4</v>
      </c>
      <c r="BS101" s="22">
        <f t="shared" si="63"/>
        <v>46.718153531124273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253.79640000000001</v>
      </c>
      <c r="CA101" s="13">
        <f t="shared" si="93"/>
        <v>61.39816832228076</v>
      </c>
      <c r="CB101" s="20">
        <f t="shared" si="64"/>
        <v>548.96387316130563</v>
      </c>
      <c r="CC101" s="59">
        <f t="shared" si="65"/>
        <v>842.29720649463889</v>
      </c>
      <c r="CD101" s="59">
        <f ca="1">AVERAGE(OFFSET($CC$3,0,0,'Données projet'!$E$12+1,1))-AVERAGE(OFFSET($H$3,0,0,'Données projet'!$E$12+1,1))</f>
        <v>353.37479213497227</v>
      </c>
      <c r="CE101" s="59">
        <f t="shared" si="94"/>
        <v>345.4750813433123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28.638355118284494</v>
      </c>
      <c r="CL101" s="21">
        <f>EXP(-LN(2)/25)*CL100+(1-EXP(-LN(2)/25))/(LN(2)/25)*Calculateur!CG101*Calculateur!CI101*VLOOKUP('Données projet'!$B$12,Paramètres!$A$1:$I$89,3,0)*0.475*44/12</f>
        <v>1.5521786526672292</v>
      </c>
      <c r="CM101" s="21">
        <f>EXP(-LN(2)/2)*CM100+(1-EXP(-LN(2)/2))/(LN(2)/2)*CG101*CJ101*VLOOKUP('Données projet'!$B$12,Paramètres!$A$1:$I$89,3,0)*0.475*44/12</f>
        <v>1.1978385832061482E-3</v>
      </c>
      <c r="CN101" s="22">
        <f t="shared" si="66"/>
        <v>30.19173160953493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277.99999999999994</v>
      </c>
      <c r="O102" s="13">
        <f>N102*VLOOKUP('Données projet'!$B$9,Paramètres!$A$1:$I$89,3,0)*VLOOKUP('Données projet'!$B$9,Paramètres!$A$1:$I$89,5,0)</f>
        <v>173.47199999999998</v>
      </c>
      <c r="P102" s="13">
        <f t="shared" si="87"/>
        <v>43.866718728383574</v>
      </c>
      <c r="Q102" s="20">
        <f t="shared" si="107"/>
        <v>378.53160178526804</v>
      </c>
      <c r="R102" s="59">
        <f t="shared" si="55"/>
        <v>671.86493511860135</v>
      </c>
      <c r="S102" s="59">
        <f ca="1">AVERAGE(OFFSET($R$3,0,0,'Données projet'!$E$9+1,1))-AVERAGE(OFFSET($H$3,0,0,'Données projet'!$E$9+1,1))</f>
        <v>232.56424130731699</v>
      </c>
      <c r="T102" s="59">
        <f t="shared" si="88"/>
        <v>384.58890620364178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8.1111804480757819</v>
      </c>
      <c r="AA102" s="21">
        <f>EXP(-LN(2)/25)*AA101+(1-EXP(-LN(2)/25))/(LN(2)/25)*Calculateur!V102*Calculateur!X102*VLOOKUP('Données projet'!$B$9,Paramètres!$A$1:$I$89,3,0)*0.475*44/12</f>
        <v>11.793721553911844</v>
      </c>
      <c r="AB102" s="21">
        <f>EXP(-LN(2)/2)*AB101+(1-EXP(-LN(2)/2))/(LN(2)/2)*V102*Y102*VLOOKUP('Données projet'!$B$9,Paramètres!$A$1:$I$89,3,0)*0.475*44/12</f>
        <v>4.0682505180477418E-9</v>
      </c>
      <c r="AC102" s="22">
        <f t="shared" si="57"/>
        <v>19.904902006055877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415.99999999999955</v>
      </c>
      <c r="AJ102" s="13">
        <f>AI102*VLOOKUP('Données projet'!$B$10,Paramètres!$A$1:$I$89,3,0)*VLOOKUP('Données projet'!$B$10,Paramètres!$A$1:$I$89,5,0)</f>
        <v>248.76799999999972</v>
      </c>
      <c r="AK102" s="13">
        <f t="shared" si="89"/>
        <v>60.32205079116369</v>
      </c>
      <c r="AL102" s="20">
        <f t="shared" si="58"/>
        <v>538.33183846127633</v>
      </c>
      <c r="AM102" s="59">
        <f t="shared" si="59"/>
        <v>831.66517179460971</v>
      </c>
      <c r="AN102" s="59">
        <f ca="1">AVERAGE(OFFSET($AM$3,0,0,'Données projet'!$E$10+1,1))-AVERAGE(OFFSET($H$3,0,0,'Données projet'!$E$10+1,1))</f>
        <v>279.39350157328471</v>
      </c>
      <c r="AO102" s="59">
        <f t="shared" si="90"/>
        <v>261.55559683031657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14.593392560928701</v>
      </c>
      <c r="AV102" s="21">
        <f>EXP(-LN(2)/25)*AV101+(1-EXP(-LN(2)/25))/(LN(2)/25)*Calculateur!AQ102*Calculateur!AS102*VLOOKUP('Données projet'!$B$10,Paramètres!$A$1:$I$89,3,0)*0.475*44/12</f>
        <v>12.532865739524141</v>
      </c>
      <c r="AW102" s="21">
        <f>EXP(-LN(2)/2)*AW101+(1-EXP(-LN(2)/2))/(LN(2)/2)*AQ102*AT102*VLOOKUP('Données projet'!$B$10,Paramètres!$A$1:$I$89,3,0)*0.475*44/12</f>
        <v>2.5418355791762364E-5</v>
      </c>
      <c r="AX102" s="21">
        <f t="shared" si="60"/>
        <v>27.126283718808633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475.00000000000011</v>
      </c>
      <c r="BE102" s="13">
        <f>BD102*VLOOKUP('Données projet'!$B$11,Paramètres!$A$1:$I$89,3,0)*VLOOKUP('Données projet'!$B$11,Paramètres!$A$1:$I$89,5,0)</f>
        <v>265.52500000000009</v>
      </c>
      <c r="BF102" s="13">
        <f t="shared" si="91"/>
        <v>63.898639547235177</v>
      </c>
      <c r="BG102" s="20">
        <f t="shared" si="61"/>
        <v>573.74617221143478</v>
      </c>
      <c r="BH102" s="59">
        <f t="shared" si="62"/>
        <v>867.07950554476815</v>
      </c>
      <c r="BI102" s="59">
        <f ca="1">AVERAGE(OFFSET($BH$3,0,0,'Données projet'!$E$11+1,1))-AVERAGE(OFFSET($H$3,0,0,'Données projet'!$E$11+1,1))</f>
        <v>342.37397177572871</v>
      </c>
      <c r="BJ102" s="59">
        <f t="shared" si="92"/>
        <v>331.32436050472762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22.876346416755336</v>
      </c>
      <c r="BQ102" s="21">
        <f>EXP(-LN(2)/25)*BQ101+(1-EXP(-LN(2)/25))/(LN(2)/25)*Calculateur!BL102*Calculateur!BN102*VLOOKUP('Données projet'!$B$11,Paramètres!$A$1:$I$89,3,0)*0.475*44/12</f>
        <v>22.744549851602976</v>
      </c>
      <c r="BR102" s="21">
        <f>EXP(-LN(2)/2)*BR101+(1-EXP(-LN(2)/2))/(LN(2)/2)*BL102*BO102*VLOOKUP('Données projet'!$B$11,Paramètres!$A$1:$I$89,3,0)*0.475*44/12</f>
        <v>1.8185715551190072E-4</v>
      </c>
      <c r="BS102" s="22">
        <f t="shared" si="63"/>
        <v>45.621078125513819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253.79640000000001</v>
      </c>
      <c r="CA102" s="13">
        <f t="shared" si="93"/>
        <v>61.39816832228076</v>
      </c>
      <c r="CB102" s="20">
        <f t="shared" si="64"/>
        <v>548.96387316130563</v>
      </c>
      <c r="CC102" s="59">
        <f t="shared" si="65"/>
        <v>842.29720649463889</v>
      </c>
      <c r="CD102" s="59">
        <f ca="1">AVERAGE(OFFSET($CC$3,0,0,'Données projet'!$E$12+1,1))-AVERAGE(OFFSET($H$3,0,0,'Données projet'!$E$12+1,1))</f>
        <v>353.37479213497227</v>
      </c>
      <c r="CE102" s="59">
        <f t="shared" si="94"/>
        <v>345.4750813433123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28.076774442086769</v>
      </c>
      <c r="CL102" s="21">
        <f>EXP(-LN(2)/25)*CL101+(1-EXP(-LN(2)/25))/(LN(2)/25)*Calculateur!CG102*Calculateur!CI102*VLOOKUP('Données projet'!$B$12,Paramètres!$A$1:$I$89,3,0)*0.475*44/12</f>
        <v>1.509734245784516</v>
      </c>
      <c r="CM102" s="21">
        <f>EXP(-LN(2)/2)*CM101+(1-EXP(-LN(2)/2))/(LN(2)/2)*CG102*CJ102*VLOOKUP('Données projet'!$B$12,Paramètres!$A$1:$I$89,3,0)*0.475*44/12</f>
        <v>8.4699978495195399E-4</v>
      </c>
      <c r="CN102" s="22">
        <f t="shared" si="66"/>
        <v>29.587355687656235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277.99999999999994</v>
      </c>
      <c r="O103" s="13">
        <f>N103*VLOOKUP('Données projet'!$B$9,Paramètres!$A$1:$I$89,3,0)*VLOOKUP('Données projet'!$B$9,Paramètres!$A$1:$I$89,5,0)</f>
        <v>173.47199999999998</v>
      </c>
      <c r="P103" s="13">
        <f t="shared" si="87"/>
        <v>43.866718728383574</v>
      </c>
      <c r="Q103" s="20">
        <f t="shared" si="107"/>
        <v>378.53160178526804</v>
      </c>
      <c r="R103" s="59">
        <f t="shared" si="55"/>
        <v>671.86493511860135</v>
      </c>
      <c r="S103" s="59">
        <f ca="1">AVERAGE(OFFSET($R$3,0,0,'Données projet'!$E$9+1,1))-AVERAGE(OFFSET($H$3,0,0,'Données projet'!$E$9+1,1))</f>
        <v>232.56424130731699</v>
      </c>
      <c r="T103" s="59">
        <f t="shared" si="88"/>
        <v>384.58890620364178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7.9521251468205811</v>
      </c>
      <c r="AA103" s="21">
        <f>EXP(-LN(2)/25)*AA102+(1-EXP(-LN(2)/25))/(LN(2)/25)*Calculateur!V103*Calculateur!X103*VLOOKUP('Données projet'!$B$9,Paramètres!$A$1:$I$89,3,0)*0.475*44/12</f>
        <v>11.471221617815264</v>
      </c>
      <c r="AB103" s="21">
        <f>EXP(-LN(2)/2)*AB102+(1-EXP(-LN(2)/2))/(LN(2)/2)*V103*Y103*VLOOKUP('Données projet'!$B$9,Paramètres!$A$1:$I$89,3,0)*0.475*44/12</f>
        <v>2.8766875288772432E-9</v>
      </c>
      <c r="AC103" s="22">
        <f t="shared" si="57"/>
        <v>19.423346767512534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415.99999999999955</v>
      </c>
      <c r="AJ103" s="13">
        <f>AI103*VLOOKUP('Données projet'!$B$10,Paramètres!$A$1:$I$89,3,0)*VLOOKUP('Données projet'!$B$10,Paramètres!$A$1:$I$89,5,0)</f>
        <v>248.76799999999972</v>
      </c>
      <c r="AK103" s="13">
        <f t="shared" si="89"/>
        <v>60.32205079116369</v>
      </c>
      <c r="AL103" s="20">
        <f t="shared" si="58"/>
        <v>538.33183846127633</v>
      </c>
      <c r="AM103" s="59">
        <f t="shared" si="59"/>
        <v>831.66517179460971</v>
      </c>
      <c r="AN103" s="59">
        <f ca="1">AVERAGE(OFFSET($AM$3,0,0,'Données projet'!$E$10+1,1))-AVERAGE(OFFSET($H$3,0,0,'Données projet'!$E$10+1,1))</f>
        <v>279.39350157328471</v>
      </c>
      <c r="AO103" s="59">
        <f t="shared" si="90"/>
        <v>261.55559683031657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14.30722503389944</v>
      </c>
      <c r="AV103" s="21">
        <f>EXP(-LN(2)/25)*AV102+(1-EXP(-LN(2)/25))/(LN(2)/25)*Calculateur!AQ103*Calculateur!AS103*VLOOKUP('Données projet'!$B$10,Paramètres!$A$1:$I$89,3,0)*0.475*44/12</f>
        <v>12.190153866802088</v>
      </c>
      <c r="AW103" s="21">
        <f>EXP(-LN(2)/2)*AW102+(1-EXP(-LN(2)/2))/(LN(2)/2)*AQ103*AT103*VLOOKUP('Données projet'!$B$10,Paramètres!$A$1:$I$89,3,0)*0.475*44/12</f>
        <v>1.7973491746967523E-5</v>
      </c>
      <c r="AX103" s="21">
        <f t="shared" si="60"/>
        <v>26.497396874193274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475.00000000000011</v>
      </c>
      <c r="BE103" s="13">
        <f>BD103*VLOOKUP('Données projet'!$B$11,Paramètres!$A$1:$I$89,3,0)*VLOOKUP('Données projet'!$B$11,Paramètres!$A$1:$I$89,5,0)</f>
        <v>265.52500000000009</v>
      </c>
      <c r="BF103" s="13">
        <f t="shared" si="91"/>
        <v>63.898639547235177</v>
      </c>
      <c r="BG103" s="20">
        <f t="shared" si="61"/>
        <v>573.74617221143478</v>
      </c>
      <c r="BH103" s="59">
        <f t="shared" si="62"/>
        <v>867.07950554476815</v>
      </c>
      <c r="BI103" s="59">
        <f ca="1">AVERAGE(OFFSET($BH$3,0,0,'Données projet'!$E$11+1,1))-AVERAGE(OFFSET($H$3,0,0,'Données projet'!$E$11+1,1))</f>
        <v>342.37397177572871</v>
      </c>
      <c r="BJ103" s="59">
        <f t="shared" si="92"/>
        <v>331.32436050472762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22.427755216716314</v>
      </c>
      <c r="BQ103" s="21">
        <f>EXP(-LN(2)/25)*BQ102+(1-EXP(-LN(2)/25))/(LN(2)/25)*Calculateur!BL103*Calculateur!BN103*VLOOKUP('Données projet'!$B$11,Paramètres!$A$1:$I$89,3,0)*0.475*44/12</f>
        <v>22.122598939827</v>
      </c>
      <c r="BR103" s="21">
        <f>EXP(-LN(2)/2)*BR102+(1-EXP(-LN(2)/2))/(LN(2)/2)*BL103*BO103*VLOOKUP('Données projet'!$B$11,Paramètres!$A$1:$I$89,3,0)*0.475*44/12</f>
        <v>1.2859242786976153E-4</v>
      </c>
      <c r="BS103" s="22">
        <f t="shared" si="63"/>
        <v>44.550482748971184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253.79640000000001</v>
      </c>
      <c r="CA103" s="13">
        <f t="shared" si="93"/>
        <v>61.39816832228076</v>
      </c>
      <c r="CB103" s="20">
        <f t="shared" si="64"/>
        <v>548.96387316130563</v>
      </c>
      <c r="CC103" s="59">
        <f t="shared" si="65"/>
        <v>842.29720649463889</v>
      </c>
      <c r="CD103" s="59">
        <f ca="1">AVERAGE(OFFSET($CC$3,0,0,'Données projet'!$E$12+1,1))-AVERAGE(OFFSET($H$3,0,0,'Données projet'!$E$12+1,1))</f>
        <v>353.37479213497227</v>
      </c>
      <c r="CE103" s="59">
        <f t="shared" si="94"/>
        <v>345.4750813433123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27.52620602041889</v>
      </c>
      <c r="CL103" s="21">
        <f>EXP(-LN(2)/25)*CL102+(1-EXP(-LN(2)/25))/(LN(2)/25)*Calculateur!CG103*Calculateur!CI103*VLOOKUP('Données projet'!$B$12,Paramètres!$A$1:$I$89,3,0)*0.475*44/12</f>
        <v>1.4684504834400649</v>
      </c>
      <c r="CM103" s="21">
        <f>EXP(-LN(2)/2)*CM102+(1-EXP(-LN(2)/2))/(LN(2)/2)*CG103*CJ103*VLOOKUP('Données projet'!$B$12,Paramètres!$A$1:$I$89,3,0)*0.475*44/12</f>
        <v>5.9891929160307421E-4</v>
      </c>
      <c r="CN103" s="22">
        <f t="shared" si="66"/>
        <v>28.99525542315056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277.99999999999994</v>
      </c>
      <c r="O104" s="13">
        <f>N104*VLOOKUP('Données projet'!$B$9,Paramètres!$A$1:$I$89,3,0)*VLOOKUP('Données projet'!$B$9,Paramètres!$A$1:$I$89,5,0)</f>
        <v>173.47199999999998</v>
      </c>
      <c r="P104" s="13">
        <f t="shared" si="87"/>
        <v>43.866718728383574</v>
      </c>
      <c r="Q104" s="20">
        <f t="shared" si="107"/>
        <v>378.53160178526804</v>
      </c>
      <c r="R104" s="59">
        <f t="shared" si="55"/>
        <v>671.86493511860135</v>
      </c>
      <c r="S104" s="59">
        <f ca="1">AVERAGE(OFFSET($R$3,0,0,'Données projet'!$E$9+1,1))-AVERAGE(OFFSET($H$3,0,0,'Données projet'!$E$9+1,1))</f>
        <v>232.56424130731699</v>
      </c>
      <c r="T104" s="59">
        <f t="shared" si="88"/>
        <v>384.58890620364178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7.7961888230088396</v>
      </c>
      <c r="AA104" s="21">
        <f>EXP(-LN(2)/25)*AA103+(1-EXP(-LN(2)/25))/(LN(2)/25)*Calculateur!V104*Calculateur!X104*VLOOKUP('Données projet'!$B$9,Paramètres!$A$1:$I$89,3,0)*0.475*44/12</f>
        <v>11.157540459430779</v>
      </c>
      <c r="AB104" s="21">
        <f>EXP(-LN(2)/2)*AB103+(1-EXP(-LN(2)/2))/(LN(2)/2)*V104*Y104*VLOOKUP('Données projet'!$B$9,Paramètres!$A$1:$I$89,3,0)*0.475*44/12</f>
        <v>2.0341252590238709E-9</v>
      </c>
      <c r="AC104" s="22">
        <f t="shared" si="57"/>
        <v>18.953729284473742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415.99999999999955</v>
      </c>
      <c r="AJ104" s="13">
        <f>AI104*VLOOKUP('Données projet'!$B$10,Paramètres!$A$1:$I$89,3,0)*VLOOKUP('Données projet'!$B$10,Paramètres!$A$1:$I$89,5,0)</f>
        <v>248.76799999999972</v>
      </c>
      <c r="AK104" s="13">
        <f t="shared" si="89"/>
        <v>60.32205079116369</v>
      </c>
      <c r="AL104" s="20">
        <f t="shared" si="58"/>
        <v>538.33183846127633</v>
      </c>
      <c r="AM104" s="59">
        <f t="shared" si="59"/>
        <v>831.66517179460971</v>
      </c>
      <c r="AN104" s="59">
        <f ca="1">AVERAGE(OFFSET($AM$3,0,0,'Données projet'!$E$10+1,1))-AVERAGE(OFFSET($H$3,0,0,'Données projet'!$E$10+1,1))</f>
        <v>279.39350157328471</v>
      </c>
      <c r="AO104" s="59">
        <f t="shared" si="90"/>
        <v>261.55559683031657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14.026669077530268</v>
      </c>
      <c r="AV104" s="21">
        <f>EXP(-LN(2)/25)*AV103+(1-EXP(-LN(2)/25))/(LN(2)/25)*Calculateur!AQ104*Calculateur!AS104*VLOOKUP('Données projet'!$B$10,Paramètres!$A$1:$I$89,3,0)*0.475*44/12</f>
        <v>11.856813468262054</v>
      </c>
      <c r="AW104" s="21">
        <f>EXP(-LN(2)/2)*AW103+(1-EXP(-LN(2)/2))/(LN(2)/2)*AQ104*AT104*VLOOKUP('Données projet'!$B$10,Paramètres!$A$1:$I$89,3,0)*0.475*44/12</f>
        <v>1.2709177895881182E-5</v>
      </c>
      <c r="AX104" s="21">
        <f t="shared" si="60"/>
        <v>25.883495254970217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475.00000000000011</v>
      </c>
      <c r="BE104" s="13">
        <f>BD104*VLOOKUP('Données projet'!$B$11,Paramètres!$A$1:$I$89,3,0)*VLOOKUP('Données projet'!$B$11,Paramètres!$A$1:$I$89,5,0)</f>
        <v>265.52500000000009</v>
      </c>
      <c r="BF104" s="13">
        <f t="shared" si="91"/>
        <v>63.898639547235177</v>
      </c>
      <c r="BG104" s="20">
        <f t="shared" si="61"/>
        <v>573.74617221143478</v>
      </c>
      <c r="BH104" s="59">
        <f t="shared" si="62"/>
        <v>867.07950554476815</v>
      </c>
      <c r="BI104" s="59">
        <f ca="1">AVERAGE(OFFSET($BH$3,0,0,'Données projet'!$E$11+1,1))-AVERAGE(OFFSET($H$3,0,0,'Données projet'!$E$11+1,1))</f>
        <v>342.37397177572871</v>
      </c>
      <c r="BJ104" s="59">
        <f t="shared" si="92"/>
        <v>331.32436050472762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21.987960616496444</v>
      </c>
      <c r="BQ104" s="21">
        <f>EXP(-LN(2)/25)*BQ103+(1-EXP(-LN(2)/25))/(LN(2)/25)*Calculateur!BL104*Calculateur!BN104*VLOOKUP('Données projet'!$B$11,Paramètres!$A$1:$I$89,3,0)*0.475*44/12</f>
        <v>21.517655308440514</v>
      </c>
      <c r="BR104" s="21">
        <f>EXP(-LN(2)/2)*BR103+(1-EXP(-LN(2)/2))/(LN(2)/2)*BL104*BO104*VLOOKUP('Données projet'!$B$11,Paramètres!$A$1:$I$89,3,0)*0.475*44/12</f>
        <v>9.0928577755950362E-5</v>
      </c>
      <c r="BS104" s="22">
        <f t="shared" si="63"/>
        <v>43.505706853514717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253.79640000000001</v>
      </c>
      <c r="CA104" s="13">
        <f t="shared" si="93"/>
        <v>61.39816832228076</v>
      </c>
      <c r="CB104" s="20">
        <f t="shared" si="64"/>
        <v>548.96387316130563</v>
      </c>
      <c r="CC104" s="59">
        <f t="shared" si="65"/>
        <v>842.29720649463889</v>
      </c>
      <c r="CD104" s="59">
        <f ca="1">AVERAGE(OFFSET($CC$3,0,0,'Données projet'!$E$12+1,1))-AVERAGE(OFFSET($H$3,0,0,'Données projet'!$E$12+1,1))</f>
        <v>353.37479213497227</v>
      </c>
      <c r="CE104" s="59">
        <f t="shared" si="94"/>
        <v>345.4750813433123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26.98643390968634</v>
      </c>
      <c r="CL104" s="21">
        <f>EXP(-LN(2)/25)*CL103+(1-EXP(-LN(2)/25))/(LN(2)/25)*Calculateur!CG104*Calculateur!CI104*VLOOKUP('Données projet'!$B$12,Paramètres!$A$1:$I$89,3,0)*0.475*44/12</f>
        <v>1.4282956277479415</v>
      </c>
      <c r="CM104" s="21">
        <f>EXP(-LN(2)/2)*CM103+(1-EXP(-LN(2)/2))/(LN(2)/2)*CG104*CJ104*VLOOKUP('Données projet'!$B$12,Paramètres!$A$1:$I$89,3,0)*0.475*44/12</f>
        <v>4.2349989247597705E-4</v>
      </c>
      <c r="CN104" s="22">
        <f t="shared" si="66"/>
        <v>28.41515303732676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277.99999999999994</v>
      </c>
      <c r="O105" s="13">
        <f>N105*VLOOKUP('Données projet'!$B$9,Paramètres!$A$1:$I$89,3,0)*VLOOKUP('Données projet'!$B$9,Paramètres!$A$1:$I$89,5,0)</f>
        <v>173.47199999999998</v>
      </c>
      <c r="P105" s="13">
        <f t="shared" si="87"/>
        <v>43.866718728383574</v>
      </c>
      <c r="Q105" s="20">
        <f t="shared" si="107"/>
        <v>378.53160178526804</v>
      </c>
      <c r="R105" s="59">
        <f t="shared" si="55"/>
        <v>671.86493511860135</v>
      </c>
      <c r="S105" s="59">
        <f ca="1">AVERAGE(OFFSET($R$3,0,0,'Données projet'!$E$9+1,1))-AVERAGE(OFFSET($H$3,0,0,'Données projet'!$E$9+1,1))</f>
        <v>232.56424130731699</v>
      </c>
      <c r="T105" s="59">
        <f t="shared" si="88"/>
        <v>384.58890620364178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7.6433103153952811</v>
      </c>
      <c r="AA105" s="21">
        <f>EXP(-LN(2)/25)*AA104+(1-EXP(-LN(2)/25))/(LN(2)/25)*Calculateur!V105*Calculateur!X105*VLOOKUP('Données projet'!$B$9,Paramètres!$A$1:$I$89,3,0)*0.475*44/12</f>
        <v>10.852436928818092</v>
      </c>
      <c r="AB105" s="21">
        <f>EXP(-LN(2)/2)*AB104+(1-EXP(-LN(2)/2))/(LN(2)/2)*V105*Y105*VLOOKUP('Données projet'!$B$9,Paramètres!$A$1:$I$89,3,0)*0.475*44/12</f>
        <v>1.4383437644386216E-9</v>
      </c>
      <c r="AC105" s="22">
        <f t="shared" si="57"/>
        <v>18.495747245651717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415.99999999999955</v>
      </c>
      <c r="AJ105" s="13">
        <f>AI105*VLOOKUP('Données projet'!$B$10,Paramètres!$A$1:$I$89,3,0)*VLOOKUP('Données projet'!$B$10,Paramètres!$A$1:$I$89,5,0)</f>
        <v>248.76799999999972</v>
      </c>
      <c r="AK105" s="13">
        <f t="shared" si="89"/>
        <v>60.32205079116369</v>
      </c>
      <c r="AL105" s="20">
        <f t="shared" si="58"/>
        <v>538.33183846127633</v>
      </c>
      <c r="AM105" s="59">
        <f t="shared" si="59"/>
        <v>831.66517179460971</v>
      </c>
      <c r="AN105" s="59">
        <f ca="1">AVERAGE(OFFSET($AM$3,0,0,'Données projet'!$E$10+1,1))-AVERAGE(OFFSET($H$3,0,0,'Données projet'!$E$10+1,1))</f>
        <v>279.39350157328471</v>
      </c>
      <c r="AO105" s="59">
        <f t="shared" si="90"/>
        <v>261.55559683031657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13.751614652343259</v>
      </c>
      <c r="AV105" s="21">
        <f>EXP(-LN(2)/25)*AV104+(1-EXP(-LN(2)/25))/(LN(2)/25)*Calculateur!AQ105*Calculateur!AS105*VLOOKUP('Données projet'!$B$10,Paramètres!$A$1:$I$89,3,0)*0.475*44/12</f>
        <v>11.532588280449707</v>
      </c>
      <c r="AW105" s="21">
        <f>EXP(-LN(2)/2)*AW104+(1-EXP(-LN(2)/2))/(LN(2)/2)*AQ105*AT105*VLOOKUP('Données projet'!$B$10,Paramètres!$A$1:$I$89,3,0)*0.475*44/12</f>
        <v>8.9867458734837614E-6</v>
      </c>
      <c r="AX105" s="21">
        <f t="shared" si="60"/>
        <v>25.284211919538837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475.00000000000011</v>
      </c>
      <c r="BE105" s="13">
        <f>BD105*VLOOKUP('Données projet'!$B$11,Paramètres!$A$1:$I$89,3,0)*VLOOKUP('Données projet'!$B$11,Paramètres!$A$1:$I$89,5,0)</f>
        <v>265.52500000000009</v>
      </c>
      <c r="BF105" s="13">
        <f t="shared" si="91"/>
        <v>63.898639547235177</v>
      </c>
      <c r="BG105" s="20">
        <f t="shared" si="61"/>
        <v>573.74617221143478</v>
      </c>
      <c r="BH105" s="59">
        <f t="shared" si="62"/>
        <v>867.07950554476815</v>
      </c>
      <c r="BI105" s="59">
        <f ca="1">AVERAGE(OFFSET($BH$3,0,0,'Données projet'!$E$11+1,1))-AVERAGE(OFFSET($H$3,0,0,'Données projet'!$E$11+1,1))</f>
        <v>342.37397177572871</v>
      </c>
      <c r="BJ105" s="59">
        <f t="shared" si="92"/>
        <v>331.32436050472762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21.556790120138665</v>
      </c>
      <c r="BQ105" s="21">
        <f>EXP(-LN(2)/25)*BQ104+(1-EXP(-LN(2)/25))/(LN(2)/25)*Calculateur!BL105*Calculateur!BN105*VLOOKUP('Données projet'!$B$11,Paramètres!$A$1:$I$89,3,0)*0.475*44/12</f>
        <v>20.929253892466896</v>
      </c>
      <c r="BR105" s="21">
        <f>EXP(-LN(2)/2)*BR104+(1-EXP(-LN(2)/2))/(LN(2)/2)*BL105*BO105*VLOOKUP('Données projet'!$B$11,Paramètres!$A$1:$I$89,3,0)*0.475*44/12</f>
        <v>6.4296213934880765E-5</v>
      </c>
      <c r="BS105" s="22">
        <f t="shared" si="63"/>
        <v>42.486108308819496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253.79640000000001</v>
      </c>
      <c r="CA105" s="13">
        <f t="shared" si="93"/>
        <v>61.39816832228076</v>
      </c>
      <c r="CB105" s="20">
        <f t="shared" si="64"/>
        <v>548.96387316130563</v>
      </c>
      <c r="CC105" s="59">
        <f t="shared" si="65"/>
        <v>842.29720649463889</v>
      </c>
      <c r="CD105" s="59">
        <f ca="1">AVERAGE(OFFSET($CC$3,0,0,'Données projet'!$E$12+1,1))-AVERAGE(OFFSET($H$3,0,0,'Données projet'!$E$12+1,1))</f>
        <v>353.37479213497227</v>
      </c>
      <c r="CE105" s="59">
        <f t="shared" si="94"/>
        <v>345.4750813433123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26.457246400816775</v>
      </c>
      <c r="CL105" s="21">
        <f>EXP(-LN(2)/25)*CL104+(1-EXP(-LN(2)/25))/(LN(2)/25)*Calculateur!CG105*Calculateur!CI105*VLOOKUP('Données projet'!$B$12,Paramètres!$A$1:$I$89,3,0)*0.475*44/12</f>
        <v>1.3892388086963714</v>
      </c>
      <c r="CM105" s="21">
        <f>EXP(-LN(2)/2)*CM104+(1-EXP(-LN(2)/2))/(LN(2)/2)*CG105*CJ105*VLOOKUP('Données projet'!$B$12,Paramètres!$A$1:$I$89,3,0)*0.475*44/12</f>
        <v>2.994596458015371E-4</v>
      </c>
      <c r="CN105" s="22">
        <f t="shared" si="66"/>
        <v>27.84678466915895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277.99999999999994</v>
      </c>
      <c r="O106" s="13">
        <f>N106*VLOOKUP('Données projet'!$B$9,Paramètres!$A$1:$I$89,3,0)*VLOOKUP('Données projet'!$B$9,Paramètres!$A$1:$I$89,5,0)</f>
        <v>173.47199999999998</v>
      </c>
      <c r="P106" s="13">
        <f t="shared" si="87"/>
        <v>43.866718728383574</v>
      </c>
      <c r="Q106" s="20">
        <f t="shared" si="107"/>
        <v>378.53160178526804</v>
      </c>
      <c r="R106" s="59">
        <f t="shared" si="55"/>
        <v>671.86493511860135</v>
      </c>
      <c r="S106" s="59">
        <f ca="1">AVERAGE(OFFSET($R$3,0,0,'Données projet'!$E$9+1,1))-AVERAGE(OFFSET($H$3,0,0,'Données projet'!$E$9+1,1))</f>
        <v>232.56424130731699</v>
      </c>
      <c r="T106" s="59">
        <f t="shared" si="88"/>
        <v>384.58890620364178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7.4934296620693415</v>
      </c>
      <c r="AA106" s="21">
        <f>EXP(-LN(2)/25)*AA105+(1-EXP(-LN(2)/25))/(LN(2)/25)*Calculateur!V106*Calculateur!X106*VLOOKUP('Données projet'!$B$9,Paramètres!$A$1:$I$89,3,0)*0.475*44/12</f>
        <v>10.555676470294706</v>
      </c>
      <c r="AB106" s="21">
        <f>EXP(-LN(2)/2)*AB105+(1-EXP(-LN(2)/2))/(LN(2)/2)*V106*Y106*VLOOKUP('Données projet'!$B$9,Paramètres!$A$1:$I$89,3,0)*0.475*44/12</f>
        <v>1.0170626295119355E-9</v>
      </c>
      <c r="AC106" s="22">
        <f t="shared" si="57"/>
        <v>18.049106133381112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415.99999999999955</v>
      </c>
      <c r="AJ106" s="13">
        <f>AI106*VLOOKUP('Données projet'!$B$10,Paramètres!$A$1:$I$89,3,0)*VLOOKUP('Données projet'!$B$10,Paramètres!$A$1:$I$89,5,0)</f>
        <v>248.76799999999972</v>
      </c>
      <c r="AK106" s="13">
        <f t="shared" si="89"/>
        <v>60.32205079116369</v>
      </c>
      <c r="AL106" s="20">
        <f t="shared" si="58"/>
        <v>538.33183846127633</v>
      </c>
      <c r="AM106" s="59">
        <f t="shared" si="59"/>
        <v>831.66517179460971</v>
      </c>
      <c r="AN106" s="59">
        <f ca="1">AVERAGE(OFFSET($AM$3,0,0,'Données projet'!$E$10+1,1))-AVERAGE(OFFSET($H$3,0,0,'Données projet'!$E$10+1,1))</f>
        <v>279.39350157328471</v>
      </c>
      <c r="AO106" s="59">
        <f t="shared" si="90"/>
        <v>261.55559683031657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13.481953876667532</v>
      </c>
      <c r="AV106" s="21">
        <f>EXP(-LN(2)/25)*AV105+(1-EXP(-LN(2)/25))/(LN(2)/25)*Calculateur!AQ106*Calculateur!AS106*VLOOKUP('Données projet'!$B$10,Paramètres!$A$1:$I$89,3,0)*0.475*44/12</f>
        <v>11.217229047448351</v>
      </c>
      <c r="AW106" s="21">
        <f>EXP(-LN(2)/2)*AW105+(1-EXP(-LN(2)/2))/(LN(2)/2)*AQ106*AT106*VLOOKUP('Données projet'!$B$10,Paramètres!$A$1:$I$89,3,0)*0.475*44/12</f>
        <v>6.3545889479405911E-6</v>
      </c>
      <c r="AX106" s="21">
        <f t="shared" si="60"/>
        <v>24.699189278704829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475.00000000000011</v>
      </c>
      <c r="BE106" s="13">
        <f>BD106*VLOOKUP('Données projet'!$B$11,Paramètres!$A$1:$I$89,3,0)*VLOOKUP('Données projet'!$B$11,Paramètres!$A$1:$I$89,5,0)</f>
        <v>265.52500000000009</v>
      </c>
      <c r="BF106" s="13">
        <f t="shared" si="91"/>
        <v>63.898639547235177</v>
      </c>
      <c r="BG106" s="20">
        <f t="shared" si="61"/>
        <v>573.74617221143478</v>
      </c>
      <c r="BH106" s="59">
        <f t="shared" si="62"/>
        <v>867.07950554476815</v>
      </c>
      <c r="BI106" s="59">
        <f ca="1">AVERAGE(OFFSET($BH$3,0,0,'Données projet'!$E$11+1,1))-AVERAGE(OFFSET($H$3,0,0,'Données projet'!$E$11+1,1))</f>
        <v>342.37397177572871</v>
      </c>
      <c r="BJ106" s="59">
        <f t="shared" si="92"/>
        <v>331.32436050472762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21.134074614226428</v>
      </c>
      <c r="BQ106" s="21">
        <f>EXP(-LN(2)/25)*BQ105+(1-EXP(-LN(2)/25))/(LN(2)/25)*Calculateur!BL106*Calculateur!BN106*VLOOKUP('Données projet'!$B$11,Paramètres!$A$1:$I$89,3,0)*0.475*44/12</f>
        <v>20.356942344155762</v>
      </c>
      <c r="BR106" s="21">
        <f>EXP(-LN(2)/2)*BR105+(1-EXP(-LN(2)/2))/(LN(2)/2)*BL106*BO106*VLOOKUP('Données projet'!$B$11,Paramètres!$A$1:$I$89,3,0)*0.475*44/12</f>
        <v>4.5464288877975181E-5</v>
      </c>
      <c r="BS106" s="22">
        <f t="shared" si="63"/>
        <v>41.491062422671071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253.79640000000001</v>
      </c>
      <c r="CA106" s="13">
        <f t="shared" si="93"/>
        <v>61.39816832228076</v>
      </c>
      <c r="CB106" s="20">
        <f t="shared" si="64"/>
        <v>548.96387316130563</v>
      </c>
      <c r="CC106" s="59">
        <f t="shared" si="65"/>
        <v>842.29720649463889</v>
      </c>
      <c r="CD106" s="59">
        <f ca="1">AVERAGE(OFFSET($CC$3,0,0,'Données projet'!$E$12+1,1))-AVERAGE(OFFSET($H$3,0,0,'Données projet'!$E$12+1,1))</f>
        <v>353.37479213497227</v>
      </c>
      <c r="CE106" s="59">
        <f t="shared" si="94"/>
        <v>345.4750813433123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25.938435936223634</v>
      </c>
      <c r="CL106" s="21">
        <f>EXP(-LN(2)/25)*CL105+(1-EXP(-LN(2)/25))/(LN(2)/25)*Calculateur!CG106*Calculateur!CI106*VLOOKUP('Données projet'!$B$12,Paramètres!$A$1:$I$89,3,0)*0.475*44/12</f>
        <v>1.3512500004156753</v>
      </c>
      <c r="CM106" s="21">
        <f>EXP(-LN(2)/2)*CM105+(1-EXP(-LN(2)/2))/(LN(2)/2)*CG106*CJ106*VLOOKUP('Données projet'!$B$12,Paramètres!$A$1:$I$89,3,0)*0.475*44/12</f>
        <v>2.1174994623798853E-4</v>
      </c>
      <c r="CN106" s="22">
        <f t="shared" si="66"/>
        <v>27.289897686585547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277.99999999999994</v>
      </c>
      <c r="O107" s="13">
        <f>N107*VLOOKUP('Données projet'!$B$9,Paramètres!$A$1:$I$89,3,0)*VLOOKUP('Données projet'!$B$9,Paramètres!$A$1:$I$89,5,0)</f>
        <v>173.47199999999998</v>
      </c>
      <c r="P107" s="13">
        <f t="shared" si="87"/>
        <v>43.866718728383574</v>
      </c>
      <c r="Q107" s="20">
        <f t="shared" si="107"/>
        <v>378.53160178526804</v>
      </c>
      <c r="R107" s="59">
        <f t="shared" si="55"/>
        <v>671.86493511860135</v>
      </c>
      <c r="S107" s="59">
        <f ca="1">AVERAGE(OFFSET($R$3,0,0,'Données projet'!$E$9+1,1))-AVERAGE(OFFSET($H$3,0,0,'Données projet'!$E$9+1,1))</f>
        <v>232.56424130731699</v>
      </c>
      <c r="T107" s="59">
        <f t="shared" si="88"/>
        <v>384.58890620364178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7.3464880769369518</v>
      </c>
      <c r="AA107" s="21">
        <f>EXP(-LN(2)/25)*AA106+(1-EXP(-LN(2)/25))/(LN(2)/25)*Calculateur!V107*Calculateur!X107*VLOOKUP('Données projet'!$B$9,Paramètres!$A$1:$I$89,3,0)*0.475*44/12</f>
        <v>10.267030942115598</v>
      </c>
      <c r="AB107" s="21">
        <f>EXP(-LN(2)/2)*AB106+(1-EXP(-LN(2)/2))/(LN(2)/2)*V107*Y107*VLOOKUP('Données projet'!$B$9,Paramètres!$A$1:$I$89,3,0)*0.475*44/12</f>
        <v>7.1917188221931081E-10</v>
      </c>
      <c r="AC107" s="22">
        <f t="shared" si="57"/>
        <v>17.613519019771722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415.99999999999955</v>
      </c>
      <c r="AJ107" s="13">
        <f>AI107*VLOOKUP('Données projet'!$B$10,Paramètres!$A$1:$I$89,3,0)*VLOOKUP('Données projet'!$B$10,Paramètres!$A$1:$I$89,5,0)</f>
        <v>248.76799999999972</v>
      </c>
      <c r="AK107" s="13">
        <f t="shared" si="89"/>
        <v>60.32205079116369</v>
      </c>
      <c r="AL107" s="20">
        <f t="shared" si="58"/>
        <v>538.33183846127633</v>
      </c>
      <c r="AM107" s="59">
        <f t="shared" si="59"/>
        <v>831.66517179460971</v>
      </c>
      <c r="AN107" s="59">
        <f ca="1">AVERAGE(OFFSET($AM$3,0,0,'Données projet'!$E$10+1,1))-AVERAGE(OFFSET($H$3,0,0,'Données projet'!$E$10+1,1))</f>
        <v>279.39350157328471</v>
      </c>
      <c r="AO107" s="59">
        <f t="shared" si="90"/>
        <v>261.55559683031657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13.217580984325975</v>
      </c>
      <c r="AV107" s="21">
        <f>EXP(-LN(2)/25)*AV106+(1-EXP(-LN(2)/25))/(LN(2)/25)*Calculateur!AQ107*Calculateur!AS107*VLOOKUP('Données projet'!$B$10,Paramètres!$A$1:$I$89,3,0)*0.475*44/12</f>
        <v>10.910493329257438</v>
      </c>
      <c r="AW107" s="21">
        <f>EXP(-LN(2)/2)*AW106+(1-EXP(-LN(2)/2))/(LN(2)/2)*AQ107*AT107*VLOOKUP('Données projet'!$B$10,Paramètres!$A$1:$I$89,3,0)*0.475*44/12</f>
        <v>4.4933729367418807E-6</v>
      </c>
      <c r="AX107" s="21">
        <f t="shared" si="60"/>
        <v>24.128078806956349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475.00000000000011</v>
      </c>
      <c r="BE107" s="13">
        <f>BD107*VLOOKUP('Données projet'!$B$11,Paramètres!$A$1:$I$89,3,0)*VLOOKUP('Données projet'!$B$11,Paramètres!$A$1:$I$89,5,0)</f>
        <v>265.52500000000009</v>
      </c>
      <c r="BF107" s="13">
        <f t="shared" si="91"/>
        <v>63.898639547235177</v>
      </c>
      <c r="BG107" s="20">
        <f t="shared" si="61"/>
        <v>573.74617221143478</v>
      </c>
      <c r="BH107" s="59">
        <f t="shared" si="62"/>
        <v>867.07950554476815</v>
      </c>
      <c r="BI107" s="59">
        <f ca="1">AVERAGE(OFFSET($BH$3,0,0,'Données projet'!$E$11+1,1))-AVERAGE(OFFSET($H$3,0,0,'Données projet'!$E$11+1,1))</f>
        <v>342.37397177572871</v>
      </c>
      <c r="BJ107" s="59">
        <f t="shared" si="92"/>
        <v>331.32436050472762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20.71964830155413</v>
      </c>
      <c r="BQ107" s="21">
        <f>EXP(-LN(2)/25)*BQ106+(1-EXP(-LN(2)/25))/(LN(2)/25)*Calculateur!BL107*Calculateur!BN107*VLOOKUP('Données projet'!$B$11,Paramètres!$A$1:$I$89,3,0)*0.475*44/12</f>
        <v>19.800280685229751</v>
      </c>
      <c r="BR107" s="21">
        <f>EXP(-LN(2)/2)*BR106+(1-EXP(-LN(2)/2))/(LN(2)/2)*BL107*BO107*VLOOKUP('Données projet'!$B$11,Paramètres!$A$1:$I$89,3,0)*0.475*44/12</f>
        <v>3.2148106967440383E-5</v>
      </c>
      <c r="BS107" s="22">
        <f t="shared" si="63"/>
        <v>40.519961134890849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253.79640000000001</v>
      </c>
      <c r="CA107" s="13">
        <f t="shared" si="93"/>
        <v>61.39816832228076</v>
      </c>
      <c r="CB107" s="20">
        <f t="shared" si="64"/>
        <v>548.96387316130563</v>
      </c>
      <c r="CC107" s="59">
        <f t="shared" si="65"/>
        <v>842.29720649463889</v>
      </c>
      <c r="CD107" s="59">
        <f ca="1">AVERAGE(OFFSET($CC$3,0,0,'Données projet'!$E$12+1,1))-AVERAGE(OFFSET($H$3,0,0,'Données projet'!$E$12+1,1))</f>
        <v>353.37479213497227</v>
      </c>
      <c r="CE107" s="59">
        <f t="shared" si="94"/>
        <v>345.4750813433123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25.429799028398026</v>
      </c>
      <c r="CL107" s="21">
        <f>EXP(-LN(2)/25)*CL106+(1-EXP(-LN(2)/25))/(LN(2)/25)*Calculateur!CG107*Calculateur!CI107*VLOOKUP('Données projet'!$B$12,Paramètres!$A$1:$I$89,3,0)*0.475*44/12</f>
        <v>1.3142999980951595</v>
      </c>
      <c r="CM107" s="21">
        <f>EXP(-LN(2)/2)*CM106+(1-EXP(-LN(2)/2))/(LN(2)/2)*CG107*CJ107*VLOOKUP('Données projet'!$B$12,Paramètres!$A$1:$I$89,3,0)*0.475*44/12</f>
        <v>1.4972982290076855E-4</v>
      </c>
      <c r="CN107" s="22">
        <f t="shared" si="66"/>
        <v>26.744248756316086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277.99999999999994</v>
      </c>
      <c r="O108" s="13">
        <f>N108*VLOOKUP('Données projet'!$B$9,Paramètres!$A$1:$I$89,3,0)*VLOOKUP('Données projet'!$B$9,Paramètres!$A$1:$I$89,5,0)</f>
        <v>173.47199999999998</v>
      </c>
      <c r="P108" s="13">
        <f t="shared" si="87"/>
        <v>43.866718728383574</v>
      </c>
      <c r="Q108" s="20">
        <f t="shared" si="107"/>
        <v>378.53160178526804</v>
      </c>
      <c r="R108" s="59">
        <f t="shared" si="55"/>
        <v>671.86493511860135</v>
      </c>
      <c r="S108" s="59">
        <f ca="1">AVERAGE(OFFSET($R$3,0,0,'Données projet'!$E$9+1,1))-AVERAGE(OFFSET($H$3,0,0,'Données projet'!$E$9+1,1))</f>
        <v>232.56424130731699</v>
      </c>
      <c r="T108" s="59">
        <f t="shared" si="88"/>
        <v>384.58890620364178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7.2024279266634919</v>
      </c>
      <c r="AA108" s="21">
        <f>EXP(-LN(2)/25)*AA107+(1-EXP(-LN(2)/25))/(LN(2)/25)*Calculateur!V108*Calculateur!X108*VLOOKUP('Données projet'!$B$9,Paramètres!$A$1:$I$89,3,0)*0.475*44/12</f>
        <v>9.9862784410837548</v>
      </c>
      <c r="AB108" s="21">
        <f>EXP(-LN(2)/2)*AB107+(1-EXP(-LN(2)/2))/(LN(2)/2)*V108*Y108*VLOOKUP('Données projet'!$B$9,Paramètres!$A$1:$I$89,3,0)*0.475*44/12</f>
        <v>5.0853131475596773E-10</v>
      </c>
      <c r="AC108" s="22">
        <f t="shared" si="57"/>
        <v>17.188706368255779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415.99999999999955</v>
      </c>
      <c r="AJ108" s="13">
        <f>AI108*VLOOKUP('Données projet'!$B$10,Paramètres!$A$1:$I$89,3,0)*VLOOKUP('Données projet'!$B$10,Paramètres!$A$1:$I$89,5,0)</f>
        <v>248.76799999999972</v>
      </c>
      <c r="AK108" s="13">
        <f t="shared" si="89"/>
        <v>60.32205079116369</v>
      </c>
      <c r="AL108" s="20">
        <f t="shared" si="58"/>
        <v>538.33183846127633</v>
      </c>
      <c r="AM108" s="59">
        <f t="shared" si="59"/>
        <v>831.66517179460971</v>
      </c>
      <c r="AN108" s="59">
        <f ca="1">AVERAGE(OFFSET($AM$3,0,0,'Données projet'!$E$10+1,1))-AVERAGE(OFFSET($H$3,0,0,'Données projet'!$E$10+1,1))</f>
        <v>279.39350157328471</v>
      </c>
      <c r="AO108" s="59">
        <f t="shared" si="90"/>
        <v>261.55559683031657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12.958392283151694</v>
      </c>
      <c r="AV108" s="21">
        <f>EXP(-LN(2)/25)*AV107+(1-EXP(-LN(2)/25))/(LN(2)/25)*Calculateur!AQ108*Calculateur!AS108*VLOOKUP('Données projet'!$B$10,Paramètres!$A$1:$I$89,3,0)*0.475*44/12</f>
        <v>10.612145315410986</v>
      </c>
      <c r="AW108" s="21">
        <f>EXP(-LN(2)/2)*AW107+(1-EXP(-LN(2)/2))/(LN(2)/2)*AQ108*AT108*VLOOKUP('Données projet'!$B$10,Paramètres!$A$1:$I$89,3,0)*0.475*44/12</f>
        <v>3.1772944739702955E-6</v>
      </c>
      <c r="AX108" s="21">
        <f t="shared" si="60"/>
        <v>23.570540775857154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475.00000000000011</v>
      </c>
      <c r="BE108" s="13">
        <f>BD108*VLOOKUP('Données projet'!$B$11,Paramètres!$A$1:$I$89,3,0)*VLOOKUP('Données projet'!$B$11,Paramètres!$A$1:$I$89,5,0)</f>
        <v>265.52500000000009</v>
      </c>
      <c r="BF108" s="13">
        <f t="shared" si="91"/>
        <v>63.898639547235177</v>
      </c>
      <c r="BG108" s="20">
        <f t="shared" si="61"/>
        <v>573.74617221143478</v>
      </c>
      <c r="BH108" s="59">
        <f t="shared" si="62"/>
        <v>867.07950554476815</v>
      </c>
      <c r="BI108" s="59">
        <f ca="1">AVERAGE(OFFSET($BH$3,0,0,'Données projet'!$E$11+1,1))-AVERAGE(OFFSET($H$3,0,0,'Données projet'!$E$11+1,1))</f>
        <v>342.37397177572871</v>
      </c>
      <c r="BJ108" s="59">
        <f t="shared" si="92"/>
        <v>331.32436050472762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20.313348636098244</v>
      </c>
      <c r="BQ108" s="21">
        <f>EXP(-LN(2)/25)*BQ107+(1-EXP(-LN(2)/25))/(LN(2)/25)*Calculateur!BL108*Calculateur!BN108*VLOOKUP('Données projet'!$B$11,Paramètres!$A$1:$I$89,3,0)*0.475*44/12</f>
        <v>19.258840968640637</v>
      </c>
      <c r="BR108" s="21">
        <f>EXP(-LN(2)/2)*BR107+(1-EXP(-LN(2)/2))/(LN(2)/2)*BL108*BO108*VLOOKUP('Données projet'!$B$11,Paramètres!$A$1:$I$89,3,0)*0.475*44/12</f>
        <v>2.2732144438987591E-5</v>
      </c>
      <c r="BS108" s="22">
        <f t="shared" si="63"/>
        <v>39.572212336883318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253.79640000000001</v>
      </c>
      <c r="CA108" s="13">
        <f t="shared" si="93"/>
        <v>61.39816832228076</v>
      </c>
      <c r="CB108" s="20">
        <f t="shared" si="64"/>
        <v>548.96387316130563</v>
      </c>
      <c r="CC108" s="59">
        <f t="shared" si="65"/>
        <v>842.29720649463889</v>
      </c>
      <c r="CD108" s="59">
        <f ca="1">AVERAGE(OFFSET($CC$3,0,0,'Données projet'!$E$12+1,1))-AVERAGE(OFFSET($H$3,0,0,'Données projet'!$E$12+1,1))</f>
        <v>353.37479213497227</v>
      </c>
      <c r="CE108" s="59">
        <f t="shared" si="94"/>
        <v>345.4750813433123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24.931136180096999</v>
      </c>
      <c r="CL108" s="21">
        <f>EXP(-LN(2)/25)*CL107+(1-EXP(-LN(2)/25))/(LN(2)/25)*Calculateur!CG108*Calculateur!CI108*VLOOKUP('Données projet'!$B$12,Paramètres!$A$1:$I$89,3,0)*0.475*44/12</f>
        <v>1.2783603955312144</v>
      </c>
      <c r="CM108" s="21">
        <f>EXP(-LN(2)/2)*CM107+(1-EXP(-LN(2)/2))/(LN(2)/2)*CG108*CJ108*VLOOKUP('Données projet'!$B$12,Paramètres!$A$1:$I$89,3,0)*0.475*44/12</f>
        <v>1.0587497311899426E-4</v>
      </c>
      <c r="CN108" s="22">
        <f t="shared" si="66"/>
        <v>26.209602450601334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277.99999999999994</v>
      </c>
      <c r="O109" s="13">
        <f>N109*VLOOKUP('Données projet'!$B$9,Paramètres!$A$1:$I$89,3,0)*VLOOKUP('Données projet'!$B$9,Paramètres!$A$1:$I$89,5,0)</f>
        <v>173.47199999999998</v>
      </c>
      <c r="P109" s="13">
        <f t="shared" si="87"/>
        <v>43.866718728383574</v>
      </c>
      <c r="Q109" s="20">
        <f t="shared" si="107"/>
        <v>378.53160178526804</v>
      </c>
      <c r="R109" s="59">
        <f t="shared" si="55"/>
        <v>671.86493511860135</v>
      </c>
      <c r="S109" s="59">
        <f ca="1">AVERAGE(OFFSET($R$3,0,0,'Données projet'!$E$9+1,1))-AVERAGE(OFFSET($H$3,0,0,'Données projet'!$E$9+1,1))</f>
        <v>232.56424130731699</v>
      </c>
      <c r="T109" s="59">
        <f t="shared" si="88"/>
        <v>384.58890620364178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7.0611927080688783</v>
      </c>
      <c r="AA109" s="21">
        <f>EXP(-LN(2)/25)*AA108+(1-EXP(-LN(2)/25))/(LN(2)/25)*Calculateur!V109*Calculateur!X109*VLOOKUP('Données projet'!$B$9,Paramètres!$A$1:$I$89,3,0)*0.475*44/12</f>
        <v>9.7132031319567602</v>
      </c>
      <c r="AB109" s="21">
        <f>EXP(-LN(2)/2)*AB108+(1-EXP(-LN(2)/2))/(LN(2)/2)*V109*Y109*VLOOKUP('Données projet'!$B$9,Paramètres!$A$1:$I$89,3,0)*0.475*44/12</f>
        <v>3.595859411096554E-10</v>
      </c>
      <c r="AC109" s="22">
        <f t="shared" si="57"/>
        <v>16.774395840385225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415.99999999999955</v>
      </c>
      <c r="AJ109" s="13">
        <f>AI109*VLOOKUP('Données projet'!$B$10,Paramètres!$A$1:$I$89,3,0)*VLOOKUP('Données projet'!$B$10,Paramètres!$A$1:$I$89,5,0)</f>
        <v>248.76799999999972</v>
      </c>
      <c r="AK109" s="13">
        <f t="shared" si="89"/>
        <v>60.32205079116369</v>
      </c>
      <c r="AL109" s="20">
        <f t="shared" si="58"/>
        <v>538.33183846127633</v>
      </c>
      <c r="AM109" s="59">
        <f t="shared" si="59"/>
        <v>831.66517179460971</v>
      </c>
      <c r="AN109" s="59">
        <f ca="1">AVERAGE(OFFSET($AM$3,0,0,'Données projet'!$E$10+1,1))-AVERAGE(OFFSET($H$3,0,0,'Données projet'!$E$10+1,1))</f>
        <v>279.39350157328471</v>
      </c>
      <c r="AO109" s="59">
        <f t="shared" si="90"/>
        <v>261.55559683031657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12.704286114317943</v>
      </c>
      <c r="AV109" s="21">
        <f>EXP(-LN(2)/25)*AV108+(1-EXP(-LN(2)/25))/(LN(2)/25)*Calculateur!AQ109*Calculateur!AS109*VLOOKUP('Données projet'!$B$10,Paramètres!$A$1:$I$89,3,0)*0.475*44/12</f>
        <v>10.321955643692606</v>
      </c>
      <c r="AW109" s="21">
        <f>EXP(-LN(2)/2)*AW108+(1-EXP(-LN(2)/2))/(LN(2)/2)*AQ109*AT109*VLOOKUP('Données projet'!$B$10,Paramètres!$A$1:$I$89,3,0)*0.475*44/12</f>
        <v>2.2466864683709404E-6</v>
      </c>
      <c r="AX109" s="21">
        <f t="shared" si="60"/>
        <v>23.026244004697016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475.00000000000011</v>
      </c>
      <c r="BE109" s="13">
        <f>BD109*VLOOKUP('Données projet'!$B$11,Paramètres!$A$1:$I$89,3,0)*VLOOKUP('Données projet'!$B$11,Paramètres!$A$1:$I$89,5,0)</f>
        <v>265.52500000000009</v>
      </c>
      <c r="BF109" s="13">
        <f t="shared" si="91"/>
        <v>63.898639547235177</v>
      </c>
      <c r="BG109" s="20">
        <f t="shared" si="61"/>
        <v>573.74617221143478</v>
      </c>
      <c r="BH109" s="59">
        <f t="shared" si="62"/>
        <v>867.07950554476815</v>
      </c>
      <c r="BI109" s="59">
        <f ca="1">AVERAGE(OFFSET($BH$3,0,0,'Données projet'!$E$11+1,1))-AVERAGE(OFFSET($H$3,0,0,'Données projet'!$E$11+1,1))</f>
        <v>342.37397177572871</v>
      </c>
      <c r="BJ109" s="59">
        <f t="shared" si="92"/>
        <v>331.32436050472762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19.915016259263624</v>
      </c>
      <c r="BQ109" s="21">
        <f>EXP(-LN(2)/25)*BQ108+(1-EXP(-LN(2)/25))/(LN(2)/25)*Calculateur!BL109*Calculateur!BN109*VLOOKUP('Données projet'!$B$11,Paramètres!$A$1:$I$89,3,0)*0.475*44/12</f>
        <v>18.732206949574728</v>
      </c>
      <c r="BR109" s="21">
        <f>EXP(-LN(2)/2)*BR108+(1-EXP(-LN(2)/2))/(LN(2)/2)*BL109*BO109*VLOOKUP('Données projet'!$B$11,Paramètres!$A$1:$I$89,3,0)*0.475*44/12</f>
        <v>1.6074053483720191E-5</v>
      </c>
      <c r="BS109" s="22">
        <f t="shared" si="63"/>
        <v>38.647239282891839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253.79640000000001</v>
      </c>
      <c r="CA109" s="13">
        <f t="shared" si="93"/>
        <v>61.39816832228076</v>
      </c>
      <c r="CB109" s="20">
        <f t="shared" si="64"/>
        <v>548.96387316130563</v>
      </c>
      <c r="CC109" s="59">
        <f t="shared" si="65"/>
        <v>842.29720649463889</v>
      </c>
      <c r="CD109" s="59">
        <f ca="1">AVERAGE(OFFSET($CC$3,0,0,'Données projet'!$E$12+1,1))-AVERAGE(OFFSET($H$3,0,0,'Données projet'!$E$12+1,1))</f>
        <v>353.37479213497227</v>
      </c>
      <c r="CE109" s="59">
        <f t="shared" si="94"/>
        <v>345.4750813433123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24.442251806096852</v>
      </c>
      <c r="CL109" s="21">
        <f>EXP(-LN(2)/25)*CL108+(1-EXP(-LN(2)/25))/(LN(2)/25)*Calculateur!CG109*Calculateur!CI109*VLOOKUP('Données projet'!$B$12,Paramètres!$A$1:$I$89,3,0)*0.475*44/12</f>
        <v>1.2434035632893619</v>
      </c>
      <c r="CM109" s="21">
        <f>EXP(-LN(2)/2)*CM108+(1-EXP(-LN(2)/2))/(LN(2)/2)*CG109*CJ109*VLOOKUP('Données projet'!$B$12,Paramètres!$A$1:$I$89,3,0)*0.475*44/12</f>
        <v>7.4864911450384276E-5</v>
      </c>
      <c r="CN109" s="22">
        <f t="shared" si="66"/>
        <v>25.685730234297665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277.99999999999994</v>
      </c>
      <c r="O110" s="13">
        <f>N110*VLOOKUP('Données projet'!$B$9,Paramètres!$A$1:$I$89,3,0)*VLOOKUP('Données projet'!$B$9,Paramètres!$A$1:$I$89,5,0)</f>
        <v>173.47199999999998</v>
      </c>
      <c r="P110" s="13">
        <f t="shared" si="87"/>
        <v>43.866718728383574</v>
      </c>
      <c r="Q110" s="20">
        <f t="shared" si="107"/>
        <v>378.53160178526804</v>
      </c>
      <c r="R110" s="59">
        <f t="shared" si="55"/>
        <v>671.86493511860135</v>
      </c>
      <c r="S110" s="59">
        <f ca="1">AVERAGE(OFFSET($R$3,0,0,'Données projet'!$E$9+1,1))-AVERAGE(OFFSET($H$3,0,0,'Données projet'!$E$9+1,1))</f>
        <v>232.56424130731699</v>
      </c>
      <c r="T110" s="59">
        <f t="shared" si="88"/>
        <v>384.58890620364178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6.9227270259659281</v>
      </c>
      <c r="AA110" s="21">
        <f>EXP(-LN(2)/25)*AA109+(1-EXP(-LN(2)/25))/(LN(2)/25)*Calculateur!V110*Calculateur!X110*VLOOKUP('Données projet'!$B$9,Paramètres!$A$1:$I$89,3,0)*0.475*44/12</f>
        <v>9.4475950815182497</v>
      </c>
      <c r="AB110" s="21">
        <f>EXP(-LN(2)/2)*AB109+(1-EXP(-LN(2)/2))/(LN(2)/2)*V110*Y110*VLOOKUP('Données projet'!$B$9,Paramètres!$A$1:$I$89,3,0)*0.475*44/12</f>
        <v>2.5426565737798386E-10</v>
      </c>
      <c r="AC110" s="22">
        <f t="shared" si="57"/>
        <v>16.370322107738442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415.99999999999955</v>
      </c>
      <c r="AJ110" s="13">
        <f>AI110*VLOOKUP('Données projet'!$B$10,Paramètres!$A$1:$I$89,3,0)*VLOOKUP('Données projet'!$B$10,Paramètres!$A$1:$I$89,5,0)</f>
        <v>248.76799999999972</v>
      </c>
      <c r="AK110" s="13">
        <f t="shared" si="89"/>
        <v>60.32205079116369</v>
      </c>
      <c r="AL110" s="20">
        <f t="shared" si="58"/>
        <v>538.33183846127633</v>
      </c>
      <c r="AM110" s="59">
        <f t="shared" si="59"/>
        <v>831.66517179460971</v>
      </c>
      <c r="AN110" s="59">
        <f ca="1">AVERAGE(OFFSET($AM$3,0,0,'Données projet'!$E$10+1,1))-AVERAGE(OFFSET($H$3,0,0,'Données projet'!$E$10+1,1))</f>
        <v>279.39350157328471</v>
      </c>
      <c r="AO110" s="59">
        <f t="shared" si="90"/>
        <v>261.55559683031657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12.455162812465563</v>
      </c>
      <c r="AV110" s="21">
        <f>EXP(-LN(2)/25)*AV109+(1-EXP(-LN(2)/25))/(LN(2)/25)*Calculateur!AQ110*Calculateur!AS110*VLOOKUP('Données projet'!$B$10,Paramètres!$A$1:$I$89,3,0)*0.475*44/12</f>
        <v>10.039701223807775</v>
      </c>
      <c r="AW110" s="21">
        <f>EXP(-LN(2)/2)*AW109+(1-EXP(-LN(2)/2))/(LN(2)/2)*AQ110*AT110*VLOOKUP('Données projet'!$B$10,Paramètres!$A$1:$I$89,3,0)*0.475*44/12</f>
        <v>1.5886472369851478E-6</v>
      </c>
      <c r="AX110" s="21">
        <f t="shared" si="60"/>
        <v>22.494865624920575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475.00000000000011</v>
      </c>
      <c r="BE110" s="13">
        <f>BD110*VLOOKUP('Données projet'!$B$11,Paramètres!$A$1:$I$89,3,0)*VLOOKUP('Données projet'!$B$11,Paramètres!$A$1:$I$89,5,0)</f>
        <v>265.52500000000009</v>
      </c>
      <c r="BF110" s="13">
        <f t="shared" si="91"/>
        <v>63.898639547235177</v>
      </c>
      <c r="BG110" s="20">
        <f t="shared" si="61"/>
        <v>573.74617221143478</v>
      </c>
      <c r="BH110" s="59">
        <f t="shared" si="62"/>
        <v>867.07950554476815</v>
      </c>
      <c r="BI110" s="59">
        <f ca="1">AVERAGE(OFFSET($BH$3,0,0,'Données projet'!$E$11+1,1))-AVERAGE(OFFSET($H$3,0,0,'Données projet'!$E$11+1,1))</f>
        <v>342.37397177572871</v>
      </c>
      <c r="BJ110" s="59">
        <f t="shared" si="92"/>
        <v>331.32436050472762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19.52449493737997</v>
      </c>
      <c r="BQ110" s="21">
        <f>EXP(-LN(2)/25)*BQ109+(1-EXP(-LN(2)/25))/(LN(2)/25)*Calculateur!BL110*Calculateur!BN110*VLOOKUP('Données projet'!$B$11,Paramètres!$A$1:$I$89,3,0)*0.475*44/12</f>
        <v>18.219973765454657</v>
      </c>
      <c r="BR110" s="21">
        <f>EXP(-LN(2)/2)*BR109+(1-EXP(-LN(2)/2))/(LN(2)/2)*BL110*BO110*VLOOKUP('Données projet'!$B$11,Paramètres!$A$1:$I$89,3,0)*0.475*44/12</f>
        <v>1.1366072219493795E-5</v>
      </c>
      <c r="BS110" s="22">
        <f t="shared" si="63"/>
        <v>37.744480068906846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253.79640000000001</v>
      </c>
      <c r="CA110" s="13">
        <f t="shared" si="93"/>
        <v>61.39816832228076</v>
      </c>
      <c r="CB110" s="20">
        <f t="shared" si="64"/>
        <v>548.96387316130563</v>
      </c>
      <c r="CC110" s="59">
        <f t="shared" si="65"/>
        <v>842.29720649463889</v>
      </c>
      <c r="CD110" s="59">
        <f ca="1">AVERAGE(OFFSET($CC$3,0,0,'Données projet'!$E$12+1,1))-AVERAGE(OFFSET($H$3,0,0,'Données projet'!$E$12+1,1))</f>
        <v>353.37479213497227</v>
      </c>
      <c r="CE110" s="59">
        <f t="shared" si="94"/>
        <v>345.4750813433123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23.962954156480823</v>
      </c>
      <c r="CL110" s="21">
        <f>EXP(-LN(2)/25)*CL109+(1-EXP(-LN(2)/25))/(LN(2)/25)*Calculateur!CG110*Calculateur!CI110*VLOOKUP('Données projet'!$B$12,Paramètres!$A$1:$I$89,3,0)*0.475*44/12</f>
        <v>1.2094026274634626</v>
      </c>
      <c r="CM110" s="21">
        <f>EXP(-LN(2)/2)*CM109+(1-EXP(-LN(2)/2))/(LN(2)/2)*CG110*CJ110*VLOOKUP('Données projet'!$B$12,Paramètres!$A$1:$I$89,3,0)*0.475*44/12</f>
        <v>5.2937486559497131E-5</v>
      </c>
      <c r="CN110" s="22">
        <f t="shared" si="66"/>
        <v>25.172409721430842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277.99999999999994</v>
      </c>
      <c r="O111" s="13">
        <f>N111*VLOOKUP('Données projet'!$B$9,Paramètres!$A$1:$I$89,3,0)*VLOOKUP('Données projet'!$B$9,Paramètres!$A$1:$I$89,5,0)</f>
        <v>173.47199999999998</v>
      </c>
      <c r="P111" s="13">
        <f t="shared" si="87"/>
        <v>43.866718728383574</v>
      </c>
      <c r="Q111" s="20">
        <f t="shared" si="107"/>
        <v>378.53160178526804</v>
      </c>
      <c r="R111" s="59">
        <f t="shared" si="55"/>
        <v>671.86493511860135</v>
      </c>
      <c r="S111" s="59">
        <f ca="1">AVERAGE(OFFSET($R$3,0,0,'Données projet'!$E$9+1,1))-AVERAGE(OFFSET($H$3,0,0,'Données projet'!$E$9+1,1))</f>
        <v>232.56424130731699</v>
      </c>
      <c r="T111" s="59">
        <f t="shared" si="88"/>
        <v>384.58890620364178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6.7869765714332901</v>
      </c>
      <c r="AA111" s="21">
        <f>EXP(-LN(2)/25)*AA110+(1-EXP(-LN(2)/25))/(LN(2)/25)*Calculateur!V111*Calculateur!X111*VLOOKUP('Données projet'!$B$9,Paramètres!$A$1:$I$89,3,0)*0.475*44/12</f>
        <v>9.1892500971867008</v>
      </c>
      <c r="AB111" s="21">
        <f>EXP(-LN(2)/2)*AB110+(1-EXP(-LN(2)/2))/(LN(2)/2)*V111*Y111*VLOOKUP('Données projet'!$B$9,Paramètres!$A$1:$I$89,3,0)*0.475*44/12</f>
        <v>1.797929705548277E-10</v>
      </c>
      <c r="AC111" s="22">
        <f t="shared" si="57"/>
        <v>15.976226668799782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415.99999999999955</v>
      </c>
      <c r="AJ111" s="13">
        <f>AI111*VLOOKUP('Données projet'!$B$10,Paramètres!$A$1:$I$89,3,0)*VLOOKUP('Données projet'!$B$10,Paramètres!$A$1:$I$89,5,0)</f>
        <v>248.76799999999972</v>
      </c>
      <c r="AK111" s="13">
        <f t="shared" si="89"/>
        <v>60.32205079116369</v>
      </c>
      <c r="AL111" s="20">
        <f t="shared" si="58"/>
        <v>538.33183846127633</v>
      </c>
      <c r="AM111" s="59">
        <f t="shared" si="59"/>
        <v>831.66517179460971</v>
      </c>
      <c r="AN111" s="59">
        <f ca="1">AVERAGE(OFFSET($AM$3,0,0,'Données projet'!$E$10+1,1))-AVERAGE(OFFSET($H$3,0,0,'Données projet'!$E$10+1,1))</f>
        <v>279.39350157328471</v>
      </c>
      <c r="AO111" s="59">
        <f t="shared" si="90"/>
        <v>261.55559683031657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12.210924666612298</v>
      </c>
      <c r="AV111" s="21">
        <f>EXP(-LN(2)/25)*AV110+(1-EXP(-LN(2)/25))/(LN(2)/25)*Calculateur!AQ111*Calculateur!AS111*VLOOKUP('Données projet'!$B$10,Paramètres!$A$1:$I$89,3,0)*0.475*44/12</f>
        <v>9.7651650658778095</v>
      </c>
      <c r="AW111" s="21">
        <f>EXP(-LN(2)/2)*AW110+(1-EXP(-LN(2)/2))/(LN(2)/2)*AQ111*AT111*VLOOKUP('Données projet'!$B$10,Paramètres!$A$1:$I$89,3,0)*0.475*44/12</f>
        <v>1.1233432341854702E-6</v>
      </c>
      <c r="AX111" s="21">
        <f t="shared" si="60"/>
        <v>21.976090855833345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475.00000000000011</v>
      </c>
      <c r="BE111" s="13">
        <f>BD111*VLOOKUP('Données projet'!$B$11,Paramètres!$A$1:$I$89,3,0)*VLOOKUP('Données projet'!$B$11,Paramètres!$A$1:$I$89,5,0)</f>
        <v>265.52500000000009</v>
      </c>
      <c r="BF111" s="13">
        <f t="shared" si="91"/>
        <v>63.898639547235177</v>
      </c>
      <c r="BG111" s="20">
        <f t="shared" si="61"/>
        <v>573.74617221143478</v>
      </c>
      <c r="BH111" s="59">
        <f t="shared" si="62"/>
        <v>867.07950554476815</v>
      </c>
      <c r="BI111" s="59">
        <f ca="1">AVERAGE(OFFSET($BH$3,0,0,'Données projet'!$E$11+1,1))-AVERAGE(OFFSET($H$3,0,0,'Données projet'!$E$11+1,1))</f>
        <v>342.37397177572871</v>
      </c>
      <c r="BJ111" s="59">
        <f t="shared" si="92"/>
        <v>331.32436050472762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19.141631500423969</v>
      </c>
      <c r="BQ111" s="21">
        <f>EXP(-LN(2)/25)*BQ110+(1-EXP(-LN(2)/25))/(LN(2)/25)*Calculateur!BL111*Calculateur!BN111*VLOOKUP('Données projet'!$B$11,Paramètres!$A$1:$I$89,3,0)*0.475*44/12</f>
        <v>17.72174762469152</v>
      </c>
      <c r="BR111" s="21">
        <f>EXP(-LN(2)/2)*BR110+(1-EXP(-LN(2)/2))/(LN(2)/2)*BL111*BO111*VLOOKUP('Données projet'!$B$11,Paramètres!$A$1:$I$89,3,0)*0.475*44/12</f>
        <v>8.0370267418600957E-6</v>
      </c>
      <c r="BS111" s="22">
        <f t="shared" si="63"/>
        <v>36.863387162142224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253.79640000000001</v>
      </c>
      <c r="CA111" s="13">
        <f t="shared" si="93"/>
        <v>61.39816832228076</v>
      </c>
      <c r="CB111" s="20">
        <f t="shared" si="64"/>
        <v>548.96387316130563</v>
      </c>
      <c r="CC111" s="59">
        <f t="shared" si="65"/>
        <v>842.29720649463889</v>
      </c>
      <c r="CD111" s="59">
        <f ca="1">AVERAGE(OFFSET($CC$3,0,0,'Données projet'!$E$12+1,1))-AVERAGE(OFFSET($H$3,0,0,'Données projet'!$E$12+1,1))</f>
        <v>353.37479213497227</v>
      </c>
      <c r="CE111" s="59">
        <f t="shared" si="94"/>
        <v>345.4750813433123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23.493055241431062</v>
      </c>
      <c r="CL111" s="21">
        <f>EXP(-LN(2)/25)*CL110+(1-EXP(-LN(2)/25))/(LN(2)/25)*Calculateur!CG111*Calculateur!CI111*VLOOKUP('Données projet'!$B$12,Paramètres!$A$1:$I$89,3,0)*0.475*44/12</f>
        <v>1.1763314490157541</v>
      </c>
      <c r="CM111" s="21">
        <f>EXP(-LN(2)/2)*CM110+(1-EXP(-LN(2)/2))/(LN(2)/2)*CG111*CJ111*VLOOKUP('Données projet'!$B$12,Paramètres!$A$1:$I$89,3,0)*0.475*44/12</f>
        <v>3.7432455725192138E-5</v>
      </c>
      <c r="CN111" s="22">
        <f t="shared" si="66"/>
        <v>24.669424122902541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277.99999999999994</v>
      </c>
      <c r="O112" s="13">
        <f>N112*VLOOKUP('Données projet'!$B$9,Paramètres!$A$1:$I$89,3,0)*VLOOKUP('Données projet'!$B$9,Paramètres!$A$1:$I$89,5,0)</f>
        <v>173.47199999999998</v>
      </c>
      <c r="P112" s="13">
        <f t="shared" si="87"/>
        <v>43.866718728383574</v>
      </c>
      <c r="Q112" s="20">
        <f t="shared" si="107"/>
        <v>378.53160178526804</v>
      </c>
      <c r="R112" s="59">
        <f t="shared" si="55"/>
        <v>671.86493511860135</v>
      </c>
      <c r="S112" s="59">
        <f ca="1">AVERAGE(OFFSET($R$3,0,0,'Données projet'!$E$9+1,1))-AVERAGE(OFFSET($H$3,0,0,'Données projet'!$E$9+1,1))</f>
        <v>232.56424130731699</v>
      </c>
      <c r="T112" s="59">
        <f t="shared" si="88"/>
        <v>384.58890620364178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6.6538881005144361</v>
      </c>
      <c r="AA112" s="21">
        <f>EXP(-LN(2)/25)*AA111+(1-EXP(-LN(2)/25))/(LN(2)/25)*Calculateur!V112*Calculateur!X112*VLOOKUP('Données projet'!$B$9,Paramètres!$A$1:$I$89,3,0)*0.475*44/12</f>
        <v>8.9379695700374704</v>
      </c>
      <c r="AB112" s="21">
        <f>EXP(-LN(2)/2)*AB111+(1-EXP(-LN(2)/2))/(LN(2)/2)*V112*Y112*VLOOKUP('Données projet'!$B$9,Paramètres!$A$1:$I$89,3,0)*0.475*44/12</f>
        <v>1.2713282868899193E-10</v>
      </c>
      <c r="AC112" s="22">
        <f t="shared" si="57"/>
        <v>15.591857670679039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415.99999999999955</v>
      </c>
      <c r="AJ112" s="13">
        <f>AI112*VLOOKUP('Données projet'!$B$10,Paramètres!$A$1:$I$89,3,0)*VLOOKUP('Données projet'!$B$10,Paramètres!$A$1:$I$89,5,0)</f>
        <v>248.76799999999972</v>
      </c>
      <c r="AK112" s="13">
        <f t="shared" si="89"/>
        <v>60.32205079116369</v>
      </c>
      <c r="AL112" s="20">
        <f t="shared" si="58"/>
        <v>538.33183846127633</v>
      </c>
      <c r="AM112" s="59">
        <f t="shared" si="59"/>
        <v>831.66517179460971</v>
      </c>
      <c r="AN112" s="59">
        <f ca="1">AVERAGE(OFFSET($AM$3,0,0,'Données projet'!$E$10+1,1))-AVERAGE(OFFSET($H$3,0,0,'Données projet'!$E$10+1,1))</f>
        <v>279.39350157328471</v>
      </c>
      <c r="AO112" s="59">
        <f t="shared" si="90"/>
        <v>261.55559683031657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11.971475881828656</v>
      </c>
      <c r="AV112" s="21">
        <f>EXP(-LN(2)/25)*AV111+(1-EXP(-LN(2)/25))/(LN(2)/25)*Calculateur!AQ112*Calculateur!AS112*VLOOKUP('Données projet'!$B$10,Paramètres!$A$1:$I$89,3,0)*0.475*44/12</f>
        <v>9.4981361136236693</v>
      </c>
      <c r="AW112" s="21">
        <f>EXP(-LN(2)/2)*AW111+(1-EXP(-LN(2)/2))/(LN(2)/2)*AQ112*AT112*VLOOKUP('Données projet'!$B$10,Paramètres!$A$1:$I$89,3,0)*0.475*44/12</f>
        <v>7.9432361849257388E-7</v>
      </c>
      <c r="AX112" s="21">
        <f t="shared" si="60"/>
        <v>21.469612789775944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475.00000000000011</v>
      </c>
      <c r="BE112" s="13">
        <f>BD112*VLOOKUP('Données projet'!$B$11,Paramètres!$A$1:$I$89,3,0)*VLOOKUP('Données projet'!$B$11,Paramètres!$A$1:$I$89,5,0)</f>
        <v>265.52500000000009</v>
      </c>
      <c r="BF112" s="13">
        <f t="shared" si="91"/>
        <v>63.898639547235177</v>
      </c>
      <c r="BG112" s="20">
        <f t="shared" si="61"/>
        <v>573.74617221143478</v>
      </c>
      <c r="BH112" s="59">
        <f t="shared" si="62"/>
        <v>867.07950554476815</v>
      </c>
      <c r="BI112" s="59">
        <f ca="1">AVERAGE(OFFSET($BH$3,0,0,'Données projet'!$E$11+1,1))-AVERAGE(OFFSET($H$3,0,0,'Données projet'!$E$11+1,1))</f>
        <v>342.37397177572871</v>
      </c>
      <c r="BJ112" s="59">
        <f t="shared" si="92"/>
        <v>331.32436050472762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18.766275781943037</v>
      </c>
      <c r="BQ112" s="21">
        <f>EXP(-LN(2)/25)*BQ111+(1-EXP(-LN(2)/25))/(LN(2)/25)*Calculateur!BL112*Calculateur!BN112*VLOOKUP('Données projet'!$B$11,Paramètres!$A$1:$I$89,3,0)*0.475*44/12</f>
        <v>17.237145503948128</v>
      </c>
      <c r="BR112" s="21">
        <f>EXP(-LN(2)/2)*BR111+(1-EXP(-LN(2)/2))/(LN(2)/2)*BL112*BO112*VLOOKUP('Données projet'!$B$11,Paramètres!$A$1:$I$89,3,0)*0.475*44/12</f>
        <v>5.6830361097468976E-6</v>
      </c>
      <c r="BS112" s="22">
        <f t="shared" si="63"/>
        <v>36.003426968927272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253.79640000000001</v>
      </c>
      <c r="CA112" s="13">
        <f t="shared" si="93"/>
        <v>61.39816832228076</v>
      </c>
      <c r="CB112" s="20">
        <f t="shared" si="64"/>
        <v>548.96387316130563</v>
      </c>
      <c r="CC112" s="59">
        <f t="shared" si="65"/>
        <v>842.29720649463889</v>
      </c>
      <c r="CD112" s="59">
        <f ca="1">AVERAGE(OFFSET($CC$3,0,0,'Données projet'!$E$12+1,1))-AVERAGE(OFFSET($H$3,0,0,'Données projet'!$E$12+1,1))</f>
        <v>353.37479213497227</v>
      </c>
      <c r="CE112" s="59">
        <f t="shared" si="94"/>
        <v>345.4750813433123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23.032370757495389</v>
      </c>
      <c r="CL112" s="21">
        <f>EXP(-LN(2)/25)*CL111+(1-EXP(-LN(2)/25))/(LN(2)/25)*Calculateur!CG112*Calculateur!CI112*VLOOKUP('Données projet'!$B$12,Paramètres!$A$1:$I$89,3,0)*0.475*44/12</f>
        <v>1.144164603681836</v>
      </c>
      <c r="CM112" s="21">
        <f>EXP(-LN(2)/2)*CM111+(1-EXP(-LN(2)/2))/(LN(2)/2)*CG112*CJ112*VLOOKUP('Données projet'!$B$12,Paramètres!$A$1:$I$89,3,0)*0.475*44/12</f>
        <v>2.6468743279748566E-5</v>
      </c>
      <c r="CN112" s="22">
        <f t="shared" si="66"/>
        <v>24.176561829920505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277.99999999999994</v>
      </c>
      <c r="O113" s="13">
        <f>N113*VLOOKUP('Données projet'!$B$9,Paramètres!$A$1:$I$89,3,0)*VLOOKUP('Données projet'!$B$9,Paramètres!$A$1:$I$89,5,0)</f>
        <v>173.47199999999998</v>
      </c>
      <c r="P113" s="13">
        <f t="shared" si="87"/>
        <v>43.866718728383574</v>
      </c>
      <c r="Q113" s="20">
        <f t="shared" si="107"/>
        <v>378.53160178526804</v>
      </c>
      <c r="R113" s="59">
        <f t="shared" si="55"/>
        <v>671.86493511860135</v>
      </c>
      <c r="S113" s="59">
        <f ca="1">AVERAGE(OFFSET($R$3,0,0,'Données projet'!$E$9+1,1))-AVERAGE(OFFSET($H$3,0,0,'Données projet'!$E$9+1,1))</f>
        <v>232.56424130731699</v>
      </c>
      <c r="T113" s="59">
        <f t="shared" si="88"/>
        <v>384.58890620364178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6.523409413334349</v>
      </c>
      <c r="AA113" s="21">
        <f>EXP(-LN(2)/25)*AA112+(1-EXP(-LN(2)/25))/(LN(2)/25)*Calculateur!V113*Calculateur!X113*VLOOKUP('Données projet'!$B$9,Paramètres!$A$1:$I$89,3,0)*0.475*44/12</f>
        <v>8.6935603221174045</v>
      </c>
      <c r="AB113" s="21">
        <f>EXP(-LN(2)/2)*AB112+(1-EXP(-LN(2)/2))/(LN(2)/2)*V113*Y113*VLOOKUP('Données projet'!$B$9,Paramètres!$A$1:$I$89,3,0)*0.475*44/12</f>
        <v>8.9896485277413851E-11</v>
      </c>
      <c r="AC113" s="22">
        <f t="shared" si="57"/>
        <v>15.21696973554165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415.99999999999955</v>
      </c>
      <c r="AJ113" s="13">
        <f>AI113*VLOOKUP('Données projet'!$B$10,Paramètres!$A$1:$I$89,3,0)*VLOOKUP('Données projet'!$B$10,Paramètres!$A$1:$I$89,5,0)</f>
        <v>248.76799999999972</v>
      </c>
      <c r="AK113" s="13">
        <f t="shared" si="89"/>
        <v>60.32205079116369</v>
      </c>
      <c r="AL113" s="20">
        <f t="shared" si="58"/>
        <v>538.33183846127633</v>
      </c>
      <c r="AM113" s="59">
        <f t="shared" si="59"/>
        <v>831.66517179460971</v>
      </c>
      <c r="AN113" s="59">
        <f ca="1">AVERAGE(OFFSET($AM$3,0,0,'Données projet'!$E$10+1,1))-AVERAGE(OFFSET($H$3,0,0,'Données projet'!$E$10+1,1))</f>
        <v>279.39350157328471</v>
      </c>
      <c r="AO113" s="59">
        <f t="shared" si="90"/>
        <v>261.55559683031657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11.736722541665284</v>
      </c>
      <c r="AV113" s="21">
        <f>EXP(-LN(2)/25)*AV112+(1-EXP(-LN(2)/25))/(LN(2)/25)*Calculateur!AQ113*Calculateur!AS113*VLOOKUP('Données projet'!$B$10,Paramètres!$A$1:$I$89,3,0)*0.475*44/12</f>
        <v>9.2384090821113602</v>
      </c>
      <c r="AW113" s="21">
        <f>EXP(-LN(2)/2)*AW112+(1-EXP(-LN(2)/2))/(LN(2)/2)*AQ113*AT113*VLOOKUP('Données projet'!$B$10,Paramètres!$A$1:$I$89,3,0)*0.475*44/12</f>
        <v>5.6167161709273509E-7</v>
      </c>
      <c r="AX113" s="21">
        <f t="shared" si="60"/>
        <v>20.97513218544826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475.00000000000011</v>
      </c>
      <c r="BE113" s="13">
        <f>BD113*VLOOKUP('Données projet'!$B$11,Paramètres!$A$1:$I$89,3,0)*VLOOKUP('Données projet'!$B$11,Paramètres!$A$1:$I$89,5,0)</f>
        <v>265.52500000000009</v>
      </c>
      <c r="BF113" s="13">
        <f t="shared" si="91"/>
        <v>63.898639547235177</v>
      </c>
      <c r="BG113" s="20">
        <f t="shared" si="61"/>
        <v>573.74617221143478</v>
      </c>
      <c r="BH113" s="59">
        <f t="shared" si="62"/>
        <v>867.07950554476815</v>
      </c>
      <c r="BI113" s="59">
        <f ca="1">AVERAGE(OFFSET($BH$3,0,0,'Données projet'!$E$11+1,1))-AVERAGE(OFFSET($H$3,0,0,'Données projet'!$E$11+1,1))</f>
        <v>342.37397177572871</v>
      </c>
      <c r="BJ113" s="59">
        <f t="shared" si="92"/>
        <v>331.32436050472762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18.398280560157133</v>
      </c>
      <c r="BQ113" s="21">
        <f>EXP(-LN(2)/25)*BQ112+(1-EXP(-LN(2)/25))/(LN(2)/25)*Calculateur!BL113*Calculateur!BN113*VLOOKUP('Données projet'!$B$11,Paramètres!$A$1:$I$89,3,0)*0.475*44/12</f>
        <v>16.765794853680578</v>
      </c>
      <c r="BR113" s="21">
        <f>EXP(-LN(2)/2)*BR112+(1-EXP(-LN(2)/2))/(LN(2)/2)*BL113*BO113*VLOOKUP('Données projet'!$B$11,Paramètres!$A$1:$I$89,3,0)*0.475*44/12</f>
        <v>4.0185133709300478E-6</v>
      </c>
      <c r="BS113" s="22">
        <f t="shared" si="63"/>
        <v>35.16407943235108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253.79640000000001</v>
      </c>
      <c r="CA113" s="13">
        <f t="shared" si="93"/>
        <v>61.39816832228076</v>
      </c>
      <c r="CB113" s="20">
        <f t="shared" si="64"/>
        <v>548.96387316130563</v>
      </c>
      <c r="CC113" s="59">
        <f t="shared" si="65"/>
        <v>842.29720649463889</v>
      </c>
      <c r="CD113" s="59">
        <f ca="1">AVERAGE(OFFSET($CC$3,0,0,'Données projet'!$E$12+1,1))-AVERAGE(OFFSET($H$3,0,0,'Données projet'!$E$12+1,1))</f>
        <v>353.37479213497227</v>
      </c>
      <c r="CE113" s="59">
        <f t="shared" si="94"/>
        <v>345.4750813433123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22.580720015299907</v>
      </c>
      <c r="CL113" s="21">
        <f>EXP(-LN(2)/25)*CL112+(1-EXP(-LN(2)/25))/(LN(2)/25)*Calculateur!CG113*Calculateur!CI113*VLOOKUP('Données projet'!$B$12,Paramètres!$A$1:$I$89,3,0)*0.475*44/12</f>
        <v>1.1128773624251547</v>
      </c>
      <c r="CM113" s="21">
        <f>EXP(-LN(2)/2)*CM112+(1-EXP(-LN(2)/2))/(LN(2)/2)*CG113*CJ113*VLOOKUP('Données projet'!$B$12,Paramètres!$A$1:$I$89,3,0)*0.475*44/12</f>
        <v>1.8716227862596069E-5</v>
      </c>
      <c r="CN113" s="22">
        <f t="shared" si="66"/>
        <v>23.693616093952926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277.99999999999994</v>
      </c>
      <c r="O114" s="13">
        <f>N114*VLOOKUP('Données projet'!$B$9,Paramètres!$A$1:$I$89,3,0)*VLOOKUP('Données projet'!$B$9,Paramètres!$A$1:$I$89,5,0)</f>
        <v>173.47199999999998</v>
      </c>
      <c r="P114" s="13">
        <f t="shared" si="87"/>
        <v>43.866718728383574</v>
      </c>
      <c r="Q114" s="20">
        <f t="shared" si="107"/>
        <v>378.53160178526804</v>
      </c>
      <c r="R114" s="59">
        <f t="shared" si="55"/>
        <v>671.86493511860135</v>
      </c>
      <c r="S114" s="59">
        <f ca="1">AVERAGE(OFFSET($R$3,0,0,'Données projet'!$E$9+1,1))-AVERAGE(OFFSET($H$3,0,0,'Données projet'!$E$9+1,1))</f>
        <v>232.56424130731699</v>
      </c>
      <c r="T114" s="59">
        <f t="shared" si="88"/>
        <v>384.58890620364178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6.3954893336257221</v>
      </c>
      <c r="AA114" s="21">
        <f>EXP(-LN(2)/25)*AA113+(1-EXP(-LN(2)/25))/(LN(2)/25)*Calculateur!V114*Calculateur!X114*VLOOKUP('Données projet'!$B$9,Paramètres!$A$1:$I$89,3,0)*0.475*44/12</f>
        <v>8.4558344579346354</v>
      </c>
      <c r="AB114" s="21">
        <f>EXP(-LN(2)/2)*AB113+(1-EXP(-LN(2)/2))/(LN(2)/2)*V114*Y114*VLOOKUP('Données projet'!$B$9,Paramètres!$A$1:$I$89,3,0)*0.475*44/12</f>
        <v>6.3566414344495966E-11</v>
      </c>
      <c r="AC114" s="22">
        <f t="shared" si="57"/>
        <v>14.851323791623924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415.99999999999955</v>
      </c>
      <c r="AJ114" s="13">
        <f>AI114*VLOOKUP('Données projet'!$B$10,Paramètres!$A$1:$I$89,3,0)*VLOOKUP('Données projet'!$B$10,Paramètres!$A$1:$I$89,5,0)</f>
        <v>248.76799999999972</v>
      </c>
      <c r="AK114" s="13">
        <f t="shared" si="89"/>
        <v>60.32205079116369</v>
      </c>
      <c r="AL114" s="20">
        <f t="shared" si="58"/>
        <v>538.33183846127633</v>
      </c>
      <c r="AM114" s="59">
        <f t="shared" si="59"/>
        <v>831.66517179460971</v>
      </c>
      <c r="AN114" s="59">
        <f ca="1">AVERAGE(OFFSET($AM$3,0,0,'Données projet'!$E$10+1,1))-AVERAGE(OFFSET($H$3,0,0,'Données projet'!$E$10+1,1))</f>
        <v>279.39350157328471</v>
      </c>
      <c r="AO114" s="59">
        <f t="shared" si="90"/>
        <v>261.55559683031657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11.506572571317115</v>
      </c>
      <c r="AV114" s="21">
        <f>EXP(-LN(2)/25)*AV113+(1-EXP(-LN(2)/25))/(LN(2)/25)*Calculateur!AQ114*Calculateur!AS114*VLOOKUP('Données projet'!$B$10,Paramètres!$A$1:$I$89,3,0)*0.475*44/12</f>
        <v>8.9857842999342061</v>
      </c>
      <c r="AW114" s="21">
        <f>EXP(-LN(2)/2)*AW113+(1-EXP(-LN(2)/2))/(LN(2)/2)*AQ114*AT114*VLOOKUP('Données projet'!$B$10,Paramètres!$A$1:$I$89,3,0)*0.475*44/12</f>
        <v>3.9716180924628694E-7</v>
      </c>
      <c r="AX114" s="21">
        <f t="shared" si="60"/>
        <v>20.49235726841313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475.00000000000011</v>
      </c>
      <c r="BE114" s="13">
        <f>BD114*VLOOKUP('Données projet'!$B$11,Paramètres!$A$1:$I$89,3,0)*VLOOKUP('Données projet'!$B$11,Paramètres!$A$1:$I$89,5,0)</f>
        <v>265.52500000000009</v>
      </c>
      <c r="BF114" s="13">
        <f t="shared" si="91"/>
        <v>63.898639547235177</v>
      </c>
      <c r="BG114" s="20">
        <f t="shared" si="61"/>
        <v>573.74617221143478</v>
      </c>
      <c r="BH114" s="59">
        <f t="shared" si="62"/>
        <v>867.07950554476815</v>
      </c>
      <c r="BI114" s="59">
        <f ca="1">AVERAGE(OFFSET($BH$3,0,0,'Données projet'!$E$11+1,1))-AVERAGE(OFFSET($H$3,0,0,'Données projet'!$E$11+1,1))</f>
        <v>342.37397177572871</v>
      </c>
      <c r="BJ114" s="59">
        <f t="shared" si="92"/>
        <v>331.32436050472762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18.037501500215527</v>
      </c>
      <c r="BQ114" s="21">
        <f>EXP(-LN(2)/25)*BQ113+(1-EXP(-LN(2)/25))/(LN(2)/25)*Calculateur!BL114*Calculateur!BN114*VLOOKUP('Données projet'!$B$11,Paramètres!$A$1:$I$89,3,0)*0.475*44/12</f>
        <v>16.307333311731849</v>
      </c>
      <c r="BR114" s="21">
        <f>EXP(-LN(2)/2)*BR113+(1-EXP(-LN(2)/2))/(LN(2)/2)*BL114*BO114*VLOOKUP('Données projet'!$B$11,Paramètres!$A$1:$I$89,3,0)*0.475*44/12</f>
        <v>2.8415180548734488E-6</v>
      </c>
      <c r="BS114" s="22">
        <f t="shared" si="63"/>
        <v>34.344837653465433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253.79640000000001</v>
      </c>
      <c r="CA114" s="13">
        <f t="shared" si="93"/>
        <v>61.39816832228076</v>
      </c>
      <c r="CB114" s="20">
        <f t="shared" si="64"/>
        <v>548.96387316130563</v>
      </c>
      <c r="CC114" s="59">
        <f t="shared" si="65"/>
        <v>842.29720649463889</v>
      </c>
      <c r="CD114" s="59">
        <f ca="1">AVERAGE(OFFSET($CC$3,0,0,'Données projet'!$E$12+1,1))-AVERAGE(OFFSET($H$3,0,0,'Données projet'!$E$12+1,1))</f>
        <v>353.37479213497227</v>
      </c>
      <c r="CE114" s="59">
        <f t="shared" si="94"/>
        <v>345.4750813433123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22.137925868679126</v>
      </c>
      <c r="CL114" s="21">
        <f>EXP(-LN(2)/25)*CL113+(1-EXP(-LN(2)/25))/(LN(2)/25)*Calculateur!CG114*Calculateur!CI114*VLOOKUP('Données projet'!$B$12,Paramètres!$A$1:$I$89,3,0)*0.475*44/12</f>
        <v>1.0824456724259619</v>
      </c>
      <c r="CM114" s="21">
        <f>EXP(-LN(2)/2)*CM113+(1-EXP(-LN(2)/2))/(LN(2)/2)*CG114*CJ114*VLOOKUP('Données projet'!$B$12,Paramètres!$A$1:$I$89,3,0)*0.475*44/12</f>
        <v>1.3234371639874283E-5</v>
      </c>
      <c r="CN114" s="22">
        <f t="shared" si="66"/>
        <v>23.220384775476727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277.99999999999994</v>
      </c>
      <c r="O115" s="13">
        <f>N115*VLOOKUP('Données projet'!$B$9,Paramètres!$A$1:$I$89,3,0)*VLOOKUP('Données projet'!$B$9,Paramètres!$A$1:$I$89,5,0)</f>
        <v>173.47199999999998</v>
      </c>
      <c r="P115" s="13">
        <f t="shared" si="87"/>
        <v>43.866718728383574</v>
      </c>
      <c r="Q115" s="20">
        <f t="shared" si="107"/>
        <v>378.53160178526804</v>
      </c>
      <c r="R115" s="59">
        <f t="shared" si="55"/>
        <v>671.86493511860135</v>
      </c>
      <c r="S115" s="59">
        <f ca="1">AVERAGE(OFFSET($R$3,0,0,'Données projet'!$E$9+1,1))-AVERAGE(OFFSET($H$3,0,0,'Données projet'!$E$9+1,1))</f>
        <v>232.56424130731699</v>
      </c>
      <c r="T115" s="59">
        <f t="shared" si="88"/>
        <v>384.58890620364178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6.2700776886566372</v>
      </c>
      <c r="AA115" s="21">
        <f>EXP(-LN(2)/25)*AA114+(1-EXP(-LN(2)/25))/(LN(2)/25)*Calculateur!V115*Calculateur!X115*VLOOKUP('Données projet'!$B$9,Paramètres!$A$1:$I$89,3,0)*0.475*44/12</f>
        <v>8.2246092200094054</v>
      </c>
      <c r="AB115" s="21">
        <f>EXP(-LN(2)/2)*AB114+(1-EXP(-LN(2)/2))/(LN(2)/2)*V115*Y115*VLOOKUP('Données projet'!$B$9,Paramètres!$A$1:$I$89,3,0)*0.475*44/12</f>
        <v>4.4948242638706925E-11</v>
      </c>
      <c r="AC115" s="22">
        <f t="shared" si="57"/>
        <v>14.494686908710992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415.99999999999955</v>
      </c>
      <c r="AJ115" s="13">
        <f>AI115*VLOOKUP('Données projet'!$B$10,Paramètres!$A$1:$I$89,3,0)*VLOOKUP('Données projet'!$B$10,Paramètres!$A$1:$I$89,5,0)</f>
        <v>248.76799999999972</v>
      </c>
      <c r="AK115" s="13">
        <f t="shared" si="89"/>
        <v>60.32205079116369</v>
      </c>
      <c r="AL115" s="20">
        <f t="shared" si="58"/>
        <v>538.33183846127633</v>
      </c>
      <c r="AM115" s="59">
        <f t="shared" si="59"/>
        <v>831.66517179460971</v>
      </c>
      <c r="AN115" s="59">
        <f ca="1">AVERAGE(OFFSET($AM$3,0,0,'Données projet'!$E$10+1,1))-AVERAGE(OFFSET($H$3,0,0,'Données projet'!$E$10+1,1))</f>
        <v>279.39350157328471</v>
      </c>
      <c r="AO115" s="59">
        <f t="shared" si="90"/>
        <v>261.55559683031657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11.280935701509854</v>
      </c>
      <c r="AV115" s="21">
        <f>EXP(-LN(2)/25)*AV114+(1-EXP(-LN(2)/25))/(LN(2)/25)*Calculateur!AQ115*Calculateur!AS115*VLOOKUP('Données projet'!$B$10,Paramètres!$A$1:$I$89,3,0)*0.475*44/12</f>
        <v>8.7400675557106471</v>
      </c>
      <c r="AW115" s="21">
        <f>EXP(-LN(2)/2)*AW114+(1-EXP(-LN(2)/2))/(LN(2)/2)*AQ115*AT115*VLOOKUP('Données projet'!$B$10,Paramètres!$A$1:$I$89,3,0)*0.475*44/12</f>
        <v>2.8083580854636754E-7</v>
      </c>
      <c r="AX115" s="21">
        <f t="shared" si="60"/>
        <v>20.021003538056309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475.00000000000011</v>
      </c>
      <c r="BE115" s="13">
        <f>BD115*VLOOKUP('Données projet'!$B$11,Paramètres!$A$1:$I$89,3,0)*VLOOKUP('Données projet'!$B$11,Paramètres!$A$1:$I$89,5,0)</f>
        <v>265.52500000000009</v>
      </c>
      <c r="BF115" s="13">
        <f t="shared" si="91"/>
        <v>63.898639547235177</v>
      </c>
      <c r="BG115" s="20">
        <f t="shared" si="61"/>
        <v>573.74617221143478</v>
      </c>
      <c r="BH115" s="59">
        <f t="shared" si="62"/>
        <v>867.07950554476815</v>
      </c>
      <c r="BI115" s="59">
        <f ca="1">AVERAGE(OFFSET($BH$3,0,0,'Données projet'!$E$11+1,1))-AVERAGE(OFFSET($H$3,0,0,'Données projet'!$E$11+1,1))</f>
        <v>342.37397177572871</v>
      </c>
      <c r="BJ115" s="59">
        <f t="shared" si="92"/>
        <v>331.32436050472762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17.683797097585877</v>
      </c>
      <c r="BQ115" s="21">
        <f>EXP(-LN(2)/25)*BQ114+(1-EXP(-LN(2)/25))/(LN(2)/25)*Calculateur!BL115*Calculateur!BN115*VLOOKUP('Données projet'!$B$11,Paramètres!$A$1:$I$89,3,0)*0.475*44/12</f>
        <v>15.861408424757153</v>
      </c>
      <c r="BR115" s="21">
        <f>EXP(-LN(2)/2)*BR114+(1-EXP(-LN(2)/2))/(LN(2)/2)*BL115*BO115*VLOOKUP('Données projet'!$B$11,Paramètres!$A$1:$I$89,3,0)*0.475*44/12</f>
        <v>2.0092566854650239E-6</v>
      </c>
      <c r="BS115" s="22">
        <f t="shared" si="63"/>
        <v>33.545207531599715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253.79640000000001</v>
      </c>
      <c r="CA115" s="13">
        <f t="shared" si="93"/>
        <v>61.39816832228076</v>
      </c>
      <c r="CB115" s="20">
        <f t="shared" si="64"/>
        <v>548.96387316130563</v>
      </c>
      <c r="CC115" s="59">
        <f t="shared" si="65"/>
        <v>842.29720649463889</v>
      </c>
      <c r="CD115" s="59">
        <f ca="1">AVERAGE(OFFSET($CC$3,0,0,'Données projet'!$E$12+1,1))-AVERAGE(OFFSET($H$3,0,0,'Données projet'!$E$12+1,1))</f>
        <v>353.37479213497227</v>
      </c>
      <c r="CE115" s="59">
        <f t="shared" si="94"/>
        <v>345.4750813433123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21.703814645195816</v>
      </c>
      <c r="CL115" s="21">
        <f>EXP(-LN(2)/25)*CL114+(1-EXP(-LN(2)/25))/(LN(2)/25)*Calculateur!CG115*Calculateur!CI115*VLOOKUP('Données projet'!$B$12,Paramètres!$A$1:$I$89,3,0)*0.475*44/12</f>
        <v>1.05284613859013</v>
      </c>
      <c r="CM115" s="21">
        <f>EXP(-LN(2)/2)*CM114+(1-EXP(-LN(2)/2))/(LN(2)/2)*CG115*CJ115*VLOOKUP('Données projet'!$B$12,Paramètres!$A$1:$I$89,3,0)*0.475*44/12</f>
        <v>9.3581139312980345E-6</v>
      </c>
      <c r="CN115" s="22">
        <f t="shared" si="66"/>
        <v>22.756670141899878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277.99999999999994</v>
      </c>
      <c r="O116" s="13">
        <f>N116*VLOOKUP('Données projet'!$B$9,Paramètres!$A$1:$I$89,3,0)*VLOOKUP('Données projet'!$B$9,Paramètres!$A$1:$I$89,5,0)</f>
        <v>173.47199999999998</v>
      </c>
      <c r="P116" s="13">
        <f t="shared" si="87"/>
        <v>43.866718728383574</v>
      </c>
      <c r="Q116" s="20">
        <f t="shared" si="107"/>
        <v>378.53160178526804</v>
      </c>
      <c r="R116" s="59">
        <f t="shared" si="55"/>
        <v>671.86493511860135</v>
      </c>
      <c r="S116" s="59">
        <f ca="1">AVERAGE(OFFSET($R$3,0,0,'Données projet'!$E$9+1,1))-AVERAGE(OFFSET($H$3,0,0,'Données projet'!$E$9+1,1))</f>
        <v>232.56424130731699</v>
      </c>
      <c r="T116" s="59">
        <f t="shared" si="88"/>
        <v>384.58890620364178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6.1471252895518456</v>
      </c>
      <c r="AA116" s="21">
        <f>EXP(-LN(2)/25)*AA115+(1-EXP(-LN(2)/25))/(LN(2)/25)*Calculateur!V116*Calculateur!X116*VLOOKUP('Données projet'!$B$9,Paramètres!$A$1:$I$89,3,0)*0.475*44/12</f>
        <v>7.9997068483748466</v>
      </c>
      <c r="AB116" s="21">
        <f>EXP(-LN(2)/2)*AB115+(1-EXP(-LN(2)/2))/(LN(2)/2)*V116*Y116*VLOOKUP('Données projet'!$B$9,Paramètres!$A$1:$I$89,3,0)*0.475*44/12</f>
        <v>3.1783207172247983E-11</v>
      </c>
      <c r="AC116" s="22">
        <f t="shared" si="57"/>
        <v>14.146832137958475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415.99999999999955</v>
      </c>
      <c r="AJ116" s="13">
        <f>AI116*VLOOKUP('Données projet'!$B$10,Paramètres!$A$1:$I$89,3,0)*VLOOKUP('Données projet'!$B$10,Paramètres!$A$1:$I$89,5,0)</f>
        <v>248.76799999999972</v>
      </c>
      <c r="AK116" s="13">
        <f t="shared" si="89"/>
        <v>60.32205079116369</v>
      </c>
      <c r="AL116" s="20">
        <f t="shared" si="58"/>
        <v>538.33183846127633</v>
      </c>
      <c r="AM116" s="59">
        <f t="shared" si="59"/>
        <v>831.66517179460971</v>
      </c>
      <c r="AN116" s="59">
        <f ca="1">AVERAGE(OFFSET($AM$3,0,0,'Données projet'!$E$10+1,1))-AVERAGE(OFFSET($H$3,0,0,'Données projet'!$E$10+1,1))</f>
        <v>279.39350157328471</v>
      </c>
      <c r="AO116" s="59">
        <f t="shared" si="90"/>
        <v>261.55559683031657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11.059723433094613</v>
      </c>
      <c r="AV116" s="21">
        <f>EXP(-LN(2)/25)*AV115+(1-EXP(-LN(2)/25))/(LN(2)/25)*Calculateur!AQ116*Calculateur!AS116*VLOOKUP('Données projet'!$B$10,Paramètres!$A$1:$I$89,3,0)*0.475*44/12</f>
        <v>8.5010699487795627</v>
      </c>
      <c r="AW116" s="21">
        <f>EXP(-LN(2)/2)*AW115+(1-EXP(-LN(2)/2))/(LN(2)/2)*AQ116*AT116*VLOOKUP('Données projet'!$B$10,Paramètres!$A$1:$I$89,3,0)*0.475*44/12</f>
        <v>1.9858090462314347E-7</v>
      </c>
      <c r="AX116" s="21">
        <f t="shared" si="60"/>
        <v>19.560793580455083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475.00000000000011</v>
      </c>
      <c r="BE116" s="13">
        <f>BD116*VLOOKUP('Données projet'!$B$11,Paramètres!$A$1:$I$89,3,0)*VLOOKUP('Données projet'!$B$11,Paramètres!$A$1:$I$89,5,0)</f>
        <v>265.52500000000009</v>
      </c>
      <c r="BF116" s="13">
        <f t="shared" si="91"/>
        <v>63.898639547235177</v>
      </c>
      <c r="BG116" s="20">
        <f t="shared" si="61"/>
        <v>573.74617221143478</v>
      </c>
      <c r="BH116" s="59">
        <f t="shared" si="62"/>
        <v>867.07950554476815</v>
      </c>
      <c r="BI116" s="59">
        <f ca="1">AVERAGE(OFFSET($BH$3,0,0,'Données projet'!$E$11+1,1))-AVERAGE(OFFSET($H$3,0,0,'Données projet'!$E$11+1,1))</f>
        <v>342.37397177572871</v>
      </c>
      <c r="BJ116" s="59">
        <f t="shared" si="92"/>
        <v>331.32436050472762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17.337028622553415</v>
      </c>
      <c r="BQ116" s="21">
        <f>EXP(-LN(2)/25)*BQ115+(1-EXP(-LN(2)/25))/(LN(2)/25)*Calculateur!BL116*Calculateur!BN116*VLOOKUP('Données projet'!$B$11,Paramètres!$A$1:$I$89,3,0)*0.475*44/12</f>
        <v>15.427677377266951</v>
      </c>
      <c r="BR116" s="21">
        <f>EXP(-LN(2)/2)*BR115+(1-EXP(-LN(2)/2))/(LN(2)/2)*BL116*BO116*VLOOKUP('Données projet'!$B$11,Paramètres!$A$1:$I$89,3,0)*0.475*44/12</f>
        <v>1.4207590274367244E-6</v>
      </c>
      <c r="BS116" s="22">
        <f t="shared" si="63"/>
        <v>32.764707420579391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253.79640000000001</v>
      </c>
      <c r="CA116" s="13">
        <f t="shared" si="93"/>
        <v>61.39816832228076</v>
      </c>
      <c r="CB116" s="20">
        <f t="shared" si="64"/>
        <v>548.96387316130563</v>
      </c>
      <c r="CC116" s="59">
        <f t="shared" si="65"/>
        <v>842.29720649463889</v>
      </c>
      <c r="CD116" s="59">
        <f ca="1">AVERAGE(OFFSET($CC$3,0,0,'Données projet'!$E$12+1,1))-AVERAGE(OFFSET($H$3,0,0,'Données projet'!$E$12+1,1))</f>
        <v>353.37479213497227</v>
      </c>
      <c r="CE116" s="59">
        <f t="shared" si="94"/>
        <v>345.4750813433123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21.278216078023313</v>
      </c>
      <c r="CL116" s="21">
        <f>EXP(-LN(2)/25)*CL115+(1-EXP(-LN(2)/25))/(LN(2)/25)*Calculateur!CG116*Calculateur!CI116*VLOOKUP('Données projet'!$B$12,Paramètres!$A$1:$I$89,3,0)*0.475*44/12</f>
        <v>1.0240560055636108</v>
      </c>
      <c r="CM116" s="21">
        <f>EXP(-LN(2)/2)*CM115+(1-EXP(-LN(2)/2))/(LN(2)/2)*CG116*CJ116*VLOOKUP('Données projet'!$B$12,Paramètres!$A$1:$I$89,3,0)*0.475*44/12</f>
        <v>6.6171858199371414E-6</v>
      </c>
      <c r="CN116" s="22">
        <f t="shared" si="66"/>
        <v>22.302278700772746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277.99999999999994</v>
      </c>
      <c r="O117" s="13">
        <f>N117*VLOOKUP('Données projet'!$B$9,Paramètres!$A$1:$I$89,3,0)*VLOOKUP('Données projet'!$B$9,Paramètres!$A$1:$I$89,5,0)</f>
        <v>173.47199999999998</v>
      </c>
      <c r="P117" s="13">
        <f t="shared" si="87"/>
        <v>43.866718728383574</v>
      </c>
      <c r="Q117" s="20">
        <f t="shared" si="107"/>
        <v>378.53160178526804</v>
      </c>
      <c r="R117" s="59">
        <f t="shared" si="55"/>
        <v>671.86493511860135</v>
      </c>
      <c r="S117" s="59">
        <f ca="1">AVERAGE(OFFSET($R$3,0,0,'Données projet'!$E$9+1,1))-AVERAGE(OFFSET($H$3,0,0,'Données projet'!$E$9+1,1))</f>
        <v>232.56424130731699</v>
      </c>
      <c r="T117" s="59">
        <f t="shared" si="88"/>
        <v>384.58890620364178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6.02658391199994</v>
      </c>
      <c r="AA117" s="21">
        <f>EXP(-LN(2)/25)*AA116+(1-EXP(-LN(2)/25))/(LN(2)/25)*Calculateur!V117*Calculateur!X117*VLOOKUP('Données projet'!$B$9,Paramètres!$A$1:$I$89,3,0)*0.475*44/12</f>
        <v>7.7809544439197369</v>
      </c>
      <c r="AB117" s="21">
        <f>EXP(-LN(2)/2)*AB116+(1-EXP(-LN(2)/2))/(LN(2)/2)*V117*Y117*VLOOKUP('Données projet'!$B$9,Paramètres!$A$1:$I$89,3,0)*0.475*44/12</f>
        <v>2.2474121319353463E-11</v>
      </c>
      <c r="AC117" s="22">
        <f t="shared" si="57"/>
        <v>13.807538355942151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415.99999999999955</v>
      </c>
      <c r="AJ117" s="13">
        <f>AI117*VLOOKUP('Données projet'!$B$10,Paramètres!$A$1:$I$89,3,0)*VLOOKUP('Données projet'!$B$10,Paramètres!$A$1:$I$89,5,0)</f>
        <v>248.76799999999972</v>
      </c>
      <c r="AK117" s="13">
        <f t="shared" si="89"/>
        <v>60.32205079116369</v>
      </c>
      <c r="AL117" s="20">
        <f t="shared" si="58"/>
        <v>538.33183846127633</v>
      </c>
      <c r="AM117" s="59">
        <f t="shared" si="59"/>
        <v>831.66517179460971</v>
      </c>
      <c r="AN117" s="59">
        <f ca="1">AVERAGE(OFFSET($AM$3,0,0,'Données projet'!$E$10+1,1))-AVERAGE(OFFSET($H$3,0,0,'Données projet'!$E$10+1,1))</f>
        <v>279.39350157328471</v>
      </c>
      <c r="AO117" s="59">
        <f t="shared" si="90"/>
        <v>261.55559683031657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10.842849002336832</v>
      </c>
      <c r="AV117" s="21">
        <f>EXP(-LN(2)/25)*AV116+(1-EXP(-LN(2)/25))/(LN(2)/25)*Calculateur!AQ117*Calculateur!AS117*VLOOKUP('Données projet'!$B$10,Paramètres!$A$1:$I$89,3,0)*0.475*44/12</f>
        <v>8.2686077439783467</v>
      </c>
      <c r="AW117" s="21">
        <f>EXP(-LN(2)/2)*AW116+(1-EXP(-LN(2)/2))/(LN(2)/2)*AQ117*AT117*VLOOKUP('Données projet'!$B$10,Paramètres!$A$1:$I$89,3,0)*0.475*44/12</f>
        <v>1.4041790427318377E-7</v>
      </c>
      <c r="AX117" s="21">
        <f t="shared" si="60"/>
        <v>19.11145688673308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475.00000000000011</v>
      </c>
      <c r="BE117" s="13">
        <f>BD117*VLOOKUP('Données projet'!$B$11,Paramètres!$A$1:$I$89,3,0)*VLOOKUP('Données projet'!$B$11,Paramètres!$A$1:$I$89,5,0)</f>
        <v>265.52500000000009</v>
      </c>
      <c r="BF117" s="13">
        <f t="shared" si="91"/>
        <v>63.898639547235177</v>
      </c>
      <c r="BG117" s="20">
        <f t="shared" si="61"/>
        <v>573.74617221143478</v>
      </c>
      <c r="BH117" s="59">
        <f t="shared" si="62"/>
        <v>867.07950554476815</v>
      </c>
      <c r="BI117" s="59">
        <f ca="1">AVERAGE(OFFSET($BH$3,0,0,'Données projet'!$E$11+1,1))-AVERAGE(OFFSET($H$3,0,0,'Données projet'!$E$11+1,1))</f>
        <v>342.37397177572871</v>
      </c>
      <c r="BJ117" s="59">
        <f t="shared" si="92"/>
        <v>331.32436050472762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16.997060065808451</v>
      </c>
      <c r="BQ117" s="21">
        <f>EXP(-LN(2)/25)*BQ116+(1-EXP(-LN(2)/25))/(LN(2)/25)*Calculateur!BL117*Calculateur!BN117*VLOOKUP('Données projet'!$B$11,Paramètres!$A$1:$I$89,3,0)*0.475*44/12</f>
        <v>15.005806728079293</v>
      </c>
      <c r="BR117" s="21">
        <f>EXP(-LN(2)/2)*BR116+(1-EXP(-LN(2)/2))/(LN(2)/2)*BL117*BO117*VLOOKUP('Données projet'!$B$11,Paramètres!$A$1:$I$89,3,0)*0.475*44/12</f>
        <v>1.004628342732512E-6</v>
      </c>
      <c r="BS117" s="22">
        <f t="shared" si="63"/>
        <v>32.002867798516093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253.79640000000001</v>
      </c>
      <c r="CA117" s="13">
        <f t="shared" si="93"/>
        <v>61.39816832228076</v>
      </c>
      <c r="CB117" s="20">
        <f t="shared" si="64"/>
        <v>548.96387316130563</v>
      </c>
      <c r="CC117" s="59">
        <f t="shared" si="65"/>
        <v>842.29720649463889</v>
      </c>
      <c r="CD117" s="59">
        <f ca="1">AVERAGE(OFFSET($CC$3,0,0,'Données projet'!$E$12+1,1))-AVERAGE(OFFSET($H$3,0,0,'Données projet'!$E$12+1,1))</f>
        <v>353.37479213497227</v>
      </c>
      <c r="CE117" s="59">
        <f t="shared" si="94"/>
        <v>345.4750813433123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20.860963239163571</v>
      </c>
      <c r="CL117" s="21">
        <f>EXP(-LN(2)/25)*CL116+(1-EXP(-LN(2)/25))/(LN(2)/25)*Calculateur!CG117*Calculateur!CI117*VLOOKUP('Données projet'!$B$12,Paramètres!$A$1:$I$89,3,0)*0.475*44/12</f>
        <v>0.99605314023870906</v>
      </c>
      <c r="CM117" s="21">
        <f>EXP(-LN(2)/2)*CM116+(1-EXP(-LN(2)/2))/(LN(2)/2)*CG117*CJ117*VLOOKUP('Données projet'!$B$12,Paramètres!$A$1:$I$89,3,0)*0.475*44/12</f>
        <v>4.6790569656490173E-6</v>
      </c>
      <c r="CN117" s="22">
        <f t="shared" si="66"/>
        <v>21.857021058459242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277.99999999999994</v>
      </c>
      <c r="O118" s="13">
        <f>N118*VLOOKUP('Données projet'!$B$9,Paramètres!$A$1:$I$89,3,0)*VLOOKUP('Données projet'!$B$9,Paramètres!$A$1:$I$89,5,0)</f>
        <v>173.47199999999998</v>
      </c>
      <c r="P118" s="13">
        <f t="shared" si="87"/>
        <v>43.866718728383574</v>
      </c>
      <c r="Q118" s="20">
        <f t="shared" si="107"/>
        <v>378.53160178526804</v>
      </c>
      <c r="R118" s="59">
        <f t="shared" si="55"/>
        <v>671.86493511860135</v>
      </c>
      <c r="S118" s="59">
        <f ca="1">AVERAGE(OFFSET($R$3,0,0,'Données projet'!$E$9+1,1))-AVERAGE(OFFSET($H$3,0,0,'Données projet'!$E$9+1,1))</f>
        <v>232.56424130731699</v>
      </c>
      <c r="T118" s="59">
        <f t="shared" si="88"/>
        <v>384.58890620364178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5.9084062773388473</v>
      </c>
      <c r="AA118" s="21">
        <f>EXP(-LN(2)/25)*AA117+(1-EXP(-LN(2)/25))/(LN(2)/25)*Calculateur!V118*Calculateur!X118*VLOOKUP('Données projet'!$B$9,Paramètres!$A$1:$I$89,3,0)*0.475*44/12</f>
        <v>7.5681838354681412</v>
      </c>
      <c r="AB118" s="21">
        <f>EXP(-LN(2)/2)*AB117+(1-EXP(-LN(2)/2))/(LN(2)/2)*V118*Y118*VLOOKUP('Données projet'!$B$9,Paramètres!$A$1:$I$89,3,0)*0.475*44/12</f>
        <v>1.5891603586123991E-11</v>
      </c>
      <c r="AC118" s="22">
        <f t="shared" si="57"/>
        <v>13.47659011282288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415.99999999999955</v>
      </c>
      <c r="AJ118" s="13">
        <f>AI118*VLOOKUP('Données projet'!$B$10,Paramètres!$A$1:$I$89,3,0)*VLOOKUP('Données projet'!$B$10,Paramètres!$A$1:$I$89,5,0)</f>
        <v>248.76799999999972</v>
      </c>
      <c r="AK118" s="13">
        <f t="shared" si="89"/>
        <v>60.32205079116369</v>
      </c>
      <c r="AL118" s="20">
        <f t="shared" si="58"/>
        <v>538.33183846127633</v>
      </c>
      <c r="AM118" s="59">
        <f t="shared" si="59"/>
        <v>831.66517179460971</v>
      </c>
      <c r="AN118" s="59">
        <f ca="1">AVERAGE(OFFSET($AM$3,0,0,'Données projet'!$E$10+1,1))-AVERAGE(OFFSET($H$3,0,0,'Données projet'!$E$10+1,1))</f>
        <v>279.39350157328471</v>
      </c>
      <c r="AO118" s="59">
        <f t="shared" si="90"/>
        <v>261.55559683031657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10.630227346885871</v>
      </c>
      <c r="AV118" s="21">
        <f>EXP(-LN(2)/25)*AV117+(1-EXP(-LN(2)/25))/(LN(2)/25)*Calculateur!AQ118*Calculateur!AS118*VLOOKUP('Données projet'!$B$10,Paramètres!$A$1:$I$89,3,0)*0.475*44/12</f>
        <v>8.0425022303920759</v>
      </c>
      <c r="AW118" s="21">
        <f>EXP(-LN(2)/2)*AW117+(1-EXP(-LN(2)/2))/(LN(2)/2)*AQ118*AT118*VLOOKUP('Données projet'!$B$10,Paramètres!$A$1:$I$89,3,0)*0.475*44/12</f>
        <v>9.9290452311571735E-8</v>
      </c>
      <c r="AX118" s="21">
        <f t="shared" si="60"/>
        <v>18.672729676568402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475.00000000000011</v>
      </c>
      <c r="BE118" s="13">
        <f>BD118*VLOOKUP('Données projet'!$B$11,Paramètres!$A$1:$I$89,3,0)*VLOOKUP('Données projet'!$B$11,Paramètres!$A$1:$I$89,5,0)</f>
        <v>265.52500000000009</v>
      </c>
      <c r="BF118" s="13">
        <f t="shared" si="91"/>
        <v>63.898639547235177</v>
      </c>
      <c r="BG118" s="20">
        <f t="shared" si="61"/>
        <v>573.74617221143478</v>
      </c>
      <c r="BH118" s="59">
        <f t="shared" si="62"/>
        <v>867.07950554476815</v>
      </c>
      <c r="BI118" s="59">
        <f ca="1">AVERAGE(OFFSET($BH$3,0,0,'Données projet'!$E$11+1,1))-AVERAGE(OFFSET($H$3,0,0,'Données projet'!$E$11+1,1))</f>
        <v>342.37397177572871</v>
      </c>
      <c r="BJ118" s="59">
        <f t="shared" si="92"/>
        <v>331.32436050472762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16.663758085100913</v>
      </c>
      <c r="BQ118" s="21">
        <f>EXP(-LN(2)/25)*BQ117+(1-EXP(-LN(2)/25))/(LN(2)/25)*Calculateur!BL118*Calculateur!BN118*VLOOKUP('Données projet'!$B$11,Paramètres!$A$1:$I$89,3,0)*0.475*44/12</f>
        <v>14.595472153978886</v>
      </c>
      <c r="BR118" s="21">
        <f>EXP(-LN(2)/2)*BR117+(1-EXP(-LN(2)/2))/(LN(2)/2)*BL118*BO118*VLOOKUP('Données projet'!$B$11,Paramètres!$A$1:$I$89,3,0)*0.475*44/12</f>
        <v>7.103795137183622E-7</v>
      </c>
      <c r="BS118" s="22">
        <f t="shared" si="63"/>
        <v>31.259230949459312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253.79640000000001</v>
      </c>
      <c r="CA118" s="13">
        <f t="shared" si="93"/>
        <v>61.39816832228076</v>
      </c>
      <c r="CB118" s="20">
        <f t="shared" si="64"/>
        <v>548.96387316130563</v>
      </c>
      <c r="CC118" s="59">
        <f t="shared" si="65"/>
        <v>842.29720649463889</v>
      </c>
      <c r="CD118" s="59">
        <f ca="1">AVERAGE(OFFSET($CC$3,0,0,'Données projet'!$E$12+1,1))-AVERAGE(OFFSET($H$3,0,0,'Données projet'!$E$12+1,1))</f>
        <v>353.37479213497227</v>
      </c>
      <c r="CE118" s="59">
        <f t="shared" si="94"/>
        <v>345.4750813433123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20.451892473974766</v>
      </c>
      <c r="CL118" s="21">
        <f>EXP(-LN(2)/25)*CL117+(1-EXP(-LN(2)/25))/(LN(2)/25)*Calculateur!CG118*Calculateur!CI118*VLOOKUP('Données projet'!$B$12,Paramètres!$A$1:$I$89,3,0)*0.475*44/12</f>
        <v>0.96881601473872347</v>
      </c>
      <c r="CM118" s="21">
        <f>EXP(-LN(2)/2)*CM117+(1-EXP(-LN(2)/2))/(LN(2)/2)*CG118*CJ118*VLOOKUP('Données projet'!$B$12,Paramètres!$A$1:$I$89,3,0)*0.475*44/12</f>
        <v>3.3085929099685707E-6</v>
      </c>
      <c r="CN118" s="22">
        <f t="shared" si="66"/>
        <v>21.420711797306399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277.99999999999994</v>
      </c>
      <c r="O119" s="13">
        <f>N119*VLOOKUP('Données projet'!$B$9,Paramètres!$A$1:$I$89,3,0)*VLOOKUP('Données projet'!$B$9,Paramètres!$A$1:$I$89,5,0)</f>
        <v>173.47199999999998</v>
      </c>
      <c r="P119" s="13">
        <f t="shared" si="87"/>
        <v>43.866718728383574</v>
      </c>
      <c r="Q119" s="20">
        <f t="shared" si="107"/>
        <v>378.53160178526804</v>
      </c>
      <c r="R119" s="59">
        <f t="shared" si="55"/>
        <v>671.86493511860135</v>
      </c>
      <c r="S119" s="59">
        <f ca="1">AVERAGE(OFFSET($R$3,0,0,'Données projet'!$E$9+1,1))-AVERAGE(OFFSET($H$3,0,0,'Données projet'!$E$9+1,1))</f>
        <v>232.56424130731699</v>
      </c>
      <c r="T119" s="59">
        <f t="shared" si="88"/>
        <v>384.58890620364178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5.7925460340122186</v>
      </c>
      <c r="AA119" s="21">
        <f>EXP(-LN(2)/25)*AA118+(1-EXP(-LN(2)/25))/(LN(2)/25)*Calculateur!V119*Calculateur!X119*VLOOKUP('Données projet'!$B$9,Paramètres!$A$1:$I$89,3,0)*0.475*44/12</f>
        <v>7.3612314504937739</v>
      </c>
      <c r="AB119" s="21">
        <f>EXP(-LN(2)/2)*AB118+(1-EXP(-LN(2)/2))/(LN(2)/2)*V119*Y119*VLOOKUP('Données projet'!$B$9,Paramètres!$A$1:$I$89,3,0)*0.475*44/12</f>
        <v>1.1237060659676731E-11</v>
      </c>
      <c r="AC119" s="22">
        <f t="shared" si="57"/>
        <v>13.15377748451723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415.99999999999955</v>
      </c>
      <c r="AJ119" s="13">
        <f>AI119*VLOOKUP('Données projet'!$B$10,Paramètres!$A$1:$I$89,3,0)*VLOOKUP('Données projet'!$B$10,Paramètres!$A$1:$I$89,5,0)</f>
        <v>248.76799999999972</v>
      </c>
      <c r="AK119" s="13">
        <f t="shared" si="89"/>
        <v>60.32205079116369</v>
      </c>
      <c r="AL119" s="20">
        <f t="shared" si="58"/>
        <v>538.33183846127633</v>
      </c>
      <c r="AM119" s="59">
        <f t="shared" si="59"/>
        <v>831.66517179460971</v>
      </c>
      <c r="AN119" s="59">
        <f ca="1">AVERAGE(OFFSET($AM$3,0,0,'Données projet'!$E$10+1,1))-AVERAGE(OFFSET($H$3,0,0,'Données projet'!$E$10+1,1))</f>
        <v>279.39350157328471</v>
      </c>
      <c r="AO119" s="59">
        <f t="shared" si="90"/>
        <v>261.55559683031657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10.421775072411899</v>
      </c>
      <c r="AV119" s="21">
        <f>EXP(-LN(2)/25)*AV118+(1-EXP(-LN(2)/25))/(LN(2)/25)*Calculateur!AQ119*Calculateur!AS119*VLOOKUP('Données projet'!$B$10,Paramètres!$A$1:$I$89,3,0)*0.475*44/12</f>
        <v>7.8225795839651937</v>
      </c>
      <c r="AW119" s="21">
        <f>EXP(-LN(2)/2)*AW118+(1-EXP(-LN(2)/2))/(LN(2)/2)*AQ119*AT119*VLOOKUP('Données projet'!$B$10,Paramètres!$A$1:$I$89,3,0)*0.475*44/12</f>
        <v>7.0208952136591886E-8</v>
      </c>
      <c r="AX119" s="21">
        <f t="shared" si="60"/>
        <v>18.244354726586042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475.00000000000011</v>
      </c>
      <c r="BE119" s="13">
        <f>BD119*VLOOKUP('Données projet'!$B$11,Paramètres!$A$1:$I$89,3,0)*VLOOKUP('Données projet'!$B$11,Paramètres!$A$1:$I$89,5,0)</f>
        <v>265.52500000000009</v>
      </c>
      <c r="BF119" s="13">
        <f t="shared" si="91"/>
        <v>63.898639547235177</v>
      </c>
      <c r="BG119" s="20">
        <f t="shared" si="61"/>
        <v>573.74617221143478</v>
      </c>
      <c r="BH119" s="59">
        <f t="shared" si="62"/>
        <v>867.07950554476815</v>
      </c>
      <c r="BI119" s="59">
        <f ca="1">AVERAGE(OFFSET($BH$3,0,0,'Données projet'!$E$11+1,1))-AVERAGE(OFFSET($H$3,0,0,'Données projet'!$E$11+1,1))</f>
        <v>342.37397177572871</v>
      </c>
      <c r="BJ119" s="59">
        <f t="shared" si="92"/>
        <v>331.32436050472762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16.336991952940917</v>
      </c>
      <c r="BQ119" s="21">
        <f>EXP(-LN(2)/25)*BQ118+(1-EXP(-LN(2)/25))/(LN(2)/25)*Calculateur!BL119*Calculateur!BN119*VLOOKUP('Données projet'!$B$11,Paramètres!$A$1:$I$89,3,0)*0.475*44/12</f>
        <v>14.196358200385811</v>
      </c>
      <c r="BR119" s="21">
        <f>EXP(-LN(2)/2)*BR118+(1-EXP(-LN(2)/2))/(LN(2)/2)*BL119*BO119*VLOOKUP('Données projet'!$B$11,Paramètres!$A$1:$I$89,3,0)*0.475*44/12</f>
        <v>5.0231417136625598E-7</v>
      </c>
      <c r="BS119" s="22">
        <f t="shared" si="63"/>
        <v>30.533350655640902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253.79640000000001</v>
      </c>
      <c r="CA119" s="13">
        <f t="shared" si="93"/>
        <v>61.39816832228076</v>
      </c>
      <c r="CB119" s="20">
        <f t="shared" si="64"/>
        <v>548.96387316130563</v>
      </c>
      <c r="CC119" s="59">
        <f t="shared" si="65"/>
        <v>842.29720649463889</v>
      </c>
      <c r="CD119" s="59">
        <f ca="1">AVERAGE(OFFSET($CC$3,0,0,'Données projet'!$E$12+1,1))-AVERAGE(OFFSET($H$3,0,0,'Données projet'!$E$12+1,1))</f>
        <v>353.37479213497227</v>
      </c>
      <c r="CE119" s="59">
        <f t="shared" si="94"/>
        <v>345.4750813433123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20.050843336982783</v>
      </c>
      <c r="CL119" s="21">
        <f>EXP(-LN(2)/25)*CL118+(1-EXP(-LN(2)/25))/(LN(2)/25)*Calculateur!CG119*Calculateur!CI119*VLOOKUP('Données projet'!$B$12,Paramètres!$A$1:$I$89,3,0)*0.475*44/12</f>
        <v>0.94232368986787307</v>
      </c>
      <c r="CM119" s="21">
        <f>EXP(-LN(2)/2)*CM118+(1-EXP(-LN(2)/2))/(LN(2)/2)*CG119*CJ119*VLOOKUP('Données projet'!$B$12,Paramètres!$A$1:$I$89,3,0)*0.475*44/12</f>
        <v>2.3395284828245086E-6</v>
      </c>
      <c r="CN119" s="22">
        <f t="shared" si="66"/>
        <v>20.993169366379139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277.99999999999994</v>
      </c>
      <c r="O120" s="13">
        <f>N120*VLOOKUP('Données projet'!$B$9,Paramètres!$A$1:$I$89,3,0)*VLOOKUP('Données projet'!$B$9,Paramètres!$A$1:$I$89,5,0)</f>
        <v>173.47199999999998</v>
      </c>
      <c r="P120" s="13">
        <f t="shared" si="87"/>
        <v>43.866718728383574</v>
      </c>
      <c r="Q120" s="20">
        <f t="shared" si="107"/>
        <v>378.53160178526804</v>
      </c>
      <c r="R120" s="59">
        <f t="shared" si="55"/>
        <v>671.86493511860135</v>
      </c>
      <c r="S120" s="59">
        <f ca="1">AVERAGE(OFFSET($R$3,0,0,'Données projet'!$E$9+1,1))-AVERAGE(OFFSET($H$3,0,0,'Données projet'!$E$9+1,1))</f>
        <v>232.56424130731699</v>
      </c>
      <c r="T120" s="59">
        <f t="shared" si="88"/>
        <v>384.58890620364178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5.678957739389455</v>
      </c>
      <c r="AA120" s="21">
        <f>EXP(-LN(2)/25)*AA119+(1-EXP(-LN(2)/25))/(LN(2)/25)*Calculateur!V120*Calculateur!X120*VLOOKUP('Données projet'!$B$9,Paramètres!$A$1:$I$89,3,0)*0.475*44/12</f>
        <v>7.1599381893696838</v>
      </c>
      <c r="AB120" s="21">
        <f>EXP(-LN(2)/2)*AB119+(1-EXP(-LN(2)/2))/(LN(2)/2)*V120*Y120*VLOOKUP('Données projet'!$B$9,Paramètres!$A$1:$I$89,3,0)*0.475*44/12</f>
        <v>7.9458017930619957E-12</v>
      </c>
      <c r="AC120" s="22">
        <f t="shared" si="57"/>
        <v>12.838895928767085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415.99999999999955</v>
      </c>
      <c r="AJ120" s="13">
        <f>AI120*VLOOKUP('Données projet'!$B$10,Paramètres!$A$1:$I$89,3,0)*VLOOKUP('Données projet'!$B$10,Paramètres!$A$1:$I$89,5,0)</f>
        <v>248.76799999999972</v>
      </c>
      <c r="AK120" s="13">
        <f t="shared" si="89"/>
        <v>60.32205079116369</v>
      </c>
      <c r="AL120" s="20">
        <f t="shared" si="58"/>
        <v>538.33183846127633</v>
      </c>
      <c r="AM120" s="59">
        <f t="shared" si="59"/>
        <v>831.66517179460971</v>
      </c>
      <c r="AN120" s="59">
        <f ca="1">AVERAGE(OFFSET($AM$3,0,0,'Données projet'!$E$10+1,1))-AVERAGE(OFFSET($H$3,0,0,'Données projet'!$E$10+1,1))</f>
        <v>279.39350157328471</v>
      </c>
      <c r="AO120" s="59">
        <f t="shared" si="90"/>
        <v>261.55559683031657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10.217410419897028</v>
      </c>
      <c r="AV120" s="21">
        <f>EXP(-LN(2)/25)*AV119+(1-EXP(-LN(2)/25))/(LN(2)/25)*Calculateur!AQ120*Calculateur!AS120*VLOOKUP('Données projet'!$B$10,Paramètres!$A$1:$I$89,3,0)*0.475*44/12</f>
        <v>7.6086707338700839</v>
      </c>
      <c r="AW120" s="21">
        <f>EXP(-LN(2)/2)*AW119+(1-EXP(-LN(2)/2))/(LN(2)/2)*AQ120*AT120*VLOOKUP('Données projet'!$B$10,Paramètres!$A$1:$I$89,3,0)*0.475*44/12</f>
        <v>4.9645226155785868E-8</v>
      </c>
      <c r="AX120" s="21">
        <f t="shared" si="60"/>
        <v>17.82608120341234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475.00000000000011</v>
      </c>
      <c r="BE120" s="13">
        <f>BD120*VLOOKUP('Données projet'!$B$11,Paramètres!$A$1:$I$89,3,0)*VLOOKUP('Données projet'!$B$11,Paramètres!$A$1:$I$89,5,0)</f>
        <v>265.52500000000009</v>
      </c>
      <c r="BF120" s="13">
        <f t="shared" si="91"/>
        <v>63.898639547235177</v>
      </c>
      <c r="BG120" s="20">
        <f t="shared" si="61"/>
        <v>573.74617221143478</v>
      </c>
      <c r="BH120" s="59">
        <f t="shared" si="62"/>
        <v>867.07950554476815</v>
      </c>
      <c r="BI120" s="59">
        <f ca="1">AVERAGE(OFFSET($BH$3,0,0,'Données projet'!$E$11+1,1))-AVERAGE(OFFSET($H$3,0,0,'Données projet'!$E$11+1,1))</f>
        <v>342.37397177572871</v>
      </c>
      <c r="BJ120" s="59">
        <f t="shared" si="92"/>
        <v>331.32436050472762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16.016633505324915</v>
      </c>
      <c r="BQ120" s="21">
        <f>EXP(-LN(2)/25)*BQ119+(1-EXP(-LN(2)/25))/(LN(2)/25)*Calculateur!BL120*Calculateur!BN120*VLOOKUP('Données projet'!$B$11,Paramètres!$A$1:$I$89,3,0)*0.475*44/12</f>
        <v>13.80815803884223</v>
      </c>
      <c r="BR120" s="21">
        <f>EXP(-LN(2)/2)*BR119+(1-EXP(-LN(2)/2))/(LN(2)/2)*BL120*BO120*VLOOKUP('Données projet'!$B$11,Paramètres!$A$1:$I$89,3,0)*0.475*44/12</f>
        <v>3.551897568591811E-7</v>
      </c>
      <c r="BS120" s="22">
        <f t="shared" si="63"/>
        <v>29.824791899356903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253.79640000000001</v>
      </c>
      <c r="CA120" s="13">
        <f t="shared" si="93"/>
        <v>61.39816832228076</v>
      </c>
      <c r="CB120" s="20">
        <f t="shared" si="64"/>
        <v>548.96387316130563</v>
      </c>
      <c r="CC120" s="59">
        <f t="shared" si="65"/>
        <v>842.29720649463889</v>
      </c>
      <c r="CD120" s="59">
        <f ca="1">AVERAGE(OFFSET($CC$3,0,0,'Données projet'!$E$12+1,1))-AVERAGE(OFFSET($H$3,0,0,'Données projet'!$E$12+1,1))</f>
        <v>353.37479213497227</v>
      </c>
      <c r="CE120" s="59">
        <f t="shared" si="94"/>
        <v>345.4750813433123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19.657658528951394</v>
      </c>
      <c r="CL120" s="21">
        <f>EXP(-LN(2)/25)*CL119+(1-EXP(-LN(2)/25))/(LN(2)/25)*Calculateur!CG120*Calculateur!CI120*VLOOKUP('Données projet'!$B$12,Paramètres!$A$1:$I$89,3,0)*0.475*44/12</f>
        <v>0.91655579901378692</v>
      </c>
      <c r="CM120" s="21">
        <f>EXP(-LN(2)/2)*CM119+(1-EXP(-LN(2)/2))/(LN(2)/2)*CG120*CJ120*VLOOKUP('Données projet'!$B$12,Paramètres!$A$1:$I$89,3,0)*0.475*44/12</f>
        <v>1.6542964549842854E-6</v>
      </c>
      <c r="CN120" s="22">
        <f t="shared" si="66"/>
        <v>20.574215982261634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277.99999999999994</v>
      </c>
      <c r="O121" s="13">
        <f>N121*VLOOKUP('Données projet'!$B$9,Paramètres!$A$1:$I$89,3,0)*VLOOKUP('Données projet'!$B$9,Paramètres!$A$1:$I$89,5,0)</f>
        <v>173.47199999999998</v>
      </c>
      <c r="P121" s="13">
        <f t="shared" si="87"/>
        <v>43.866718728383574</v>
      </c>
      <c r="Q121" s="20">
        <f t="shared" si="107"/>
        <v>378.53160178526804</v>
      </c>
      <c r="R121" s="59">
        <f t="shared" si="55"/>
        <v>671.86493511860135</v>
      </c>
      <c r="S121" s="59">
        <f ca="1">AVERAGE(OFFSET($R$3,0,0,'Données projet'!$E$9+1,1))-AVERAGE(OFFSET($H$3,0,0,'Données projet'!$E$9+1,1))</f>
        <v>232.56424130731699</v>
      </c>
      <c r="T121" s="59">
        <f t="shared" si="88"/>
        <v>384.58890620364178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5.5675968419422244</v>
      </c>
      <c r="AA121" s="21">
        <f>EXP(-LN(2)/25)*AA120+(1-EXP(-LN(2)/25))/(LN(2)/25)*Calculateur!V121*Calculateur!X121*VLOOKUP('Données projet'!$B$9,Paramètres!$A$1:$I$89,3,0)*0.475*44/12</f>
        <v>6.9641493030565851</v>
      </c>
      <c r="AB121" s="21">
        <f>EXP(-LN(2)/2)*AB120+(1-EXP(-LN(2)/2))/(LN(2)/2)*V121*Y121*VLOOKUP('Données projet'!$B$9,Paramètres!$A$1:$I$89,3,0)*0.475*44/12</f>
        <v>5.6185303298383657E-12</v>
      </c>
      <c r="AC121" s="22">
        <f t="shared" si="57"/>
        <v>12.531746145004428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415.99999999999955</v>
      </c>
      <c r="AJ121" s="13">
        <f>AI121*VLOOKUP('Données projet'!$B$10,Paramètres!$A$1:$I$89,3,0)*VLOOKUP('Données projet'!$B$10,Paramètres!$A$1:$I$89,5,0)</f>
        <v>248.76799999999972</v>
      </c>
      <c r="AK121" s="13">
        <f t="shared" si="89"/>
        <v>60.32205079116369</v>
      </c>
      <c r="AL121" s="20">
        <f t="shared" si="58"/>
        <v>538.33183846127633</v>
      </c>
      <c r="AM121" s="59">
        <f t="shared" si="59"/>
        <v>831.66517179460971</v>
      </c>
      <c r="AN121" s="59">
        <f ca="1">AVERAGE(OFFSET($AM$3,0,0,'Données projet'!$E$10+1,1))-AVERAGE(OFFSET($H$3,0,0,'Données projet'!$E$10+1,1))</f>
        <v>279.39350157328471</v>
      </c>
      <c r="AO121" s="59">
        <f t="shared" si="90"/>
        <v>261.55559683031657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10.017053233567845</v>
      </c>
      <c r="AV121" s="21">
        <f>EXP(-LN(2)/25)*AV120+(1-EXP(-LN(2)/25))/(LN(2)/25)*Calculateur!AQ121*Calculateur!AS121*VLOOKUP('Données projet'!$B$10,Paramètres!$A$1:$I$89,3,0)*0.475*44/12</f>
        <v>7.4006112325298021</v>
      </c>
      <c r="AW121" s="21">
        <f>EXP(-LN(2)/2)*AW120+(1-EXP(-LN(2)/2))/(LN(2)/2)*AQ121*AT121*VLOOKUP('Données projet'!$B$10,Paramètres!$A$1:$I$89,3,0)*0.475*44/12</f>
        <v>3.5104476068295943E-8</v>
      </c>
      <c r="AX121" s="21">
        <f t="shared" si="60"/>
        <v>17.417664501202125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475.00000000000011</v>
      </c>
      <c r="BE121" s="13">
        <f>BD121*VLOOKUP('Données projet'!$B$11,Paramètres!$A$1:$I$89,3,0)*VLOOKUP('Données projet'!$B$11,Paramètres!$A$1:$I$89,5,0)</f>
        <v>265.52500000000009</v>
      </c>
      <c r="BF121" s="13">
        <f t="shared" si="91"/>
        <v>63.898639547235177</v>
      </c>
      <c r="BG121" s="20">
        <f t="shared" si="61"/>
        <v>573.74617221143478</v>
      </c>
      <c r="BH121" s="59">
        <f t="shared" si="62"/>
        <v>867.07950554476815</v>
      </c>
      <c r="BI121" s="59">
        <f ca="1">AVERAGE(OFFSET($BH$3,0,0,'Données projet'!$E$11+1,1))-AVERAGE(OFFSET($H$3,0,0,'Données projet'!$E$11+1,1))</f>
        <v>342.37397177572871</v>
      </c>
      <c r="BJ121" s="59">
        <f t="shared" si="92"/>
        <v>331.32436050472762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15.702557091467305</v>
      </c>
      <c r="BQ121" s="21">
        <f>EXP(-LN(2)/25)*BQ120+(1-EXP(-LN(2)/25))/(LN(2)/25)*Calculateur!BL121*Calculateur!BN121*VLOOKUP('Données projet'!$B$11,Paramètres!$A$1:$I$89,3,0)*0.475*44/12</f>
        <v>13.430573231130616</v>
      </c>
      <c r="BR121" s="21">
        <f>EXP(-LN(2)/2)*BR120+(1-EXP(-LN(2)/2))/(LN(2)/2)*BL121*BO121*VLOOKUP('Données projet'!$B$11,Paramètres!$A$1:$I$89,3,0)*0.475*44/12</f>
        <v>2.5115708568312799E-7</v>
      </c>
      <c r="BS121" s="22">
        <f t="shared" si="63"/>
        <v>29.133130573755007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253.79640000000001</v>
      </c>
      <c r="CA121" s="13">
        <f t="shared" si="93"/>
        <v>61.39816832228076</v>
      </c>
      <c r="CB121" s="20">
        <f t="shared" si="64"/>
        <v>548.96387316130563</v>
      </c>
      <c r="CC121" s="59">
        <f t="shared" si="65"/>
        <v>842.29720649463889</v>
      </c>
      <c r="CD121" s="59">
        <f ca="1">AVERAGE(OFFSET($CC$3,0,0,'Données projet'!$E$12+1,1))-AVERAGE(OFFSET($H$3,0,0,'Données projet'!$E$12+1,1))</f>
        <v>353.37479213497227</v>
      </c>
      <c r="CE121" s="59">
        <f t="shared" si="94"/>
        <v>345.4750813433123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19.272183835186446</v>
      </c>
      <c r="CL121" s="21">
        <f>EXP(-LN(2)/25)*CL120+(1-EXP(-LN(2)/25))/(LN(2)/25)*Calculateur!CG121*Calculateur!CI121*VLOOKUP('Données projet'!$B$12,Paramètres!$A$1:$I$89,3,0)*0.475*44/12</f>
        <v>0.89149253249018023</v>
      </c>
      <c r="CM121" s="21">
        <f>EXP(-LN(2)/2)*CM120+(1-EXP(-LN(2)/2))/(LN(2)/2)*CG121*CJ121*VLOOKUP('Données projet'!$B$12,Paramètres!$A$1:$I$89,3,0)*0.475*44/12</f>
        <v>1.1697642414122543E-6</v>
      </c>
      <c r="CN121" s="22">
        <f t="shared" si="66"/>
        <v>20.163677537440869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277.99999999999994</v>
      </c>
      <c r="O122" s="13">
        <f>N122*VLOOKUP('Données projet'!$B$9,Paramètres!$A$1:$I$89,3,0)*VLOOKUP('Données projet'!$B$9,Paramètres!$A$1:$I$89,5,0)</f>
        <v>173.47199999999998</v>
      </c>
      <c r="P122" s="13">
        <f t="shared" si="87"/>
        <v>43.866718728383574</v>
      </c>
      <c r="Q122" s="20">
        <f t="shared" si="107"/>
        <v>378.53160178526804</v>
      </c>
      <c r="R122" s="59">
        <f t="shared" si="55"/>
        <v>671.86493511860135</v>
      </c>
      <c r="S122" s="59">
        <f ca="1">AVERAGE(OFFSET($R$3,0,0,'Données projet'!$E$9+1,1))-AVERAGE(OFFSET($H$3,0,0,'Données projet'!$E$9+1,1))</f>
        <v>232.56424130731699</v>
      </c>
      <c r="T122" s="59">
        <f t="shared" si="88"/>
        <v>384.58890620364178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5.4584196637704938</v>
      </c>
      <c r="AA122" s="21">
        <f>EXP(-LN(2)/25)*AA121+(1-EXP(-LN(2)/25))/(LN(2)/25)*Calculateur!V122*Calculateur!X122*VLOOKUP('Données projet'!$B$9,Paramètres!$A$1:$I$89,3,0)*0.475*44/12</f>
        <v>6.7737142741358074</v>
      </c>
      <c r="AB122" s="21">
        <f>EXP(-LN(2)/2)*AB121+(1-EXP(-LN(2)/2))/(LN(2)/2)*V122*Y122*VLOOKUP('Données projet'!$B$9,Paramètres!$A$1:$I$89,3,0)*0.475*44/12</f>
        <v>3.9729008965309979E-12</v>
      </c>
      <c r="AC122" s="22">
        <f t="shared" si="57"/>
        <v>12.232133937910275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415.99999999999955</v>
      </c>
      <c r="AJ122" s="13">
        <f>AI122*VLOOKUP('Données projet'!$B$10,Paramètres!$A$1:$I$89,3,0)*VLOOKUP('Données projet'!$B$10,Paramètres!$A$1:$I$89,5,0)</f>
        <v>248.76799999999972</v>
      </c>
      <c r="AK122" s="13">
        <f t="shared" si="89"/>
        <v>60.32205079116369</v>
      </c>
      <c r="AL122" s="20">
        <f t="shared" si="58"/>
        <v>538.33183846127633</v>
      </c>
      <c r="AM122" s="59">
        <f t="shared" si="59"/>
        <v>831.66517179460971</v>
      </c>
      <c r="AN122" s="59">
        <f ca="1">AVERAGE(OFFSET($AM$3,0,0,'Données projet'!$E$10+1,1))-AVERAGE(OFFSET($H$3,0,0,'Données projet'!$E$10+1,1))</f>
        <v>279.39350157328471</v>
      </c>
      <c r="AO122" s="59">
        <f t="shared" si="90"/>
        <v>261.55559683031657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9.8206249294567591</v>
      </c>
      <c r="AV122" s="21">
        <f>EXP(-LN(2)/25)*AV121+(1-EXP(-LN(2)/25))/(LN(2)/25)*Calculateur!AQ122*Calculateur!AS122*VLOOKUP('Données projet'!$B$10,Paramètres!$A$1:$I$89,3,0)*0.475*44/12</f>
        <v>7.1982411291950443</v>
      </c>
      <c r="AW122" s="21">
        <f>EXP(-LN(2)/2)*AW121+(1-EXP(-LN(2)/2))/(LN(2)/2)*AQ122*AT122*VLOOKUP('Données projet'!$B$10,Paramètres!$A$1:$I$89,3,0)*0.475*44/12</f>
        <v>2.4822613077892934E-8</v>
      </c>
      <c r="AX122" s="21">
        <f t="shared" si="60"/>
        <v>17.018866083474414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475.00000000000011</v>
      </c>
      <c r="BE122" s="13">
        <f>BD122*VLOOKUP('Données projet'!$B$11,Paramètres!$A$1:$I$89,3,0)*VLOOKUP('Données projet'!$B$11,Paramètres!$A$1:$I$89,5,0)</f>
        <v>265.52500000000009</v>
      </c>
      <c r="BF122" s="13">
        <f t="shared" si="91"/>
        <v>63.898639547235177</v>
      </c>
      <c r="BG122" s="20">
        <f t="shared" si="61"/>
        <v>573.74617221143478</v>
      </c>
      <c r="BH122" s="59">
        <f t="shared" si="62"/>
        <v>867.07950554476815</v>
      </c>
      <c r="BI122" s="59">
        <f ca="1">AVERAGE(OFFSET($BH$3,0,0,'Données projet'!$E$11+1,1))-AVERAGE(OFFSET($H$3,0,0,'Données projet'!$E$11+1,1))</f>
        <v>342.37397177572871</v>
      </c>
      <c r="BJ122" s="59">
        <f t="shared" si="92"/>
        <v>331.32436050472762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15.394639524517746</v>
      </c>
      <c r="BQ122" s="21">
        <f>EXP(-LN(2)/25)*BQ121+(1-EXP(-LN(2)/25))/(LN(2)/25)*Calculateur!BL122*Calculateur!BN122*VLOOKUP('Données projet'!$B$11,Paramètres!$A$1:$I$89,3,0)*0.475*44/12</f>
        <v>13.063313499842199</v>
      </c>
      <c r="BR122" s="21">
        <f>EXP(-LN(2)/2)*BR121+(1-EXP(-LN(2)/2))/(LN(2)/2)*BL122*BO122*VLOOKUP('Données projet'!$B$11,Paramètres!$A$1:$I$89,3,0)*0.475*44/12</f>
        <v>1.7759487842959055E-7</v>
      </c>
      <c r="BS122" s="22">
        <f t="shared" si="63"/>
        <v>28.457953201954822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253.79640000000001</v>
      </c>
      <c r="CA122" s="13">
        <f t="shared" si="93"/>
        <v>61.39816832228076</v>
      </c>
      <c r="CB122" s="20">
        <f t="shared" si="64"/>
        <v>548.96387316130563</v>
      </c>
      <c r="CC122" s="59">
        <f t="shared" si="65"/>
        <v>842.29720649463889</v>
      </c>
      <c r="CD122" s="59">
        <f ca="1">AVERAGE(OFFSET($CC$3,0,0,'Données projet'!$E$12+1,1))-AVERAGE(OFFSET($H$3,0,0,'Données projet'!$E$12+1,1))</f>
        <v>353.37479213497227</v>
      </c>
      <c r="CE122" s="59">
        <f t="shared" si="94"/>
        <v>345.4750813433123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18.894268065049882</v>
      </c>
      <c r="CL122" s="21">
        <f>EXP(-LN(2)/25)*CL121+(1-EXP(-LN(2)/25))/(LN(2)/25)*Calculateur!CG122*Calculateur!CI122*VLOOKUP('Données projet'!$B$12,Paramètres!$A$1:$I$89,3,0)*0.475*44/12</f>
        <v>0.86711462230768155</v>
      </c>
      <c r="CM122" s="21">
        <f>EXP(-LN(2)/2)*CM121+(1-EXP(-LN(2)/2))/(LN(2)/2)*CG122*CJ122*VLOOKUP('Données projet'!$B$12,Paramètres!$A$1:$I$89,3,0)*0.475*44/12</f>
        <v>8.2714822749214268E-7</v>
      </c>
      <c r="CN122" s="22">
        <f t="shared" si="66"/>
        <v>19.761383514505791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277.99999999999994</v>
      </c>
      <c r="O123" s="13">
        <f>N123*VLOOKUP('Données projet'!$B$9,Paramètres!$A$1:$I$89,3,0)*VLOOKUP('Données projet'!$B$9,Paramètres!$A$1:$I$89,5,0)</f>
        <v>173.47199999999998</v>
      </c>
      <c r="P123" s="13">
        <f t="shared" si="87"/>
        <v>43.866718728383574</v>
      </c>
      <c r="Q123" s="20">
        <f t="shared" si="107"/>
        <v>378.53160178526804</v>
      </c>
      <c r="R123" s="59">
        <f t="shared" si="55"/>
        <v>671.86493511860135</v>
      </c>
      <c r="S123" s="59">
        <f ca="1">AVERAGE(OFFSET($R$3,0,0,'Données projet'!$E$9+1,1))-AVERAGE(OFFSET($H$3,0,0,'Données projet'!$E$9+1,1))</f>
        <v>232.56424130731699</v>
      </c>
      <c r="T123" s="59">
        <f t="shared" si="88"/>
        <v>384.58890620364178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5.3513833834712079</v>
      </c>
      <c r="AA123" s="21">
        <f>EXP(-LN(2)/25)*AA122+(1-EXP(-LN(2)/25))/(LN(2)/25)*Calculateur!V123*Calculateur!X123*VLOOKUP('Données projet'!$B$9,Paramètres!$A$1:$I$89,3,0)*0.475*44/12</f>
        <v>6.5884867010954116</v>
      </c>
      <c r="AB123" s="21">
        <f>EXP(-LN(2)/2)*AB122+(1-EXP(-LN(2)/2))/(LN(2)/2)*V123*Y123*VLOOKUP('Données projet'!$B$9,Paramètres!$A$1:$I$89,3,0)*0.475*44/12</f>
        <v>2.8092651649191828E-12</v>
      </c>
      <c r="AC123" s="22">
        <f t="shared" si="57"/>
        <v>11.939870084569428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415.99999999999955</v>
      </c>
      <c r="AJ123" s="13">
        <f>AI123*VLOOKUP('Données projet'!$B$10,Paramètres!$A$1:$I$89,3,0)*VLOOKUP('Données projet'!$B$10,Paramètres!$A$1:$I$89,5,0)</f>
        <v>248.76799999999972</v>
      </c>
      <c r="AK123" s="13">
        <f t="shared" si="89"/>
        <v>60.32205079116369</v>
      </c>
      <c r="AL123" s="20">
        <f t="shared" si="58"/>
        <v>538.33183846127633</v>
      </c>
      <c r="AM123" s="59">
        <f t="shared" si="59"/>
        <v>831.66517179460971</v>
      </c>
      <c r="AN123" s="59">
        <f ca="1">AVERAGE(OFFSET($AM$3,0,0,'Données projet'!$E$10+1,1))-AVERAGE(OFFSET($H$3,0,0,'Données projet'!$E$10+1,1))</f>
        <v>279.39350157328471</v>
      </c>
      <c r="AO123" s="59">
        <f t="shared" si="90"/>
        <v>261.55559683031657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9.628048464579857</v>
      </c>
      <c r="AV123" s="21">
        <f>EXP(-LN(2)/25)*AV122+(1-EXP(-LN(2)/25))/(LN(2)/25)*Calculateur!AQ123*Calculateur!AS123*VLOOKUP('Données projet'!$B$10,Paramètres!$A$1:$I$89,3,0)*0.475*44/12</f>
        <v>7.0014048469781569</v>
      </c>
      <c r="AW123" s="21">
        <f>EXP(-LN(2)/2)*AW122+(1-EXP(-LN(2)/2))/(LN(2)/2)*AQ123*AT123*VLOOKUP('Données projet'!$B$10,Paramètres!$A$1:$I$89,3,0)*0.475*44/12</f>
        <v>1.7552238034147972E-8</v>
      </c>
      <c r="AX123" s="21">
        <f t="shared" si="60"/>
        <v>16.629453329110252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475.00000000000011</v>
      </c>
      <c r="BE123" s="13">
        <f>BD123*VLOOKUP('Données projet'!$B$11,Paramètres!$A$1:$I$89,3,0)*VLOOKUP('Données projet'!$B$11,Paramètres!$A$1:$I$89,5,0)</f>
        <v>265.52500000000009</v>
      </c>
      <c r="BF123" s="13">
        <f t="shared" si="91"/>
        <v>63.898639547235177</v>
      </c>
      <c r="BG123" s="20">
        <f t="shared" si="61"/>
        <v>573.74617221143478</v>
      </c>
      <c r="BH123" s="59">
        <f t="shared" si="62"/>
        <v>867.07950554476815</v>
      </c>
      <c r="BI123" s="59">
        <f ca="1">AVERAGE(OFFSET($BH$3,0,0,'Données projet'!$E$11+1,1))-AVERAGE(OFFSET($H$3,0,0,'Données projet'!$E$11+1,1))</f>
        <v>342.37397177572871</v>
      </c>
      <c r="BJ123" s="59">
        <f t="shared" si="92"/>
        <v>331.32436050472762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15.092760033244897</v>
      </c>
      <c r="BQ123" s="21">
        <f>EXP(-LN(2)/25)*BQ122+(1-EXP(-LN(2)/25))/(LN(2)/25)*Calculateur!BL123*Calculateur!BN123*VLOOKUP('Données projet'!$B$11,Paramètres!$A$1:$I$89,3,0)*0.475*44/12</f>
        <v>12.706096505219213</v>
      </c>
      <c r="BR123" s="21">
        <f>EXP(-LN(2)/2)*BR122+(1-EXP(-LN(2)/2))/(LN(2)/2)*BL123*BO123*VLOOKUP('Données projet'!$B$11,Paramètres!$A$1:$I$89,3,0)*0.475*44/12</f>
        <v>1.2557854284156399E-7</v>
      </c>
      <c r="BS123" s="22">
        <f t="shared" si="63"/>
        <v>27.798856664042649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253.79640000000001</v>
      </c>
      <c r="CA123" s="13">
        <f t="shared" si="93"/>
        <v>61.39816832228076</v>
      </c>
      <c r="CB123" s="20">
        <f t="shared" si="64"/>
        <v>548.96387316130563</v>
      </c>
      <c r="CC123" s="59">
        <f t="shared" si="65"/>
        <v>842.29720649463889</v>
      </c>
      <c r="CD123" s="59">
        <f ca="1">AVERAGE(OFFSET($CC$3,0,0,'Données projet'!$E$12+1,1))-AVERAGE(OFFSET($H$3,0,0,'Données projet'!$E$12+1,1))</f>
        <v>353.37479213497227</v>
      </c>
      <c r="CE123" s="59">
        <f t="shared" si="94"/>
        <v>345.4750813433123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18.523762992659837</v>
      </c>
      <c r="CL123" s="21">
        <f>EXP(-LN(2)/25)*CL122+(1-EXP(-LN(2)/25))/(LN(2)/25)*Calculateur!CG123*Calculateur!CI123*VLOOKUP('Données projet'!$B$12,Paramètres!$A$1:$I$89,3,0)*0.475*44/12</f>
        <v>0.8434033273611018</v>
      </c>
      <c r="CM123" s="21">
        <f>EXP(-LN(2)/2)*CM122+(1-EXP(-LN(2)/2))/(LN(2)/2)*CG123*CJ123*VLOOKUP('Données projet'!$B$12,Paramètres!$A$1:$I$89,3,0)*0.475*44/12</f>
        <v>5.8488212070612716E-7</v>
      </c>
      <c r="CN123" s="22">
        <f t="shared" si="66"/>
        <v>19.367166904903058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277.99999999999994</v>
      </c>
      <c r="O124" s="13">
        <f>N124*VLOOKUP('Données projet'!$B$9,Paramètres!$A$1:$I$89,3,0)*VLOOKUP('Données projet'!$B$9,Paramètres!$A$1:$I$89,5,0)</f>
        <v>173.47199999999998</v>
      </c>
      <c r="P124" s="13">
        <f t="shared" si="87"/>
        <v>43.866718728383574</v>
      </c>
      <c r="Q124" s="20">
        <f t="shared" si="107"/>
        <v>378.53160178526804</v>
      </c>
      <c r="R124" s="59">
        <f t="shared" si="55"/>
        <v>671.86493511860135</v>
      </c>
      <c r="S124" s="59">
        <f ca="1">AVERAGE(OFFSET($R$3,0,0,'Données projet'!$E$9+1,1))-AVERAGE(OFFSET($H$3,0,0,'Données projet'!$E$9+1,1))</f>
        <v>232.56424130731699</v>
      </c>
      <c r="T124" s="59">
        <f t="shared" si="88"/>
        <v>384.58890620364178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5.2464460193429057</v>
      </c>
      <c r="AA124" s="21">
        <f>EXP(-LN(2)/25)*AA123+(1-EXP(-LN(2)/25))/(LN(2)/25)*Calculateur!V124*Calculateur!X124*VLOOKUP('Données projet'!$B$9,Paramètres!$A$1:$I$89,3,0)*0.475*44/12</f>
        <v>6.4083241857804998</v>
      </c>
      <c r="AB124" s="21">
        <f>EXP(-LN(2)/2)*AB123+(1-EXP(-LN(2)/2))/(LN(2)/2)*V124*Y124*VLOOKUP('Données projet'!$B$9,Paramètres!$A$1:$I$89,3,0)*0.475*44/12</f>
        <v>1.9864504482654989E-12</v>
      </c>
      <c r="AC124" s="22">
        <f t="shared" si="57"/>
        <v>11.654770205125391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415.99999999999955</v>
      </c>
      <c r="AJ124" s="13">
        <f>AI124*VLOOKUP('Données projet'!$B$10,Paramètres!$A$1:$I$89,3,0)*VLOOKUP('Données projet'!$B$10,Paramètres!$A$1:$I$89,5,0)</f>
        <v>248.76799999999972</v>
      </c>
      <c r="AK124" s="13">
        <f t="shared" si="89"/>
        <v>60.32205079116369</v>
      </c>
      <c r="AL124" s="20">
        <f t="shared" si="58"/>
        <v>538.33183846127633</v>
      </c>
      <c r="AM124" s="59">
        <f t="shared" si="59"/>
        <v>831.66517179460971</v>
      </c>
      <c r="AN124" s="59">
        <f ca="1">AVERAGE(OFFSET($AM$3,0,0,'Données projet'!$E$10+1,1))-AVERAGE(OFFSET($H$3,0,0,'Données projet'!$E$10+1,1))</f>
        <v>279.39350157328471</v>
      </c>
      <c r="AO124" s="59">
        <f t="shared" si="90"/>
        <v>261.55559683031657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9.4392483067191453</v>
      </c>
      <c r="AV124" s="21">
        <f>EXP(-LN(2)/25)*AV123+(1-EXP(-LN(2)/25))/(LN(2)/25)*Calculateur!AQ124*Calculateur!AS124*VLOOKUP('Données projet'!$B$10,Paramètres!$A$1:$I$89,3,0)*0.475*44/12</f>
        <v>6.8099510632496605</v>
      </c>
      <c r="AW124" s="21">
        <f>EXP(-LN(2)/2)*AW123+(1-EXP(-LN(2)/2))/(LN(2)/2)*AQ124*AT124*VLOOKUP('Données projet'!$B$10,Paramètres!$A$1:$I$89,3,0)*0.475*44/12</f>
        <v>1.2411306538946467E-8</v>
      </c>
      <c r="AX124" s="21">
        <f t="shared" si="60"/>
        <v>16.249199382380112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475.00000000000011</v>
      </c>
      <c r="BE124" s="13">
        <f>BD124*VLOOKUP('Données projet'!$B$11,Paramètres!$A$1:$I$89,3,0)*VLOOKUP('Données projet'!$B$11,Paramètres!$A$1:$I$89,5,0)</f>
        <v>265.52500000000009</v>
      </c>
      <c r="BF124" s="13">
        <f t="shared" si="91"/>
        <v>63.898639547235177</v>
      </c>
      <c r="BG124" s="20">
        <f t="shared" si="61"/>
        <v>573.74617221143478</v>
      </c>
      <c r="BH124" s="59">
        <f t="shared" si="62"/>
        <v>867.07950554476815</v>
      </c>
      <c r="BI124" s="59">
        <f ca="1">AVERAGE(OFFSET($BH$3,0,0,'Données projet'!$E$11+1,1))-AVERAGE(OFFSET($H$3,0,0,'Données projet'!$E$11+1,1))</f>
        <v>342.37397177572871</v>
      </c>
      <c r="BJ124" s="59">
        <f t="shared" si="92"/>
        <v>331.32436050472762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14.7968002146676</v>
      </c>
      <c r="BQ124" s="21">
        <f>EXP(-LN(2)/25)*BQ123+(1-EXP(-LN(2)/25))/(LN(2)/25)*Calculateur!BL124*Calculateur!BN124*VLOOKUP('Données projet'!$B$11,Paramètres!$A$1:$I$89,3,0)*0.475*44/12</f>
        <v>12.358647628099419</v>
      </c>
      <c r="BR124" s="21">
        <f>EXP(-LN(2)/2)*BR123+(1-EXP(-LN(2)/2))/(LN(2)/2)*BL124*BO124*VLOOKUP('Données projet'!$B$11,Paramètres!$A$1:$I$89,3,0)*0.475*44/12</f>
        <v>8.8797439214795275E-8</v>
      </c>
      <c r="BS124" s="22">
        <f t="shared" si="63"/>
        <v>27.155447931564456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253.79640000000001</v>
      </c>
      <c r="CA124" s="13">
        <f t="shared" si="93"/>
        <v>61.39816832228076</v>
      </c>
      <c r="CB124" s="20">
        <f t="shared" si="64"/>
        <v>548.96387316130563</v>
      </c>
      <c r="CC124" s="59">
        <f t="shared" si="65"/>
        <v>842.29720649463889</v>
      </c>
      <c r="CD124" s="59">
        <f ca="1">AVERAGE(OFFSET($CC$3,0,0,'Données projet'!$E$12+1,1))-AVERAGE(OFFSET($H$3,0,0,'Données projet'!$E$12+1,1))</f>
        <v>353.37479213497227</v>
      </c>
      <c r="CE124" s="59">
        <f t="shared" si="94"/>
        <v>345.4750813433123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18.160523298753581</v>
      </c>
      <c r="CL124" s="21">
        <f>EXP(-LN(2)/25)*CL123+(1-EXP(-LN(2)/25))/(LN(2)/25)*Calculateur!CG124*Calculateur!CI124*VLOOKUP('Données projet'!$B$12,Paramètres!$A$1:$I$89,3,0)*0.475*44/12</f>
        <v>0.82034041902175914</v>
      </c>
      <c r="CM124" s="21">
        <f>EXP(-LN(2)/2)*CM123+(1-EXP(-LN(2)/2))/(LN(2)/2)*CG124*CJ124*VLOOKUP('Données projet'!$B$12,Paramètres!$A$1:$I$89,3,0)*0.475*44/12</f>
        <v>4.1357411374607134E-7</v>
      </c>
      <c r="CN124" s="22">
        <f t="shared" si="66"/>
        <v>18.980864131349453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277.99999999999994</v>
      </c>
      <c r="O125" s="13">
        <f>N125*VLOOKUP('Données projet'!$B$9,Paramètres!$A$1:$I$89,3,0)*VLOOKUP('Données projet'!$B$9,Paramètres!$A$1:$I$89,5,0)</f>
        <v>173.47199999999998</v>
      </c>
      <c r="P125" s="13">
        <f t="shared" si="87"/>
        <v>43.866718728383574</v>
      </c>
      <c r="Q125" s="20">
        <f t="shared" si="107"/>
        <v>378.53160178526804</v>
      </c>
      <c r="R125" s="59">
        <f t="shared" si="55"/>
        <v>671.86493511860135</v>
      </c>
      <c r="S125" s="59">
        <f ca="1">AVERAGE(OFFSET($R$3,0,0,'Données projet'!$E$9+1,1))-AVERAGE(OFFSET($H$3,0,0,'Données projet'!$E$9+1,1))</f>
        <v>232.56424130731699</v>
      </c>
      <c r="T125" s="59">
        <f t="shared" si="88"/>
        <v>384.58890620364178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5.1435664129196876</v>
      </c>
      <c r="AA125" s="21">
        <f>EXP(-LN(2)/25)*AA124+(1-EXP(-LN(2)/25))/(LN(2)/25)*Calculateur!V125*Calculateur!X125*VLOOKUP('Données projet'!$B$9,Paramètres!$A$1:$I$89,3,0)*0.475*44/12</f>
        <v>6.2330882239212091</v>
      </c>
      <c r="AB125" s="21">
        <f>EXP(-LN(2)/2)*AB124+(1-EXP(-LN(2)/2))/(LN(2)/2)*V125*Y125*VLOOKUP('Données projet'!$B$9,Paramètres!$A$1:$I$89,3,0)*0.475*44/12</f>
        <v>1.4046325824595914E-12</v>
      </c>
      <c r="AC125" s="22">
        <f t="shared" si="57"/>
        <v>11.376654636842302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415.99999999999955</v>
      </c>
      <c r="AJ125" s="13">
        <f>AI125*VLOOKUP('Données projet'!$B$10,Paramètres!$A$1:$I$89,3,0)*VLOOKUP('Données projet'!$B$10,Paramètres!$A$1:$I$89,5,0)</f>
        <v>248.76799999999972</v>
      </c>
      <c r="AK125" s="13">
        <f t="shared" si="89"/>
        <v>60.32205079116369</v>
      </c>
      <c r="AL125" s="20">
        <f t="shared" si="58"/>
        <v>538.33183846127633</v>
      </c>
      <c r="AM125" s="59">
        <f t="shared" si="59"/>
        <v>831.66517179460971</v>
      </c>
      <c r="AN125" s="59">
        <f ca="1">AVERAGE(OFFSET($AM$3,0,0,'Données projet'!$E$10+1,1))-AVERAGE(OFFSET($H$3,0,0,'Données projet'!$E$10+1,1))</f>
        <v>279.39350157328471</v>
      </c>
      <c r="AO125" s="59">
        <f t="shared" si="90"/>
        <v>261.55559683031657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9.2541504047973557</v>
      </c>
      <c r="AV125" s="21">
        <f>EXP(-LN(2)/25)*AV124+(1-EXP(-LN(2)/25))/(LN(2)/25)*Calculateur!AQ125*Calculateur!AS125*VLOOKUP('Données projet'!$B$10,Paramètres!$A$1:$I$89,3,0)*0.475*44/12</f>
        <v>6.6237325933053368</v>
      </c>
      <c r="AW125" s="21">
        <f>EXP(-LN(2)/2)*AW124+(1-EXP(-LN(2)/2))/(LN(2)/2)*AQ125*AT125*VLOOKUP('Données projet'!$B$10,Paramètres!$A$1:$I$89,3,0)*0.475*44/12</f>
        <v>8.7761190170739858E-9</v>
      </c>
      <c r="AX125" s="21">
        <f t="shared" si="60"/>
        <v>15.877883006878811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475.00000000000011</v>
      </c>
      <c r="BE125" s="13">
        <f>BD125*VLOOKUP('Données projet'!$B$11,Paramètres!$A$1:$I$89,3,0)*VLOOKUP('Données projet'!$B$11,Paramètres!$A$1:$I$89,5,0)</f>
        <v>265.52500000000009</v>
      </c>
      <c r="BF125" s="13">
        <f t="shared" si="91"/>
        <v>63.898639547235177</v>
      </c>
      <c r="BG125" s="20">
        <f t="shared" si="61"/>
        <v>573.74617221143478</v>
      </c>
      <c r="BH125" s="59">
        <f t="shared" si="62"/>
        <v>867.07950554476815</v>
      </c>
      <c r="BI125" s="59">
        <f ca="1">AVERAGE(OFFSET($BH$3,0,0,'Données projet'!$E$11+1,1))-AVERAGE(OFFSET($H$3,0,0,'Données projet'!$E$11+1,1))</f>
        <v>342.37397177572871</v>
      </c>
      <c r="BJ125" s="59">
        <f t="shared" si="92"/>
        <v>331.32436050472762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14.50664398761494</v>
      </c>
      <c r="BQ125" s="21">
        <f>EXP(-LN(2)/25)*BQ124+(1-EXP(-LN(2)/25))/(LN(2)/25)*Calculateur!BL125*Calculateur!BN125*VLOOKUP('Données projet'!$B$11,Paramètres!$A$1:$I$89,3,0)*0.475*44/12</f>
        <v>12.020699758796008</v>
      </c>
      <c r="BR125" s="21">
        <f>EXP(-LN(2)/2)*BR124+(1-EXP(-LN(2)/2))/(LN(2)/2)*BL125*BO125*VLOOKUP('Données projet'!$B$11,Paramètres!$A$1:$I$89,3,0)*0.475*44/12</f>
        <v>6.2789271420781997E-8</v>
      </c>
      <c r="BS125" s="22">
        <f t="shared" si="63"/>
        <v>26.527343809200222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253.79640000000001</v>
      </c>
      <c r="CA125" s="13">
        <f t="shared" si="93"/>
        <v>61.39816832228076</v>
      </c>
      <c r="CB125" s="20">
        <f t="shared" si="64"/>
        <v>548.96387316130563</v>
      </c>
      <c r="CC125" s="59">
        <f t="shared" si="65"/>
        <v>842.29720649463889</v>
      </c>
      <c r="CD125" s="59">
        <f ca="1">AVERAGE(OFFSET($CC$3,0,0,'Données projet'!$E$12+1,1))-AVERAGE(OFFSET($H$3,0,0,'Données projet'!$E$12+1,1))</f>
        <v>353.37479213497227</v>
      </c>
      <c r="CE125" s="59">
        <f t="shared" si="94"/>
        <v>345.4750813433123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17.804406513690491</v>
      </c>
      <c r="CL125" s="21">
        <f>EXP(-LN(2)/25)*CL124+(1-EXP(-LN(2)/25))/(LN(2)/25)*Calculateur!CG125*Calculateur!CI125*VLOOKUP('Données projet'!$B$12,Paramètres!$A$1:$I$89,3,0)*0.475*44/12</f>
        <v>0.79790816712378143</v>
      </c>
      <c r="CM125" s="21">
        <f>EXP(-LN(2)/2)*CM124+(1-EXP(-LN(2)/2))/(LN(2)/2)*CG125*CJ125*VLOOKUP('Données projet'!$B$12,Paramètres!$A$1:$I$89,3,0)*0.475*44/12</f>
        <v>2.9244106035306358E-7</v>
      </c>
      <c r="CN125" s="22">
        <f t="shared" si="66"/>
        <v>18.602314973255336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277.99999999999994</v>
      </c>
      <c r="O126" s="13">
        <f>N126*VLOOKUP('Données projet'!$B$9,Paramètres!$A$1:$I$89,3,0)*VLOOKUP('Données projet'!$B$9,Paramètres!$A$1:$I$89,5,0)</f>
        <v>173.47199999999998</v>
      </c>
      <c r="P126" s="13">
        <f t="shared" si="87"/>
        <v>43.866718728383574</v>
      </c>
      <c r="Q126" s="20">
        <f t="shared" si="107"/>
        <v>378.53160178526804</v>
      </c>
      <c r="R126" s="59">
        <f t="shared" si="55"/>
        <v>671.86493511860135</v>
      </c>
      <c r="S126" s="59">
        <f ca="1">AVERAGE(OFFSET($R$3,0,0,'Données projet'!$E$9+1,1))-AVERAGE(OFFSET($H$3,0,0,'Données projet'!$E$9+1,1))</f>
        <v>232.56424130731699</v>
      </c>
      <c r="T126" s="59">
        <f t="shared" si="88"/>
        <v>384.58890620364178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5.042704212828065</v>
      </c>
      <c r="AA126" s="21">
        <f>EXP(-LN(2)/25)*AA125+(1-EXP(-LN(2)/25))/(LN(2)/25)*Calculateur!V126*Calculateur!X126*VLOOKUP('Données projet'!$B$9,Paramètres!$A$1:$I$89,3,0)*0.475*44/12</f>
        <v>6.0626440986542196</v>
      </c>
      <c r="AB126" s="21">
        <f>EXP(-LN(2)/2)*AB125+(1-EXP(-LN(2)/2))/(LN(2)/2)*V126*Y126*VLOOKUP('Données projet'!$B$9,Paramètres!$A$1:$I$89,3,0)*0.475*44/12</f>
        <v>9.9322522413274946E-13</v>
      </c>
      <c r="AC126" s="22">
        <f t="shared" si="57"/>
        <v>11.105348311483278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415.99999999999955</v>
      </c>
      <c r="AJ126" s="13">
        <f>AI126*VLOOKUP('Données projet'!$B$10,Paramètres!$A$1:$I$89,3,0)*VLOOKUP('Données projet'!$B$10,Paramètres!$A$1:$I$89,5,0)</f>
        <v>248.76799999999972</v>
      </c>
      <c r="AK126" s="13">
        <f t="shared" si="89"/>
        <v>60.32205079116369</v>
      </c>
      <c r="AL126" s="20">
        <f t="shared" si="58"/>
        <v>538.33183846127633</v>
      </c>
      <c r="AM126" s="59">
        <f t="shared" si="59"/>
        <v>831.66517179460971</v>
      </c>
      <c r="AN126" s="59">
        <f ca="1">AVERAGE(OFFSET($AM$3,0,0,'Données projet'!$E$10+1,1))-AVERAGE(OFFSET($H$3,0,0,'Données projet'!$E$10+1,1))</f>
        <v>279.39350157328471</v>
      </c>
      <c r="AO126" s="59">
        <f t="shared" si="90"/>
        <v>261.55559683031657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9.0726821598336809</v>
      </c>
      <c r="AV126" s="21">
        <f>EXP(-LN(2)/25)*AV125+(1-EXP(-LN(2)/25))/(LN(2)/25)*Calculateur!AQ126*Calculateur!AS126*VLOOKUP('Données projet'!$B$10,Paramètres!$A$1:$I$89,3,0)*0.475*44/12</f>
        <v>6.4426062772144439</v>
      </c>
      <c r="AW126" s="21">
        <f>EXP(-LN(2)/2)*AW125+(1-EXP(-LN(2)/2))/(LN(2)/2)*AQ126*AT126*VLOOKUP('Données projet'!$B$10,Paramètres!$A$1:$I$89,3,0)*0.475*44/12</f>
        <v>6.2056532694732335E-9</v>
      </c>
      <c r="AX126" s="21">
        <f t="shared" si="60"/>
        <v>15.515288443253777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475.00000000000011</v>
      </c>
      <c r="BE126" s="13">
        <f>BD126*VLOOKUP('Données projet'!$B$11,Paramètres!$A$1:$I$89,3,0)*VLOOKUP('Données projet'!$B$11,Paramètres!$A$1:$I$89,5,0)</f>
        <v>265.52500000000009</v>
      </c>
      <c r="BF126" s="13">
        <f t="shared" si="91"/>
        <v>63.898639547235177</v>
      </c>
      <c r="BG126" s="20">
        <f t="shared" si="61"/>
        <v>573.74617221143478</v>
      </c>
      <c r="BH126" s="59">
        <f t="shared" si="62"/>
        <v>867.07950554476815</v>
      </c>
      <c r="BI126" s="59">
        <f ca="1">AVERAGE(OFFSET($BH$3,0,0,'Données projet'!$E$11+1,1))-AVERAGE(OFFSET($H$3,0,0,'Données projet'!$E$11+1,1))</f>
        <v>342.37397177572871</v>
      </c>
      <c r="BJ126" s="59">
        <f t="shared" si="92"/>
        <v>331.32436050472762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14.222177547196958</v>
      </c>
      <c r="BQ126" s="21">
        <f>EXP(-LN(2)/25)*BQ125+(1-EXP(-LN(2)/25))/(LN(2)/25)*Calculateur!BL126*Calculateur!BN126*VLOOKUP('Données projet'!$B$11,Paramètres!$A$1:$I$89,3,0)*0.475*44/12</f>
        <v>11.691993091750604</v>
      </c>
      <c r="BR126" s="21">
        <f>EXP(-LN(2)/2)*BR125+(1-EXP(-LN(2)/2))/(LN(2)/2)*BL126*BO126*VLOOKUP('Données projet'!$B$11,Paramètres!$A$1:$I$89,3,0)*0.475*44/12</f>
        <v>4.4398719607397638E-8</v>
      </c>
      <c r="BS126" s="22">
        <f t="shared" si="63"/>
        <v>25.914170683346281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253.79640000000001</v>
      </c>
      <c r="CA126" s="13">
        <f t="shared" si="93"/>
        <v>61.39816832228076</v>
      </c>
      <c r="CB126" s="20">
        <f t="shared" si="64"/>
        <v>548.96387316130563</v>
      </c>
      <c r="CC126" s="59">
        <f t="shared" si="65"/>
        <v>842.29720649463889</v>
      </c>
      <c r="CD126" s="59">
        <f ca="1">AVERAGE(OFFSET($CC$3,0,0,'Données projet'!$E$12+1,1))-AVERAGE(OFFSET($H$3,0,0,'Données projet'!$E$12+1,1))</f>
        <v>353.37479213497227</v>
      </c>
      <c r="CE126" s="59">
        <f t="shared" si="94"/>
        <v>345.4750813433123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17.455272961572696</v>
      </c>
      <c r="CL126" s="21">
        <f>EXP(-LN(2)/25)*CL125+(1-EXP(-LN(2)/25))/(LN(2)/25)*Calculateur!CG126*Calculateur!CI126*VLOOKUP('Données projet'!$B$12,Paramètres!$A$1:$I$89,3,0)*0.475*44/12</f>
        <v>0.77608932633361472</v>
      </c>
      <c r="CM126" s="21">
        <f>EXP(-LN(2)/2)*CM125+(1-EXP(-LN(2)/2))/(LN(2)/2)*CG126*CJ126*VLOOKUP('Données projet'!$B$12,Paramètres!$A$1:$I$89,3,0)*0.475*44/12</f>
        <v>2.0678705687303567E-7</v>
      </c>
      <c r="CN126" s="22">
        <f t="shared" si="66"/>
        <v>18.231362494693368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277.99999999999994</v>
      </c>
      <c r="O127" s="13">
        <f>N127*VLOOKUP('Données projet'!$B$9,Paramètres!$A$1:$I$89,3,0)*VLOOKUP('Données projet'!$B$9,Paramètres!$A$1:$I$89,5,0)</f>
        <v>173.47199999999998</v>
      </c>
      <c r="P127" s="13">
        <f t="shared" si="87"/>
        <v>43.866718728383574</v>
      </c>
      <c r="Q127" s="20">
        <f t="shared" si="107"/>
        <v>378.53160178526804</v>
      </c>
      <c r="R127" s="59">
        <f t="shared" si="55"/>
        <v>671.86493511860135</v>
      </c>
      <c r="S127" s="59">
        <f ca="1">AVERAGE(OFFSET($R$3,0,0,'Données projet'!$E$9+1,1))-AVERAGE(OFFSET($H$3,0,0,'Données projet'!$E$9+1,1))</f>
        <v>232.56424130731699</v>
      </c>
      <c r="T127" s="59">
        <f t="shared" si="88"/>
        <v>384.58890620364178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4.9438198589603717</v>
      </c>
      <c r="AA127" s="21">
        <f>EXP(-LN(2)/25)*AA126+(1-EXP(-LN(2)/25))/(LN(2)/25)*Calculateur!V127*Calculateur!X127*VLOOKUP('Données projet'!$B$9,Paramètres!$A$1:$I$89,3,0)*0.475*44/12</f>
        <v>5.8968607769559229</v>
      </c>
      <c r="AB127" s="21">
        <f>EXP(-LN(2)/2)*AB126+(1-EXP(-LN(2)/2))/(LN(2)/2)*V127*Y127*VLOOKUP('Données projet'!$B$9,Paramètres!$A$1:$I$89,3,0)*0.475*44/12</f>
        <v>7.0231629122979571E-13</v>
      </c>
      <c r="AC127" s="22">
        <f t="shared" si="57"/>
        <v>10.840680635916996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415.99999999999955</v>
      </c>
      <c r="AJ127" s="13">
        <f>AI127*VLOOKUP('Données projet'!$B$10,Paramètres!$A$1:$I$89,3,0)*VLOOKUP('Données projet'!$B$10,Paramètres!$A$1:$I$89,5,0)</f>
        <v>248.76799999999972</v>
      </c>
      <c r="AK127" s="13">
        <f t="shared" si="89"/>
        <v>60.32205079116369</v>
      </c>
      <c r="AL127" s="20">
        <f t="shared" si="58"/>
        <v>538.33183846127633</v>
      </c>
      <c r="AM127" s="59">
        <f t="shared" si="59"/>
        <v>831.66517179460971</v>
      </c>
      <c r="AN127" s="59">
        <f ca="1">AVERAGE(OFFSET($AM$3,0,0,'Données projet'!$E$10+1,1))-AVERAGE(OFFSET($H$3,0,0,'Données projet'!$E$10+1,1))</f>
        <v>279.39350157328471</v>
      </c>
      <c r="AO127" s="59">
        <f t="shared" si="90"/>
        <v>261.55559683031657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8.8947723964690439</v>
      </c>
      <c r="AV127" s="21">
        <f>EXP(-LN(2)/25)*AV126+(1-EXP(-LN(2)/25))/(LN(2)/25)*Calculateur!AQ127*Calculateur!AS127*VLOOKUP('Données projet'!$B$10,Paramètres!$A$1:$I$89,3,0)*0.475*44/12</f>
        <v>6.2664328697620757</v>
      </c>
      <c r="AW127" s="21">
        <f>EXP(-LN(2)/2)*AW126+(1-EXP(-LN(2)/2))/(LN(2)/2)*AQ127*AT127*VLOOKUP('Données projet'!$B$10,Paramètres!$A$1:$I$89,3,0)*0.475*44/12</f>
        <v>4.3880595085369929E-9</v>
      </c>
      <c r="AX127" s="21">
        <f t="shared" si="60"/>
        <v>15.161205270619179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475.00000000000011</v>
      </c>
      <c r="BE127" s="13">
        <f>BD127*VLOOKUP('Données projet'!$B$11,Paramètres!$A$1:$I$89,3,0)*VLOOKUP('Données projet'!$B$11,Paramètres!$A$1:$I$89,5,0)</f>
        <v>265.52500000000009</v>
      </c>
      <c r="BF127" s="13">
        <f t="shared" si="91"/>
        <v>63.898639547235177</v>
      </c>
      <c r="BG127" s="20">
        <f t="shared" si="61"/>
        <v>573.74617221143478</v>
      </c>
      <c r="BH127" s="59">
        <f t="shared" si="62"/>
        <v>867.07950554476815</v>
      </c>
      <c r="BI127" s="59">
        <f ca="1">AVERAGE(OFFSET($BH$3,0,0,'Données projet'!$E$11+1,1))-AVERAGE(OFFSET($H$3,0,0,'Données projet'!$E$11+1,1))</f>
        <v>342.37397177572871</v>
      </c>
      <c r="BJ127" s="59">
        <f t="shared" si="92"/>
        <v>331.32436050472762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13.943289320168176</v>
      </c>
      <c r="BQ127" s="21">
        <f>EXP(-LN(2)/25)*BQ126+(1-EXP(-LN(2)/25))/(LN(2)/25)*Calculateur!BL127*Calculateur!BN127*VLOOKUP('Données projet'!$B$11,Paramètres!$A$1:$I$89,3,0)*0.475*44/12</f>
        <v>11.37227492580149</v>
      </c>
      <c r="BR127" s="21">
        <f>EXP(-LN(2)/2)*BR126+(1-EXP(-LN(2)/2))/(LN(2)/2)*BL127*BO127*VLOOKUP('Données projet'!$B$11,Paramètres!$A$1:$I$89,3,0)*0.475*44/12</f>
        <v>3.1394635710390999E-8</v>
      </c>
      <c r="BS127" s="22">
        <f t="shared" si="63"/>
        <v>25.315564277364302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253.79640000000001</v>
      </c>
      <c r="CA127" s="13">
        <f t="shared" si="93"/>
        <v>61.39816832228076</v>
      </c>
      <c r="CB127" s="20">
        <f t="shared" si="64"/>
        <v>548.96387316130563</v>
      </c>
      <c r="CC127" s="59">
        <f t="shared" si="65"/>
        <v>842.29720649463889</v>
      </c>
      <c r="CD127" s="59">
        <f ca="1">AVERAGE(OFFSET($CC$3,0,0,'Données projet'!$E$12+1,1))-AVERAGE(OFFSET($H$3,0,0,'Données projet'!$E$12+1,1))</f>
        <v>353.37479213497227</v>
      </c>
      <c r="CE127" s="59">
        <f t="shared" si="94"/>
        <v>345.4750813433123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17.11298570546149</v>
      </c>
      <c r="CL127" s="21">
        <f>EXP(-LN(2)/25)*CL126+(1-EXP(-LN(2)/25))/(LN(2)/25)*Calculateur!CG127*Calculateur!CI127*VLOOKUP('Données projet'!$B$12,Paramètres!$A$1:$I$89,3,0)*0.475*44/12</f>
        <v>0.7548671228922581</v>
      </c>
      <c r="CM127" s="21">
        <f>EXP(-LN(2)/2)*CM126+(1-EXP(-LN(2)/2))/(LN(2)/2)*CG127*CJ127*VLOOKUP('Données projet'!$B$12,Paramètres!$A$1:$I$89,3,0)*0.475*44/12</f>
        <v>1.4622053017653179E-7</v>
      </c>
      <c r="CN127" s="22">
        <f t="shared" si="66"/>
        <v>17.867852974574276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277.99999999999994</v>
      </c>
      <c r="O128" s="13">
        <f>N128*VLOOKUP('Données projet'!$B$9,Paramètres!$A$1:$I$89,3,0)*VLOOKUP('Données projet'!$B$9,Paramètres!$A$1:$I$89,5,0)</f>
        <v>173.47199999999998</v>
      </c>
      <c r="P128" s="13">
        <f t="shared" si="87"/>
        <v>43.866718728383574</v>
      </c>
      <c r="Q128" s="20">
        <f t="shared" si="107"/>
        <v>378.53160178526804</v>
      </c>
      <c r="R128" s="59">
        <f t="shared" si="55"/>
        <v>671.86493511860135</v>
      </c>
      <c r="S128" s="59">
        <f ca="1">AVERAGE(OFFSET($R$3,0,0,'Données projet'!$E$9+1,1))-AVERAGE(OFFSET($H$3,0,0,'Données projet'!$E$9+1,1))</f>
        <v>232.56424130731699</v>
      </c>
      <c r="T128" s="59">
        <f t="shared" si="88"/>
        <v>384.58890620364178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4.8468745669585234</v>
      </c>
      <c r="AA128" s="21">
        <f>EXP(-LN(2)/25)*AA127+(1-EXP(-LN(2)/25))/(LN(2)/25)*Calculateur!V128*Calculateur!X128*VLOOKUP('Données projet'!$B$9,Paramètres!$A$1:$I$89,3,0)*0.475*44/12</f>
        <v>5.7356108089076328</v>
      </c>
      <c r="AB128" s="21">
        <f>EXP(-LN(2)/2)*AB127+(1-EXP(-LN(2)/2))/(LN(2)/2)*V128*Y128*VLOOKUP('Données projet'!$B$9,Paramètres!$A$1:$I$89,3,0)*0.475*44/12</f>
        <v>4.9661261206637473E-13</v>
      </c>
      <c r="AC128" s="22">
        <f t="shared" si="57"/>
        <v>10.582485375866653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415.99999999999955</v>
      </c>
      <c r="AJ128" s="13">
        <f>AI128*VLOOKUP('Données projet'!$B$10,Paramètres!$A$1:$I$89,3,0)*VLOOKUP('Données projet'!$B$10,Paramètres!$A$1:$I$89,5,0)</f>
        <v>248.76799999999972</v>
      </c>
      <c r="AK128" s="13">
        <f t="shared" si="89"/>
        <v>60.32205079116369</v>
      </c>
      <c r="AL128" s="20">
        <f t="shared" si="58"/>
        <v>538.33183846127633</v>
      </c>
      <c r="AM128" s="59">
        <f t="shared" si="59"/>
        <v>831.66517179460971</v>
      </c>
      <c r="AN128" s="59">
        <f ca="1">AVERAGE(OFFSET($AM$3,0,0,'Données projet'!$E$10+1,1))-AVERAGE(OFFSET($H$3,0,0,'Données projet'!$E$10+1,1))</f>
        <v>279.39350157328471</v>
      </c>
      <c r="AO128" s="59">
        <f t="shared" si="90"/>
        <v>261.55559683031657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8.720351335049747</v>
      </c>
      <c r="AV128" s="21">
        <f>EXP(-LN(2)/25)*AV127+(1-EXP(-LN(2)/25))/(LN(2)/25)*Calculateur!AQ128*Calculateur!AS128*VLOOKUP('Données projet'!$B$10,Paramètres!$A$1:$I$89,3,0)*0.475*44/12</f>
        <v>6.0950769334010495</v>
      </c>
      <c r="AW128" s="21">
        <f>EXP(-LN(2)/2)*AW127+(1-EXP(-LN(2)/2))/(LN(2)/2)*AQ128*AT128*VLOOKUP('Données projet'!$B$10,Paramètres!$A$1:$I$89,3,0)*0.475*44/12</f>
        <v>3.1028266347366167E-9</v>
      </c>
      <c r="AX128" s="21">
        <f t="shared" si="60"/>
        <v>14.815428271553623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475.00000000000011</v>
      </c>
      <c r="BE128" s="13">
        <f>BD128*VLOOKUP('Données projet'!$B$11,Paramètres!$A$1:$I$89,3,0)*VLOOKUP('Données projet'!$B$11,Paramètres!$A$1:$I$89,5,0)</f>
        <v>265.52500000000009</v>
      </c>
      <c r="BF128" s="13">
        <f t="shared" si="91"/>
        <v>63.898639547235177</v>
      </c>
      <c r="BG128" s="20">
        <f t="shared" si="61"/>
        <v>573.74617221143478</v>
      </c>
      <c r="BH128" s="59">
        <f t="shared" si="62"/>
        <v>867.07950554476815</v>
      </c>
      <c r="BI128" s="59">
        <f ca="1">AVERAGE(OFFSET($BH$3,0,0,'Données projet'!$E$11+1,1))-AVERAGE(OFFSET($H$3,0,0,'Données projet'!$E$11+1,1))</f>
        <v>342.37397177572871</v>
      </c>
      <c r="BJ128" s="59">
        <f t="shared" si="92"/>
        <v>331.32436050472762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13.669869921166407</v>
      </c>
      <c r="BQ128" s="21">
        <f>EXP(-LN(2)/25)*BQ127+(1-EXP(-LN(2)/25))/(LN(2)/25)*Calculateur!BL128*Calculateur!BN128*VLOOKUP('Données projet'!$B$11,Paramètres!$A$1:$I$89,3,0)*0.475*44/12</f>
        <v>11.061299469913502</v>
      </c>
      <c r="BR128" s="21">
        <f>EXP(-LN(2)/2)*BR127+(1-EXP(-LN(2)/2))/(LN(2)/2)*BL128*BO128*VLOOKUP('Données projet'!$B$11,Paramètres!$A$1:$I$89,3,0)*0.475*44/12</f>
        <v>2.2199359803698819E-8</v>
      </c>
      <c r="BS128" s="22">
        <f t="shared" si="63"/>
        <v>24.731169413279268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253.79640000000001</v>
      </c>
      <c r="CA128" s="13">
        <f t="shared" si="93"/>
        <v>61.39816832228076</v>
      </c>
      <c r="CB128" s="20">
        <f t="shared" si="64"/>
        <v>548.96387316130563</v>
      </c>
      <c r="CC128" s="59">
        <f t="shared" si="65"/>
        <v>842.29720649463889</v>
      </c>
      <c r="CD128" s="59">
        <f ca="1">AVERAGE(OFFSET($CC$3,0,0,'Données projet'!$E$12+1,1))-AVERAGE(OFFSET($H$3,0,0,'Données projet'!$E$12+1,1))</f>
        <v>353.37479213497227</v>
      </c>
      <c r="CE128" s="59">
        <f t="shared" si="94"/>
        <v>345.4750813433123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16.777410493668015</v>
      </c>
      <c r="CL128" s="21">
        <f>EXP(-LN(2)/25)*CL127+(1-EXP(-LN(2)/25))/(LN(2)/25)*Calculateur!CG128*Calculateur!CI128*VLOOKUP('Données projet'!$B$12,Paramètres!$A$1:$I$89,3,0)*0.475*44/12</f>
        <v>0.73422524172003256</v>
      </c>
      <c r="CM128" s="21">
        <f>EXP(-LN(2)/2)*CM127+(1-EXP(-LN(2)/2))/(LN(2)/2)*CG128*CJ128*VLOOKUP('Données projet'!$B$12,Paramètres!$A$1:$I$89,3,0)*0.475*44/12</f>
        <v>1.0339352843651783E-7</v>
      </c>
      <c r="CN128" s="22">
        <f t="shared" si="66"/>
        <v>17.511635838781576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277.99999999999994</v>
      </c>
      <c r="O129" s="13">
        <f>N129*VLOOKUP('Données projet'!$B$9,Paramètres!$A$1:$I$89,3,0)*VLOOKUP('Données projet'!$B$9,Paramètres!$A$1:$I$89,5,0)</f>
        <v>173.47199999999998</v>
      </c>
      <c r="P129" s="13">
        <f t="shared" si="87"/>
        <v>43.866718728383574</v>
      </c>
      <c r="Q129" s="20">
        <f t="shared" si="107"/>
        <v>378.53160178526804</v>
      </c>
      <c r="R129" s="59">
        <f t="shared" si="55"/>
        <v>671.86493511860135</v>
      </c>
      <c r="S129" s="59">
        <f ca="1">AVERAGE(OFFSET($R$3,0,0,'Données projet'!$E$9+1,1))-AVERAGE(OFFSET($H$3,0,0,'Données projet'!$E$9+1,1))</f>
        <v>232.56424130731699</v>
      </c>
      <c r="T129" s="59">
        <f t="shared" si="88"/>
        <v>384.58890620364178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4.7518303130020421</v>
      </c>
      <c r="AA129" s="21">
        <f>EXP(-LN(2)/25)*AA128+(1-EXP(-LN(2)/25))/(LN(2)/25)*Calculateur!V129*Calculateur!X129*VLOOKUP('Données projet'!$B$9,Paramètres!$A$1:$I$89,3,0)*0.475*44/12</f>
        <v>5.5787702297153903</v>
      </c>
      <c r="AB129" s="21">
        <f>EXP(-LN(2)/2)*AB128+(1-EXP(-LN(2)/2))/(LN(2)/2)*V129*Y129*VLOOKUP('Données projet'!$B$9,Paramètres!$A$1:$I$89,3,0)*0.475*44/12</f>
        <v>3.5115814561489785E-13</v>
      </c>
      <c r="AC129" s="22">
        <f t="shared" si="57"/>
        <v>10.330600542717784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415.99999999999955</v>
      </c>
      <c r="AJ129" s="13">
        <f>AI129*VLOOKUP('Données projet'!$B$10,Paramètres!$A$1:$I$89,3,0)*VLOOKUP('Données projet'!$B$10,Paramètres!$A$1:$I$89,5,0)</f>
        <v>248.76799999999972</v>
      </c>
      <c r="AK129" s="13">
        <f t="shared" si="89"/>
        <v>60.32205079116369</v>
      </c>
      <c r="AL129" s="20">
        <f t="shared" si="58"/>
        <v>538.33183846127633</v>
      </c>
      <c r="AM129" s="59">
        <f t="shared" si="59"/>
        <v>831.66517179460971</v>
      </c>
      <c r="AN129" s="59">
        <f ca="1">AVERAGE(OFFSET($AM$3,0,0,'Données projet'!$E$10+1,1))-AVERAGE(OFFSET($H$3,0,0,'Données projet'!$E$10+1,1))</f>
        <v>279.39350157328471</v>
      </c>
      <c r="AO129" s="59">
        <f t="shared" si="90"/>
        <v>261.55559683031657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8.549350564258539</v>
      </c>
      <c r="AV129" s="21">
        <f>EXP(-LN(2)/25)*AV128+(1-EXP(-LN(2)/25))/(LN(2)/25)*Calculateur!AQ129*Calculateur!AS129*VLOOKUP('Données projet'!$B$10,Paramètres!$A$1:$I$89,3,0)*0.475*44/12</f>
        <v>5.9284067341310323</v>
      </c>
      <c r="AW129" s="21">
        <f>EXP(-LN(2)/2)*AW128+(1-EXP(-LN(2)/2))/(LN(2)/2)*AQ129*AT129*VLOOKUP('Données projet'!$B$10,Paramètres!$A$1:$I$89,3,0)*0.475*44/12</f>
        <v>2.1940297542684964E-9</v>
      </c>
      <c r="AX129" s="21">
        <f t="shared" si="60"/>
        <v>14.477757300583601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475.00000000000011</v>
      </c>
      <c r="BE129" s="13">
        <f>BD129*VLOOKUP('Données projet'!$B$11,Paramètres!$A$1:$I$89,3,0)*VLOOKUP('Données projet'!$B$11,Paramètres!$A$1:$I$89,5,0)</f>
        <v>265.52500000000009</v>
      </c>
      <c r="BF129" s="13">
        <f t="shared" si="91"/>
        <v>63.898639547235177</v>
      </c>
      <c r="BG129" s="20">
        <f t="shared" si="61"/>
        <v>573.74617221143478</v>
      </c>
      <c r="BH129" s="59">
        <f t="shared" si="62"/>
        <v>867.07950554476815</v>
      </c>
      <c r="BI129" s="59">
        <f ca="1">AVERAGE(OFFSET($BH$3,0,0,'Données projet'!$E$11+1,1))-AVERAGE(OFFSET($H$3,0,0,'Données projet'!$E$11+1,1))</f>
        <v>342.37397177572871</v>
      </c>
      <c r="BJ129" s="59">
        <f t="shared" si="92"/>
        <v>331.32436050472762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13.401812109809697</v>
      </c>
      <c r="BQ129" s="21">
        <f>EXP(-LN(2)/25)*BQ128+(1-EXP(-LN(2)/25))/(LN(2)/25)*Calculateur!BL129*Calculateur!BN129*VLOOKUP('Données projet'!$B$11,Paramètres!$A$1:$I$89,3,0)*0.475*44/12</f>
        <v>10.758827654220259</v>
      </c>
      <c r="BR129" s="21">
        <f>EXP(-LN(2)/2)*BR128+(1-EXP(-LN(2)/2))/(LN(2)/2)*BL129*BO129*VLOOKUP('Données projet'!$B$11,Paramètres!$A$1:$I$89,3,0)*0.475*44/12</f>
        <v>1.5697317855195499E-8</v>
      </c>
      <c r="BS129" s="22">
        <f t="shared" si="63"/>
        <v>24.160639779727273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253.79640000000001</v>
      </c>
      <c r="CA129" s="13">
        <f t="shared" si="93"/>
        <v>61.39816832228076</v>
      </c>
      <c r="CB129" s="20">
        <f t="shared" si="64"/>
        <v>548.96387316130563</v>
      </c>
      <c r="CC129" s="59">
        <f t="shared" si="65"/>
        <v>842.29720649463889</v>
      </c>
      <c r="CD129" s="59">
        <f ca="1">AVERAGE(OFFSET($CC$3,0,0,'Données projet'!$E$12+1,1))-AVERAGE(OFFSET($H$3,0,0,'Données projet'!$E$12+1,1))</f>
        <v>353.37479213497227</v>
      </c>
      <c r="CE129" s="59">
        <f t="shared" si="94"/>
        <v>345.4750813433123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16.448415707097141</v>
      </c>
      <c r="CL129" s="21">
        <f>EXP(-LN(2)/25)*CL128+(1-EXP(-LN(2)/25))/(LN(2)/25)*Calculateur!CG129*Calculateur!CI129*VLOOKUP('Données projet'!$B$12,Paramètres!$A$1:$I$89,3,0)*0.475*44/12</f>
        <v>0.71414781387397086</v>
      </c>
      <c r="CM129" s="21">
        <f>EXP(-LN(2)/2)*CM128+(1-EXP(-LN(2)/2))/(LN(2)/2)*CG129*CJ129*VLOOKUP('Données projet'!$B$12,Paramètres!$A$1:$I$89,3,0)*0.475*44/12</f>
        <v>7.3110265088265895E-8</v>
      </c>
      <c r="CN129" s="22">
        <f t="shared" si="66"/>
        <v>17.162563594081377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277.99999999999994</v>
      </c>
      <c r="O130" s="13">
        <f>N130*VLOOKUP('Données projet'!$B$9,Paramètres!$A$1:$I$89,3,0)*VLOOKUP('Données projet'!$B$9,Paramètres!$A$1:$I$89,5,0)</f>
        <v>173.47199999999998</v>
      </c>
      <c r="P130" s="13">
        <f t="shared" si="87"/>
        <v>43.866718728383574</v>
      </c>
      <c r="Q130" s="20">
        <f t="shared" si="107"/>
        <v>378.53160178526804</v>
      </c>
      <c r="R130" s="59">
        <f t="shared" si="55"/>
        <v>671.86493511860135</v>
      </c>
      <c r="S130" s="59">
        <f ca="1">AVERAGE(OFFSET($R$3,0,0,'Données projet'!$E$9+1,1))-AVERAGE(OFFSET($H$3,0,0,'Données projet'!$E$9+1,1))</f>
        <v>232.56424130731699</v>
      </c>
      <c r="T130" s="59">
        <f t="shared" si="88"/>
        <v>384.58890620364178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4.6586498188943768</v>
      </c>
      <c r="AA130" s="21">
        <f>EXP(-LN(2)/25)*AA129+(1-EXP(-LN(2)/25))/(LN(2)/25)*Calculateur!V130*Calculateur!X130*VLOOKUP('Données projet'!$B$9,Paramètres!$A$1:$I$89,3,0)*0.475*44/12</f>
        <v>5.4262184644090468</v>
      </c>
      <c r="AB130" s="21">
        <f>EXP(-LN(2)/2)*AB129+(1-EXP(-LN(2)/2))/(LN(2)/2)*V130*Y130*VLOOKUP('Données projet'!$B$9,Paramètres!$A$1:$I$89,3,0)*0.475*44/12</f>
        <v>2.4830630603318737E-13</v>
      </c>
      <c r="AC130" s="22">
        <f t="shared" si="57"/>
        <v>10.084868283303672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415.99999999999955</v>
      </c>
      <c r="AJ130" s="13">
        <f>AI130*VLOOKUP('Données projet'!$B$10,Paramètres!$A$1:$I$89,3,0)*VLOOKUP('Données projet'!$B$10,Paramètres!$A$1:$I$89,5,0)</f>
        <v>248.76799999999972</v>
      </c>
      <c r="AK130" s="13">
        <f t="shared" si="89"/>
        <v>60.32205079116369</v>
      </c>
      <c r="AL130" s="20">
        <f t="shared" si="58"/>
        <v>538.33183846127633</v>
      </c>
      <c r="AM130" s="59">
        <f t="shared" si="59"/>
        <v>831.66517179460971</v>
      </c>
      <c r="AN130" s="59">
        <f ca="1">AVERAGE(OFFSET($AM$3,0,0,'Données projet'!$E$10+1,1))-AVERAGE(OFFSET($H$3,0,0,'Données projet'!$E$10+1,1))</f>
        <v>279.39350157328471</v>
      </c>
      <c r="AO130" s="59">
        <f t="shared" si="90"/>
        <v>261.55559683031657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8.3817030142823761</v>
      </c>
      <c r="AV130" s="21">
        <f>EXP(-LN(2)/25)*AV129+(1-EXP(-LN(2)/25))/(LN(2)/25)*Calculateur!AQ130*Calculateur!AS130*VLOOKUP('Données projet'!$B$10,Paramètres!$A$1:$I$89,3,0)*0.475*44/12</f>
        <v>5.7662941402248586</v>
      </c>
      <c r="AW130" s="21">
        <f>EXP(-LN(2)/2)*AW129+(1-EXP(-LN(2)/2))/(LN(2)/2)*AQ130*AT130*VLOOKUP('Données projet'!$B$10,Paramètres!$A$1:$I$89,3,0)*0.475*44/12</f>
        <v>1.5514133173683084E-9</v>
      </c>
      <c r="AX130" s="21">
        <f t="shared" si="60"/>
        <v>14.147997156058647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475.00000000000011</v>
      </c>
      <c r="BE130" s="13">
        <f>BD130*VLOOKUP('Données projet'!$B$11,Paramètres!$A$1:$I$89,3,0)*VLOOKUP('Données projet'!$B$11,Paramètres!$A$1:$I$89,5,0)</f>
        <v>265.52500000000009</v>
      </c>
      <c r="BF130" s="13">
        <f t="shared" si="91"/>
        <v>63.898639547235177</v>
      </c>
      <c r="BG130" s="20">
        <f t="shared" si="61"/>
        <v>573.74617221143478</v>
      </c>
      <c r="BH130" s="59">
        <f t="shared" si="62"/>
        <v>867.07950554476815</v>
      </c>
      <c r="BI130" s="59">
        <f ca="1">AVERAGE(OFFSET($BH$3,0,0,'Données projet'!$E$11+1,1))-AVERAGE(OFFSET($H$3,0,0,'Données projet'!$E$11+1,1))</f>
        <v>342.37397177572871</v>
      </c>
      <c r="BJ130" s="59">
        <f t="shared" si="92"/>
        <v>331.32436050472762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13.13901074863457</v>
      </c>
      <c r="BQ130" s="21">
        <f>EXP(-LN(2)/25)*BQ129+(1-EXP(-LN(2)/25))/(LN(2)/25)*Calculateur!BL130*Calculateur!BN130*VLOOKUP('Données projet'!$B$11,Paramètres!$A$1:$I$89,3,0)*0.475*44/12</f>
        <v>10.464626946233448</v>
      </c>
      <c r="BR130" s="21">
        <f>EXP(-LN(2)/2)*BR129+(1-EXP(-LN(2)/2))/(LN(2)/2)*BL130*BO130*VLOOKUP('Données projet'!$B$11,Paramètres!$A$1:$I$89,3,0)*0.475*44/12</f>
        <v>1.1099679901849409E-8</v>
      </c>
      <c r="BS130" s="22">
        <f t="shared" si="63"/>
        <v>23.603637705967699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253.79640000000001</v>
      </c>
      <c r="CA130" s="13">
        <f t="shared" si="93"/>
        <v>61.39816832228076</v>
      </c>
      <c r="CB130" s="20">
        <f t="shared" si="64"/>
        <v>548.96387316130563</v>
      </c>
      <c r="CC130" s="59">
        <f t="shared" si="65"/>
        <v>842.29720649463889</v>
      </c>
      <c r="CD130" s="59">
        <f ca="1">AVERAGE(OFFSET($CC$3,0,0,'Données projet'!$E$12+1,1))-AVERAGE(OFFSET($H$3,0,0,'Données projet'!$E$12+1,1))</f>
        <v>353.37479213497227</v>
      </c>
      <c r="CE130" s="59">
        <f t="shared" si="94"/>
        <v>345.4750813433123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16.125872307623915</v>
      </c>
      <c r="CL130" s="21">
        <f>EXP(-LN(2)/25)*CL129+(1-EXP(-LN(2)/25))/(LN(2)/25)*Calculateur!CG130*Calculateur!CI130*VLOOKUP('Données projet'!$B$12,Paramètres!$A$1:$I$89,3,0)*0.475*44/12</f>
        <v>0.69461940434818581</v>
      </c>
      <c r="CM130" s="21">
        <f>EXP(-LN(2)/2)*CM129+(1-EXP(-LN(2)/2))/(LN(2)/2)*CG130*CJ130*VLOOKUP('Données projet'!$B$12,Paramètres!$A$1:$I$89,3,0)*0.475*44/12</f>
        <v>5.1696764218258917E-8</v>
      </c>
      <c r="CN130" s="22">
        <f t="shared" si="66"/>
        <v>16.820491763668866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277.99999999999994</v>
      </c>
      <c r="O131" s="13">
        <f>N131*VLOOKUP('Données projet'!$B$9,Paramètres!$A$1:$I$89,3,0)*VLOOKUP('Données projet'!$B$9,Paramètres!$A$1:$I$89,5,0)</f>
        <v>173.47199999999998</v>
      </c>
      <c r="P131" s="13">
        <f t="shared" si="87"/>
        <v>43.866718728383574</v>
      </c>
      <c r="Q131" s="20">
        <f t="shared" ref="Q131:Q153" si="108">(O131+P131)*0.475*44/12</f>
        <v>378.53160178526804</v>
      </c>
      <c r="R131" s="59">
        <f t="shared" ref="R131:R194" si="109">Q131+(I131+J131)*44/12</f>
        <v>671.86493511860135</v>
      </c>
      <c r="S131" s="59">
        <f ca="1">AVERAGE(OFFSET($R$3,0,0,'Données projet'!$E$9+1,1))-AVERAGE(OFFSET($H$3,0,0,'Données projet'!$E$9+1,1))</f>
        <v>232.56424130731699</v>
      </c>
      <c r="T131" s="59">
        <f t="shared" si="88"/>
        <v>384.58890620364178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4.5672965374416732</v>
      </c>
      <c r="AA131" s="21">
        <f>EXP(-LN(2)/25)*AA130+(1-EXP(-LN(2)/25))/(LN(2)/25)*Calculateur!V131*Calculateur!X131*VLOOKUP('Données projet'!$B$9,Paramètres!$A$1:$I$89,3,0)*0.475*44/12</f>
        <v>5.2778382351473541</v>
      </c>
      <c r="AB131" s="21">
        <f>EXP(-LN(2)/2)*AB130+(1-EXP(-LN(2)/2))/(LN(2)/2)*V131*Y131*VLOOKUP('Données projet'!$B$9,Paramètres!$A$1:$I$89,3,0)*0.475*44/12</f>
        <v>1.7557907280744893E-13</v>
      </c>
      <c r="AC131" s="22">
        <f t="shared" si="57"/>
        <v>9.8451347725892031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415.99999999999955</v>
      </c>
      <c r="AJ131" s="13">
        <f>AI131*VLOOKUP('Données projet'!$B$10,Paramètres!$A$1:$I$89,3,0)*VLOOKUP('Données projet'!$B$10,Paramètres!$A$1:$I$89,5,0)</f>
        <v>248.76799999999972</v>
      </c>
      <c r="AK131" s="13">
        <f t="shared" si="89"/>
        <v>60.32205079116369</v>
      </c>
      <c r="AL131" s="20">
        <f t="shared" si="58"/>
        <v>538.33183846127633</v>
      </c>
      <c r="AM131" s="59">
        <f t="shared" si="59"/>
        <v>831.66517179460971</v>
      </c>
      <c r="AN131" s="59">
        <f ca="1">AVERAGE(OFFSET($AM$3,0,0,'Données projet'!$E$10+1,1))-AVERAGE(OFFSET($H$3,0,0,'Données projet'!$E$10+1,1))</f>
        <v>279.39350157328471</v>
      </c>
      <c r="AO131" s="59">
        <f t="shared" si="90"/>
        <v>261.55559683031657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8.2173429305063355</v>
      </c>
      <c r="AV131" s="21">
        <f>EXP(-LN(2)/25)*AV130+(1-EXP(-LN(2)/25))/(LN(2)/25)*Calculateur!AQ131*Calculateur!AS131*VLOOKUP('Données projet'!$B$10,Paramètres!$A$1:$I$89,3,0)*0.475*44/12</f>
        <v>5.6086145237241798</v>
      </c>
      <c r="AW131" s="21">
        <f>EXP(-LN(2)/2)*AW130+(1-EXP(-LN(2)/2))/(LN(2)/2)*AQ131*AT131*VLOOKUP('Données projet'!$B$10,Paramètres!$A$1:$I$89,3,0)*0.475*44/12</f>
        <v>1.0970148771342482E-9</v>
      </c>
      <c r="AX131" s="21">
        <f t="shared" si="60"/>
        <v>13.825957455327529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475.00000000000011</v>
      </c>
      <c r="BE131" s="13">
        <f>BD131*VLOOKUP('Données projet'!$B$11,Paramètres!$A$1:$I$89,3,0)*VLOOKUP('Données projet'!$B$11,Paramètres!$A$1:$I$89,5,0)</f>
        <v>265.52500000000009</v>
      </c>
      <c r="BF131" s="13">
        <f t="shared" si="91"/>
        <v>63.898639547235177</v>
      </c>
      <c r="BG131" s="20">
        <f t="shared" si="61"/>
        <v>573.74617221143478</v>
      </c>
      <c r="BH131" s="59">
        <f t="shared" si="62"/>
        <v>867.07950554476815</v>
      </c>
      <c r="BI131" s="59">
        <f ca="1">AVERAGE(OFFSET($BH$3,0,0,'Données projet'!$E$11+1,1))-AVERAGE(OFFSET($H$3,0,0,'Données projet'!$E$11+1,1))</f>
        <v>342.37397177572871</v>
      </c>
      <c r="BJ131" s="59">
        <f t="shared" si="92"/>
        <v>331.32436050472762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12.881362761859085</v>
      </c>
      <c r="BQ131" s="21">
        <f>EXP(-LN(2)/25)*BQ130+(1-EXP(-LN(2)/25))/(LN(2)/25)*Calculateur!BL131*Calculateur!BN131*VLOOKUP('Données projet'!$B$11,Paramètres!$A$1:$I$89,3,0)*0.475*44/12</f>
        <v>10.178471172077881</v>
      </c>
      <c r="BR131" s="21">
        <f>EXP(-LN(2)/2)*BR130+(1-EXP(-LN(2)/2))/(LN(2)/2)*BL131*BO131*VLOOKUP('Données projet'!$B$11,Paramètres!$A$1:$I$89,3,0)*0.475*44/12</f>
        <v>7.8486589275977497E-9</v>
      </c>
      <c r="BS131" s="22">
        <f t="shared" si="63"/>
        <v>23.059833941785623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253.79640000000001</v>
      </c>
      <c r="CA131" s="13">
        <f t="shared" si="93"/>
        <v>61.39816832228076</v>
      </c>
      <c r="CB131" s="20">
        <f t="shared" si="64"/>
        <v>548.96387316130563</v>
      </c>
      <c r="CC131" s="59">
        <f t="shared" si="65"/>
        <v>842.29720649463889</v>
      </c>
      <c r="CD131" s="59">
        <f ca="1">AVERAGE(OFFSET($CC$3,0,0,'Données projet'!$E$12+1,1))-AVERAGE(OFFSET($H$3,0,0,'Données projet'!$E$12+1,1))</f>
        <v>353.37479213497227</v>
      </c>
      <c r="CE131" s="59">
        <f t="shared" si="94"/>
        <v>345.4750813433123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15.809653787482311</v>
      </c>
      <c r="CL131" s="21">
        <f>EXP(-LN(2)/25)*CL130+(1-EXP(-LN(2)/25))/(LN(2)/25)*Calculateur!CG131*Calculateur!CI131*VLOOKUP('Données projet'!$B$12,Paramètres!$A$1:$I$89,3,0)*0.475*44/12</f>
        <v>0.67562500020783778</v>
      </c>
      <c r="CM131" s="21">
        <f>EXP(-LN(2)/2)*CM130+(1-EXP(-LN(2)/2))/(LN(2)/2)*CG131*CJ131*VLOOKUP('Données projet'!$B$12,Paramètres!$A$1:$I$89,3,0)*0.475*44/12</f>
        <v>3.6555132544132947E-8</v>
      </c>
      <c r="CN131" s="22">
        <f t="shared" si="66"/>
        <v>16.485278824245281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277.99999999999994</v>
      </c>
      <c r="O132" s="13">
        <f>N132*VLOOKUP('Données projet'!$B$9,Paramètres!$A$1:$I$89,3,0)*VLOOKUP('Données projet'!$B$9,Paramètres!$A$1:$I$89,5,0)</f>
        <v>173.47199999999998</v>
      </c>
      <c r="P132" s="13">
        <f t="shared" si="87"/>
        <v>43.866718728383574</v>
      </c>
      <c r="Q132" s="20">
        <f t="shared" si="108"/>
        <v>378.53160178526804</v>
      </c>
      <c r="R132" s="59">
        <f t="shared" si="109"/>
        <v>671.86493511860135</v>
      </c>
      <c r="S132" s="59">
        <f ca="1">AVERAGE(OFFSET($R$3,0,0,'Données projet'!$E$9+1,1))-AVERAGE(OFFSET($H$3,0,0,'Données projet'!$E$9+1,1))</f>
        <v>232.56424130731699</v>
      </c>
      <c r="T132" s="59">
        <f t="shared" si="88"/>
        <v>384.58890620364178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4.4777346381182577</v>
      </c>
      <c r="AA132" s="21">
        <f>EXP(-LN(2)/25)*AA131+(1-EXP(-LN(2)/25))/(LN(2)/25)*Calculateur!V132*Calculateur!X132*VLOOKUP('Données projet'!$B$9,Paramètres!$A$1:$I$89,3,0)*0.475*44/12</f>
        <v>5.1335154710577999</v>
      </c>
      <c r="AB132" s="21">
        <f>EXP(-LN(2)/2)*AB131+(1-EXP(-LN(2)/2))/(LN(2)/2)*V132*Y132*VLOOKUP('Données projet'!$B$9,Paramètres!$A$1:$I$89,3,0)*0.475*44/12</f>
        <v>1.2415315301659368E-13</v>
      </c>
      <c r="AC132" s="22">
        <f t="shared" ref="AC132:AC153" si="111">SUM(Z132:AB132)</f>
        <v>9.6112501091761828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415.99999999999955</v>
      </c>
      <c r="AJ132" s="13">
        <f>AI132*VLOOKUP('Données projet'!$B$10,Paramètres!$A$1:$I$89,3,0)*VLOOKUP('Données projet'!$B$10,Paramètres!$A$1:$I$89,5,0)</f>
        <v>248.76799999999972</v>
      </c>
      <c r="AK132" s="13">
        <f t="shared" si="89"/>
        <v>60.32205079116369</v>
      </c>
      <c r="AL132" s="20">
        <f t="shared" ref="AL132:AL153" si="112">(AJ132+AK132)*0.475*44/12</f>
        <v>538.33183846127633</v>
      </c>
      <c r="AM132" s="59">
        <f t="shared" ref="AM132:AM195" si="113">AL132+(AD132+AE132)*44/12</f>
        <v>831.66517179460971</v>
      </c>
      <c r="AN132" s="59">
        <f ca="1">AVERAGE(OFFSET($AM$3,0,0,'Données projet'!$E$10+1,1))-AVERAGE(OFFSET($H$3,0,0,'Données projet'!$E$10+1,1))</f>
        <v>279.39350157328471</v>
      </c>
      <c r="AO132" s="59">
        <f t="shared" si="90"/>
        <v>261.55559683031657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8.0562058477233922</v>
      </c>
      <c r="AV132" s="21">
        <f>EXP(-LN(2)/25)*AV131+(1-EXP(-LN(2)/25))/(LN(2)/25)*Calculateur!AQ132*Calculateur!AS132*VLOOKUP('Données projet'!$B$10,Paramètres!$A$1:$I$89,3,0)*0.475*44/12</f>
        <v>5.4552466646287225</v>
      </c>
      <c r="AW132" s="21">
        <f>EXP(-LN(2)/2)*AW131+(1-EXP(-LN(2)/2))/(LN(2)/2)*AQ132*AT132*VLOOKUP('Données projet'!$B$10,Paramètres!$A$1:$I$89,3,0)*0.475*44/12</f>
        <v>7.7570665868415418E-10</v>
      </c>
      <c r="AX132" s="21">
        <f t="shared" ref="AX132:AX153" si="114">SUM(AU132:AW132)</f>
        <v>13.511452513127821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475.00000000000011</v>
      </c>
      <c r="BE132" s="13">
        <f>BD132*VLOOKUP('Données projet'!$B$11,Paramètres!$A$1:$I$89,3,0)*VLOOKUP('Données projet'!$B$11,Paramètres!$A$1:$I$89,5,0)</f>
        <v>265.52500000000009</v>
      </c>
      <c r="BF132" s="13">
        <f t="shared" si="91"/>
        <v>63.898639547235177</v>
      </c>
      <c r="BG132" s="20">
        <f t="shared" ref="BG132:BG153" si="115">(BE132+BF132)*0.475*44/12</f>
        <v>573.74617221143478</v>
      </c>
      <c r="BH132" s="59">
        <f t="shared" ref="BH132:BH195" si="116">BG132+(AY132+AZ132)*44/12</f>
        <v>867.07950554476815</v>
      </c>
      <c r="BI132" s="59">
        <f ca="1">AVERAGE(OFFSET($BH$3,0,0,'Données projet'!$E$11+1,1))-AVERAGE(OFFSET($H$3,0,0,'Données projet'!$E$11+1,1))</f>
        <v>342.37397177572871</v>
      </c>
      <c r="BJ132" s="59">
        <f t="shared" si="92"/>
        <v>331.32436050472762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12.628767094954513</v>
      </c>
      <c r="BQ132" s="21">
        <f>EXP(-LN(2)/25)*BQ131+(1-EXP(-LN(2)/25))/(LN(2)/25)*Calculateur!BL132*Calculateur!BN132*VLOOKUP('Données projet'!$B$11,Paramètres!$A$1:$I$89,3,0)*0.475*44/12</f>
        <v>9.9001403426148755</v>
      </c>
      <c r="BR132" s="21">
        <f>EXP(-LN(2)/2)*BR131+(1-EXP(-LN(2)/2))/(LN(2)/2)*BL132*BO132*VLOOKUP('Données projet'!$B$11,Paramètres!$A$1:$I$89,3,0)*0.475*44/12</f>
        <v>5.5498399509247047E-9</v>
      </c>
      <c r="BS132" s="22">
        <f t="shared" ref="BS132:BS153" si="117">SUM(BP132:BR132)</f>
        <v>22.528907443119227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253.79640000000001</v>
      </c>
      <c r="CA132" s="13">
        <f t="shared" si="93"/>
        <v>61.39816832228076</v>
      </c>
      <c r="CB132" s="20">
        <f t="shared" ref="CB132:CB153" si="118">(BZ132+CA132)*0.475*44/12</f>
        <v>548.96387316130563</v>
      </c>
      <c r="CC132" s="59">
        <f t="shared" ref="CC132:CC195" si="119">CB132+(BT132+BU132)*44/12</f>
        <v>842.29720649463889</v>
      </c>
      <c r="CD132" s="59">
        <f ca="1">AVERAGE(OFFSET($CC$3,0,0,'Données projet'!$E$12+1,1))-AVERAGE(OFFSET($H$3,0,0,'Données projet'!$E$12+1,1))</f>
        <v>353.37479213497227</v>
      </c>
      <c r="CE132" s="59">
        <f t="shared" si="94"/>
        <v>345.4750813433123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15.499636119646432</v>
      </c>
      <c r="CL132" s="21">
        <f>EXP(-LN(2)/25)*CL131+(1-EXP(-LN(2)/25))/(LN(2)/25)*Calculateur!CG132*Calculateur!CI132*VLOOKUP('Données projet'!$B$12,Paramètres!$A$1:$I$89,3,0)*0.475*44/12</f>
        <v>0.65714999904757987</v>
      </c>
      <c r="CM132" s="21">
        <f>EXP(-LN(2)/2)*CM131+(1-EXP(-LN(2)/2))/(LN(2)/2)*CG132*CJ132*VLOOKUP('Données projet'!$B$12,Paramètres!$A$1:$I$89,3,0)*0.475*44/12</f>
        <v>2.5848382109129459E-8</v>
      </c>
      <c r="CN132" s="22">
        <f t="shared" ref="CN132:CN153" si="120">SUM(CK132:CM132)</f>
        <v>16.156786144542394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277.99999999999994</v>
      </c>
      <c r="O133" s="13">
        <f>N133*VLOOKUP('Données projet'!$B$9,Paramètres!$A$1:$I$89,3,0)*VLOOKUP('Données projet'!$B$9,Paramètres!$A$1:$I$89,5,0)</f>
        <v>173.47199999999998</v>
      </c>
      <c r="P133" s="13">
        <f t="shared" ref="P133:P196" si="141">EXP(-1.0587+0.8836*LN(O133)+0.284)</f>
        <v>43.866718728383574</v>
      </c>
      <c r="Q133" s="20">
        <f t="shared" si="108"/>
        <v>378.53160178526804</v>
      </c>
      <c r="R133" s="59">
        <f t="shared" si="109"/>
        <v>671.86493511860135</v>
      </c>
      <c r="S133" s="59">
        <f ca="1">AVERAGE(OFFSET($R$3,0,0,'Données projet'!$E$9+1,1))-AVERAGE(OFFSET($H$3,0,0,'Données projet'!$E$9+1,1))</f>
        <v>232.56424130731699</v>
      </c>
      <c r="T133" s="59">
        <f t="shared" ref="T133:T196" si="142">$T$3</f>
        <v>384.58890620364178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4.3899289930132097</v>
      </c>
      <c r="AA133" s="21">
        <f>EXP(-LN(2)/25)*AA132+(1-EXP(-LN(2)/25))/(LN(2)/25)*Calculateur!V133*Calculateur!X133*VLOOKUP('Données projet'!$B$9,Paramètres!$A$1:$I$89,3,0)*0.475*44/12</f>
        <v>4.9931392205418783</v>
      </c>
      <c r="AB133" s="21">
        <f>EXP(-LN(2)/2)*AB132+(1-EXP(-LN(2)/2))/(LN(2)/2)*V133*Y133*VLOOKUP('Données projet'!$B$9,Paramètres!$A$1:$I$89,3,0)*0.475*44/12</f>
        <v>8.7789536403724464E-14</v>
      </c>
      <c r="AC133" s="22">
        <f t="shared" si="111"/>
        <v>9.3830682135551751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415.99999999999955</v>
      </c>
      <c r="AJ133" s="13">
        <f>AI133*VLOOKUP('Données projet'!$B$10,Paramètres!$A$1:$I$89,3,0)*VLOOKUP('Données projet'!$B$10,Paramètres!$A$1:$I$89,5,0)</f>
        <v>248.76799999999972</v>
      </c>
      <c r="AK133" s="13">
        <f t="shared" ref="AK133:AK153" si="143">EXP(-1.0587+0.8836*LN(AJ133)+0.284)</f>
        <v>60.32205079116369</v>
      </c>
      <c r="AL133" s="20">
        <f t="shared" si="112"/>
        <v>538.33183846127633</v>
      </c>
      <c r="AM133" s="59">
        <f t="shared" si="113"/>
        <v>831.66517179460971</v>
      </c>
      <c r="AN133" s="59">
        <f ca="1">AVERAGE(OFFSET($AM$3,0,0,'Données projet'!$E$10+1,1))-AVERAGE(OFFSET($H$3,0,0,'Données projet'!$E$10+1,1))</f>
        <v>279.39350157328471</v>
      </c>
      <c r="AO133" s="59">
        <f t="shared" ref="AO133:AO196" si="144">$AO$3</f>
        <v>261.55559683031657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7.898228564849906</v>
      </c>
      <c r="AV133" s="21">
        <f>EXP(-LN(2)/25)*AV132+(1-EXP(-LN(2)/25))/(LN(2)/25)*Calculateur!AQ133*Calculateur!AS133*VLOOKUP('Données projet'!$B$10,Paramètres!$A$1:$I$89,3,0)*0.475*44/12</f>
        <v>5.3060726577054957</v>
      </c>
      <c r="AW133" s="21">
        <f>EXP(-LN(2)/2)*AW132+(1-EXP(-LN(2)/2))/(LN(2)/2)*AQ133*AT133*VLOOKUP('Données projet'!$B$10,Paramètres!$A$1:$I$89,3,0)*0.475*44/12</f>
        <v>5.4850743856712411E-10</v>
      </c>
      <c r="AX133" s="21">
        <f t="shared" si="114"/>
        <v>13.204301223103908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475.00000000000011</v>
      </c>
      <c r="BE133" s="13">
        <f>BD133*VLOOKUP('Données projet'!$B$11,Paramètres!$A$1:$I$89,3,0)*VLOOKUP('Données projet'!$B$11,Paramètres!$A$1:$I$89,5,0)</f>
        <v>265.52500000000009</v>
      </c>
      <c r="BF133" s="13">
        <f t="shared" ref="BF133:BF153" si="145">EXP(-1.0587+0.8836*LN(BE133)+0.284)</f>
        <v>63.898639547235177</v>
      </c>
      <c r="BG133" s="20">
        <f t="shared" si="115"/>
        <v>573.74617221143478</v>
      </c>
      <c r="BH133" s="59">
        <f t="shared" si="116"/>
        <v>867.07950554476815</v>
      </c>
      <c r="BI133" s="59">
        <f ca="1">AVERAGE(OFFSET($BH$3,0,0,'Données projet'!$E$11+1,1))-AVERAGE(OFFSET($H$3,0,0,'Données projet'!$E$11+1,1))</f>
        <v>342.37397177572871</v>
      </c>
      <c r="BJ133" s="59">
        <f t="shared" ref="BJ133:BJ196" si="146">$BJ$3</f>
        <v>331.32436050472762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12.381124675009795</v>
      </c>
      <c r="BQ133" s="21">
        <f>EXP(-LN(2)/25)*BQ132+(1-EXP(-LN(2)/25))/(LN(2)/25)*Calculateur!BL133*Calculateur!BN133*VLOOKUP('Données projet'!$B$11,Paramètres!$A$1:$I$89,3,0)*0.475*44/12</f>
        <v>9.6294204843203186</v>
      </c>
      <c r="BR133" s="21">
        <f>EXP(-LN(2)/2)*BR132+(1-EXP(-LN(2)/2))/(LN(2)/2)*BL133*BO133*VLOOKUP('Données projet'!$B$11,Paramètres!$A$1:$I$89,3,0)*0.475*44/12</f>
        <v>3.9243294637988748E-9</v>
      </c>
      <c r="BS133" s="22">
        <f t="shared" si="117"/>
        <v>22.010545163254445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253.79640000000001</v>
      </c>
      <c r="CA133" s="13">
        <f t="shared" ref="CA133:CA153" si="147">EXP(-1.0587+0.8836*LN(BZ133)+0.284)</f>
        <v>61.39816832228076</v>
      </c>
      <c r="CB133" s="20">
        <f t="shared" si="118"/>
        <v>548.96387316130563</v>
      </c>
      <c r="CC133" s="59">
        <f t="shared" si="119"/>
        <v>842.29720649463889</v>
      </c>
      <c r="CD133" s="59">
        <f ca="1">AVERAGE(OFFSET($CC$3,0,0,'Données projet'!$E$12+1,1))-AVERAGE(OFFSET($H$3,0,0,'Données projet'!$E$12+1,1))</f>
        <v>353.37479213497227</v>
      </c>
      <c r="CE133" s="59">
        <f t="shared" ref="CE133:CE196" si="148">$CE$3</f>
        <v>345.4750813433123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15.195697709184708</v>
      </c>
      <c r="CL133" s="21">
        <f>EXP(-LN(2)/25)*CL132+(1-EXP(-LN(2)/25))/(LN(2)/25)*Calculateur!CG133*Calculateur!CI133*VLOOKUP('Données projet'!$B$12,Paramètres!$A$1:$I$89,3,0)*0.475*44/12</f>
        <v>0.63918019776560731</v>
      </c>
      <c r="CM133" s="21">
        <f>EXP(-LN(2)/2)*CM132+(1-EXP(-LN(2)/2))/(LN(2)/2)*CG133*CJ133*VLOOKUP('Données projet'!$B$12,Paramètres!$A$1:$I$89,3,0)*0.475*44/12</f>
        <v>1.8277566272066474E-8</v>
      </c>
      <c r="CN133" s="22">
        <f t="shared" si="120"/>
        <v>15.834877925227882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277.99999999999994</v>
      </c>
      <c r="O134" s="13">
        <f>N134*VLOOKUP('Données projet'!$B$9,Paramètres!$A$1:$I$89,3,0)*VLOOKUP('Données projet'!$B$9,Paramètres!$A$1:$I$89,5,0)</f>
        <v>173.47199999999998</v>
      </c>
      <c r="P134" s="13">
        <f t="shared" si="141"/>
        <v>43.866718728383574</v>
      </c>
      <c r="Q134" s="20">
        <f t="shared" si="108"/>
        <v>378.53160178526804</v>
      </c>
      <c r="R134" s="59">
        <f t="shared" si="109"/>
        <v>671.86493511860135</v>
      </c>
      <c r="S134" s="59">
        <f ca="1">AVERAGE(OFFSET($R$3,0,0,'Données projet'!$E$9+1,1))-AVERAGE(OFFSET($H$3,0,0,'Données projet'!$E$9+1,1))</f>
        <v>232.56424130731699</v>
      </c>
      <c r="T134" s="59">
        <f t="shared" si="142"/>
        <v>384.58890620364178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4.3038451630525163</v>
      </c>
      <c r="AA134" s="21">
        <f>EXP(-LN(2)/25)*AA133+(1-EXP(-LN(2)/25))/(LN(2)/25)*Calculateur!V134*Calculateur!X134*VLOOKUP('Données projet'!$B$9,Paramètres!$A$1:$I$89,3,0)*0.475*44/12</f>
        <v>4.856601565978381</v>
      </c>
      <c r="AB134" s="21">
        <f>EXP(-LN(2)/2)*AB133+(1-EXP(-LN(2)/2))/(LN(2)/2)*V134*Y134*VLOOKUP('Données projet'!$B$9,Paramètres!$A$1:$I$89,3,0)*0.475*44/12</f>
        <v>6.2076576508296841E-14</v>
      </c>
      <c r="AC134" s="22">
        <f t="shared" si="111"/>
        <v>9.1604467290309604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415.99999999999955</v>
      </c>
      <c r="AJ134" s="13">
        <f>AI134*VLOOKUP('Données projet'!$B$10,Paramètres!$A$1:$I$89,3,0)*VLOOKUP('Données projet'!$B$10,Paramètres!$A$1:$I$89,5,0)</f>
        <v>248.76799999999972</v>
      </c>
      <c r="AK134" s="13">
        <f t="shared" si="143"/>
        <v>60.32205079116369</v>
      </c>
      <c r="AL134" s="20">
        <f t="shared" si="112"/>
        <v>538.33183846127633</v>
      </c>
      <c r="AM134" s="59">
        <f t="shared" si="113"/>
        <v>831.66517179460971</v>
      </c>
      <c r="AN134" s="59">
        <f ca="1">AVERAGE(OFFSET($AM$3,0,0,'Données projet'!$E$10+1,1))-AVERAGE(OFFSET($H$3,0,0,'Données projet'!$E$10+1,1))</f>
        <v>279.39350157328471</v>
      </c>
      <c r="AO134" s="59">
        <f t="shared" si="144"/>
        <v>261.55559683031657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7.7433491201369407</v>
      </c>
      <c r="AV134" s="21">
        <f>EXP(-LN(2)/25)*AV133+(1-EXP(-LN(2)/25))/(LN(2)/25)*Calculateur!AQ134*Calculateur!AS134*VLOOKUP('Données projet'!$B$10,Paramètres!$A$1:$I$89,3,0)*0.475*44/12</f>
        <v>5.1609778218463047</v>
      </c>
      <c r="AW134" s="21">
        <f>EXP(-LN(2)/2)*AW133+(1-EXP(-LN(2)/2))/(LN(2)/2)*AQ134*AT134*VLOOKUP('Données projet'!$B$10,Paramètres!$A$1:$I$89,3,0)*0.475*44/12</f>
        <v>3.8785332934207709E-10</v>
      </c>
      <c r="AX134" s="21">
        <f t="shared" si="114"/>
        <v>12.9043269423711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475.00000000000011</v>
      </c>
      <c r="BE134" s="13">
        <f>BD134*VLOOKUP('Données projet'!$B$11,Paramètres!$A$1:$I$89,3,0)*VLOOKUP('Données projet'!$B$11,Paramètres!$A$1:$I$89,5,0)</f>
        <v>265.52500000000009</v>
      </c>
      <c r="BF134" s="13">
        <f t="shared" si="145"/>
        <v>63.898639547235177</v>
      </c>
      <c r="BG134" s="20">
        <f t="shared" si="115"/>
        <v>573.74617221143478</v>
      </c>
      <c r="BH134" s="59">
        <f t="shared" si="116"/>
        <v>867.07950554476815</v>
      </c>
      <c r="BI134" s="59">
        <f ca="1">AVERAGE(OFFSET($BH$3,0,0,'Données projet'!$E$11+1,1))-AVERAGE(OFFSET($H$3,0,0,'Données projet'!$E$11+1,1))</f>
        <v>342.37397177572871</v>
      </c>
      <c r="BJ134" s="59">
        <f t="shared" si="146"/>
        <v>331.32436050472762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12.138338371873232</v>
      </c>
      <c r="BQ134" s="21">
        <f>EXP(-LN(2)/25)*BQ133+(1-EXP(-LN(2)/25))/(LN(2)/25)*Calculateur!BL134*Calculateur!BN134*VLOOKUP('Données projet'!$B$11,Paramètres!$A$1:$I$89,3,0)*0.475*44/12</f>
        <v>9.3661034747873639</v>
      </c>
      <c r="BR134" s="21">
        <f>EXP(-LN(2)/2)*BR133+(1-EXP(-LN(2)/2))/(LN(2)/2)*BL134*BO134*VLOOKUP('Données projet'!$B$11,Paramètres!$A$1:$I$89,3,0)*0.475*44/12</f>
        <v>2.7749199754623524E-9</v>
      </c>
      <c r="BS134" s="22">
        <f t="shared" si="117"/>
        <v>21.504441849435519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253.79640000000001</v>
      </c>
      <c r="CA134" s="13">
        <f t="shared" si="147"/>
        <v>61.39816832228076</v>
      </c>
      <c r="CB134" s="20">
        <f t="shared" si="118"/>
        <v>548.96387316130563</v>
      </c>
      <c r="CC134" s="59">
        <f t="shared" si="119"/>
        <v>842.29720649463889</v>
      </c>
      <c r="CD134" s="59">
        <f ca="1">AVERAGE(OFFSET($CC$3,0,0,'Données projet'!$E$12+1,1))-AVERAGE(OFFSET($H$3,0,0,'Données projet'!$E$12+1,1))</f>
        <v>353.37479213497227</v>
      </c>
      <c r="CE134" s="59">
        <f t="shared" si="148"/>
        <v>345.4750813433123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14.897719345568014</v>
      </c>
      <c r="CL134" s="21">
        <f>EXP(-LN(2)/25)*CL133+(1-EXP(-LN(2)/25))/(LN(2)/25)*Calculateur!CG134*Calculateur!CI134*VLOOKUP('Données projet'!$B$12,Paramètres!$A$1:$I$89,3,0)*0.475*44/12</f>
        <v>0.62170178164468104</v>
      </c>
      <c r="CM134" s="21">
        <f>EXP(-LN(2)/2)*CM133+(1-EXP(-LN(2)/2))/(LN(2)/2)*CG134*CJ134*VLOOKUP('Données projet'!$B$12,Paramètres!$A$1:$I$89,3,0)*0.475*44/12</f>
        <v>1.2924191054564729E-8</v>
      </c>
      <c r="CN134" s="22">
        <f t="shared" si="120"/>
        <v>15.519421140136886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277.99999999999994</v>
      </c>
      <c r="O135" s="13">
        <f>N135*VLOOKUP('Données projet'!$B$9,Paramètres!$A$1:$I$89,3,0)*VLOOKUP('Données projet'!$B$9,Paramètres!$A$1:$I$89,5,0)</f>
        <v>173.47199999999998</v>
      </c>
      <c r="P135" s="13">
        <f t="shared" si="141"/>
        <v>43.866718728383574</v>
      </c>
      <c r="Q135" s="20">
        <f t="shared" si="108"/>
        <v>378.53160178526804</v>
      </c>
      <c r="R135" s="59">
        <f t="shared" si="109"/>
        <v>671.86493511860135</v>
      </c>
      <c r="S135" s="59">
        <f ca="1">AVERAGE(OFFSET($R$3,0,0,'Données projet'!$E$9+1,1))-AVERAGE(OFFSET($H$3,0,0,'Données projet'!$E$9+1,1))</f>
        <v>232.56424130731699</v>
      </c>
      <c r="T135" s="59">
        <f t="shared" si="142"/>
        <v>384.58890620364178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4.2194493844914005</v>
      </c>
      <c r="AA135" s="21">
        <f>EXP(-LN(2)/25)*AA134+(1-EXP(-LN(2)/25))/(LN(2)/25)*Calculateur!V135*Calculateur!X135*VLOOKUP('Données projet'!$B$9,Paramètres!$A$1:$I$89,3,0)*0.475*44/12</f>
        <v>4.7237975407591257</v>
      </c>
      <c r="AB135" s="21">
        <f>EXP(-LN(2)/2)*AB134+(1-EXP(-LN(2)/2))/(LN(2)/2)*V135*Y135*VLOOKUP('Données projet'!$B$9,Paramètres!$A$1:$I$89,3,0)*0.475*44/12</f>
        <v>4.3894768201862232E-14</v>
      </c>
      <c r="AC135" s="22">
        <f t="shared" si="111"/>
        <v>8.9432469252505715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415.99999999999955</v>
      </c>
      <c r="AJ135" s="13">
        <f>AI135*VLOOKUP('Données projet'!$B$10,Paramètres!$A$1:$I$89,3,0)*VLOOKUP('Données projet'!$B$10,Paramètres!$A$1:$I$89,5,0)</f>
        <v>248.76799999999972</v>
      </c>
      <c r="AK135" s="13">
        <f t="shared" si="143"/>
        <v>60.32205079116369</v>
      </c>
      <c r="AL135" s="20">
        <f t="shared" si="112"/>
        <v>538.33183846127633</v>
      </c>
      <c r="AM135" s="59">
        <f t="shared" si="113"/>
        <v>831.66517179460971</v>
      </c>
      <c r="AN135" s="59">
        <f ca="1">AVERAGE(OFFSET($AM$3,0,0,'Données projet'!$E$10+1,1))-AVERAGE(OFFSET($H$3,0,0,'Données projet'!$E$10+1,1))</f>
        <v>279.39350157328471</v>
      </c>
      <c r="AO135" s="59">
        <f t="shared" si="144"/>
        <v>261.55559683031657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7.5915067668676635</v>
      </c>
      <c r="AV135" s="21">
        <f>EXP(-LN(2)/25)*AV134+(1-EXP(-LN(2)/25))/(LN(2)/25)*Calculateur!AQ135*Calculateur!AS135*VLOOKUP('Données projet'!$B$10,Paramètres!$A$1:$I$89,3,0)*0.475*44/12</f>
        <v>5.0198506119038893</v>
      </c>
      <c r="AW135" s="21">
        <f>EXP(-LN(2)/2)*AW134+(1-EXP(-LN(2)/2))/(LN(2)/2)*AQ135*AT135*VLOOKUP('Données projet'!$B$10,Paramètres!$A$1:$I$89,3,0)*0.475*44/12</f>
        <v>2.7425371928356205E-10</v>
      </c>
      <c r="AX135" s="21">
        <f t="shared" si="114"/>
        <v>12.611357379045806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475.00000000000011</v>
      </c>
      <c r="BE135" s="13">
        <f>BD135*VLOOKUP('Données projet'!$B$11,Paramètres!$A$1:$I$89,3,0)*VLOOKUP('Données projet'!$B$11,Paramètres!$A$1:$I$89,5,0)</f>
        <v>265.52500000000009</v>
      </c>
      <c r="BF135" s="13">
        <f t="shared" si="145"/>
        <v>63.898639547235177</v>
      </c>
      <c r="BG135" s="20">
        <f t="shared" si="115"/>
        <v>573.74617221143478</v>
      </c>
      <c r="BH135" s="59">
        <f t="shared" si="116"/>
        <v>867.07950554476815</v>
      </c>
      <c r="BI135" s="59">
        <f ca="1">AVERAGE(OFFSET($BH$3,0,0,'Données projet'!$E$11+1,1))-AVERAGE(OFFSET($H$3,0,0,'Données projet'!$E$11+1,1))</f>
        <v>342.37397177572871</v>
      </c>
      <c r="BJ135" s="59">
        <f t="shared" si="146"/>
        <v>331.32436050472762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11.900312960056155</v>
      </c>
      <c r="BQ135" s="21">
        <f>EXP(-LN(2)/25)*BQ134+(1-EXP(-LN(2)/25))/(LN(2)/25)*Calculateur!BL135*Calculateur!BN135*VLOOKUP('Données projet'!$B$11,Paramètres!$A$1:$I$89,3,0)*0.475*44/12</f>
        <v>9.1099868827273287</v>
      </c>
      <c r="BR135" s="21">
        <f>EXP(-LN(2)/2)*BR134+(1-EXP(-LN(2)/2))/(LN(2)/2)*BL135*BO135*VLOOKUP('Données projet'!$B$11,Paramètres!$A$1:$I$89,3,0)*0.475*44/12</f>
        <v>1.9621647318994374E-9</v>
      </c>
      <c r="BS135" s="22">
        <f t="shared" si="117"/>
        <v>21.010299844745646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253.79640000000001</v>
      </c>
      <c r="CA135" s="13">
        <f t="shared" si="147"/>
        <v>61.39816832228076</v>
      </c>
      <c r="CB135" s="20">
        <f t="shared" si="118"/>
        <v>548.96387316130563</v>
      </c>
      <c r="CC135" s="59">
        <f t="shared" si="119"/>
        <v>842.29720649463889</v>
      </c>
      <c r="CD135" s="59">
        <f ca="1">AVERAGE(OFFSET($CC$3,0,0,'Données projet'!$E$12+1,1))-AVERAGE(OFFSET($H$3,0,0,'Données projet'!$E$12+1,1))</f>
        <v>353.37479213497227</v>
      </c>
      <c r="CE135" s="59">
        <f t="shared" si="148"/>
        <v>345.4750813433123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14.605584155912988</v>
      </c>
      <c r="CL135" s="21">
        <f>EXP(-LN(2)/25)*CL134+(1-EXP(-LN(2)/25))/(LN(2)/25)*Calculateur!CG135*Calculateur!CI135*VLOOKUP('Données projet'!$B$12,Paramètres!$A$1:$I$89,3,0)*0.475*44/12</f>
        <v>0.60470131373173142</v>
      </c>
      <c r="CM135" s="21">
        <f>EXP(-LN(2)/2)*CM134+(1-EXP(-LN(2)/2))/(LN(2)/2)*CG135*CJ135*VLOOKUP('Données projet'!$B$12,Paramètres!$A$1:$I$89,3,0)*0.475*44/12</f>
        <v>9.1387831360332368E-9</v>
      </c>
      <c r="CN135" s="22">
        <f t="shared" si="120"/>
        <v>15.210285478783502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277.99999999999994</v>
      </c>
      <c r="O136" s="13">
        <f>N136*VLOOKUP('Données projet'!$B$9,Paramètres!$A$1:$I$89,3,0)*VLOOKUP('Données projet'!$B$9,Paramètres!$A$1:$I$89,5,0)</f>
        <v>173.47199999999998</v>
      </c>
      <c r="P136" s="13">
        <f t="shared" si="141"/>
        <v>43.866718728383574</v>
      </c>
      <c r="Q136" s="20">
        <f t="shared" si="108"/>
        <v>378.53160178526804</v>
      </c>
      <c r="R136" s="59">
        <f t="shared" si="109"/>
        <v>671.86493511860135</v>
      </c>
      <c r="S136" s="59">
        <f ca="1">AVERAGE(OFFSET($R$3,0,0,'Données projet'!$E$9+1,1))-AVERAGE(OFFSET($H$3,0,0,'Données projet'!$E$9+1,1))</f>
        <v>232.56424130731699</v>
      </c>
      <c r="T136" s="59">
        <f t="shared" si="142"/>
        <v>384.58890620364178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4.1367085556715262</v>
      </c>
      <c r="AA136" s="21">
        <f>EXP(-LN(2)/25)*AA135+(1-EXP(-LN(2)/25))/(LN(2)/25)*Calculateur!V136*Calculateur!X136*VLOOKUP('Données projet'!$B$9,Paramètres!$A$1:$I$89,3,0)*0.475*44/12</f>
        <v>4.5946250485933513</v>
      </c>
      <c r="AB136" s="21">
        <f>EXP(-LN(2)/2)*AB135+(1-EXP(-LN(2)/2))/(LN(2)/2)*V136*Y136*VLOOKUP('Données projet'!$B$9,Paramètres!$A$1:$I$89,3,0)*0.475*44/12</f>
        <v>3.1038288254148421E-14</v>
      </c>
      <c r="AC136" s="22">
        <f t="shared" si="111"/>
        <v>8.7313336042649077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415.99999999999955</v>
      </c>
      <c r="AJ136" s="13">
        <f>AI136*VLOOKUP('Données projet'!$B$10,Paramètres!$A$1:$I$89,3,0)*VLOOKUP('Données projet'!$B$10,Paramètres!$A$1:$I$89,5,0)</f>
        <v>248.76799999999972</v>
      </c>
      <c r="AK136" s="13">
        <f t="shared" si="143"/>
        <v>60.32205079116369</v>
      </c>
      <c r="AL136" s="20">
        <f t="shared" si="112"/>
        <v>538.33183846127633</v>
      </c>
      <c r="AM136" s="59">
        <f t="shared" si="113"/>
        <v>831.66517179460971</v>
      </c>
      <c r="AN136" s="59">
        <f ca="1">AVERAGE(OFFSET($AM$3,0,0,'Données projet'!$E$10+1,1))-AVERAGE(OFFSET($H$3,0,0,'Données projet'!$E$10+1,1))</f>
        <v>279.39350157328471</v>
      </c>
      <c r="AO136" s="59">
        <f t="shared" si="144"/>
        <v>261.55559683031657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7.4426419495313061</v>
      </c>
      <c r="AV136" s="21">
        <f>EXP(-LN(2)/25)*AV135+(1-EXP(-LN(2)/25))/(LN(2)/25)*Calculateur!AQ136*Calculateur!AS136*VLOOKUP('Données projet'!$B$10,Paramètres!$A$1:$I$89,3,0)*0.475*44/12</f>
        <v>4.8825825329389065</v>
      </c>
      <c r="AW136" s="21">
        <f>EXP(-LN(2)/2)*AW135+(1-EXP(-LN(2)/2))/(LN(2)/2)*AQ136*AT136*VLOOKUP('Données projet'!$B$10,Paramètres!$A$1:$I$89,3,0)*0.475*44/12</f>
        <v>1.9392666467103855E-10</v>
      </c>
      <c r="AX136" s="21">
        <f t="shared" si="114"/>
        <v>12.325224482664138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475.00000000000011</v>
      </c>
      <c r="BE136" s="13">
        <f>BD136*VLOOKUP('Données projet'!$B$11,Paramètres!$A$1:$I$89,3,0)*VLOOKUP('Données projet'!$B$11,Paramètres!$A$1:$I$89,5,0)</f>
        <v>265.52500000000009</v>
      </c>
      <c r="BF136" s="13">
        <f t="shared" si="145"/>
        <v>63.898639547235177</v>
      </c>
      <c r="BG136" s="20">
        <f t="shared" si="115"/>
        <v>573.74617221143478</v>
      </c>
      <c r="BH136" s="59">
        <f t="shared" si="116"/>
        <v>867.07950554476815</v>
      </c>
      <c r="BI136" s="59">
        <f ca="1">AVERAGE(OFFSET($BH$3,0,0,'Données projet'!$E$11+1,1))-AVERAGE(OFFSET($H$3,0,0,'Données projet'!$E$11+1,1))</f>
        <v>342.37397177572871</v>
      </c>
      <c r="BJ136" s="59">
        <f t="shared" si="146"/>
        <v>331.32436050472762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11.666955081383644</v>
      </c>
      <c r="BQ136" s="21">
        <f>EXP(-LN(2)/25)*BQ135+(1-EXP(-LN(2)/25))/(LN(2)/25)*Calculateur!BL136*Calculateur!BN136*VLOOKUP('Données projet'!$B$11,Paramètres!$A$1:$I$89,3,0)*0.475*44/12</f>
        <v>8.8608738123457602</v>
      </c>
      <c r="BR136" s="21">
        <f>EXP(-LN(2)/2)*BR135+(1-EXP(-LN(2)/2))/(LN(2)/2)*BL136*BO136*VLOOKUP('Données projet'!$B$11,Paramètres!$A$1:$I$89,3,0)*0.475*44/12</f>
        <v>1.3874599877311762E-9</v>
      </c>
      <c r="BS136" s="22">
        <f t="shared" si="117"/>
        <v>20.527828895116865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253.79640000000001</v>
      </c>
      <c r="CA136" s="13">
        <f t="shared" si="147"/>
        <v>61.39816832228076</v>
      </c>
      <c r="CB136" s="20">
        <f t="shared" si="118"/>
        <v>548.96387316130563</v>
      </c>
      <c r="CC136" s="59">
        <f t="shared" si="119"/>
        <v>842.29720649463889</v>
      </c>
      <c r="CD136" s="59">
        <f ca="1">AVERAGE(OFFSET($CC$3,0,0,'Données projet'!$E$12+1,1))-AVERAGE(OFFSET($H$3,0,0,'Données projet'!$E$12+1,1))</f>
        <v>353.37479213497227</v>
      </c>
      <c r="CE136" s="59">
        <f t="shared" si="148"/>
        <v>345.4750813433123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14.319177559142226</v>
      </c>
      <c r="CL136" s="21">
        <f>EXP(-LN(2)/25)*CL135+(1-EXP(-LN(2)/25))/(LN(2)/25)*Calculateur!CG136*Calculateur!CI136*VLOOKUP('Données projet'!$B$12,Paramètres!$A$1:$I$89,3,0)*0.475*44/12</f>
        <v>0.58816572450787719</v>
      </c>
      <c r="CM136" s="21">
        <f>EXP(-LN(2)/2)*CM135+(1-EXP(-LN(2)/2))/(LN(2)/2)*CG136*CJ136*VLOOKUP('Données projet'!$B$12,Paramètres!$A$1:$I$89,3,0)*0.475*44/12</f>
        <v>6.4620955272823647E-9</v>
      </c>
      <c r="CN136" s="22">
        <f t="shared" si="120"/>
        <v>14.907343290112198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277.99999999999994</v>
      </c>
      <c r="O137" s="13">
        <f>N137*VLOOKUP('Données projet'!$B$9,Paramètres!$A$1:$I$89,3,0)*VLOOKUP('Données projet'!$B$9,Paramètres!$A$1:$I$89,5,0)</f>
        <v>173.47199999999998</v>
      </c>
      <c r="P137" s="13">
        <f t="shared" si="141"/>
        <v>43.866718728383574</v>
      </c>
      <c r="Q137" s="20">
        <f t="shared" si="108"/>
        <v>378.53160178526804</v>
      </c>
      <c r="R137" s="59">
        <f t="shared" si="109"/>
        <v>671.86493511860135</v>
      </c>
      <c r="S137" s="59">
        <f ca="1">AVERAGE(OFFSET($R$3,0,0,'Données projet'!$E$9+1,1))-AVERAGE(OFFSET($H$3,0,0,'Données projet'!$E$9+1,1))</f>
        <v>232.56424130731699</v>
      </c>
      <c r="T137" s="59">
        <f t="shared" si="142"/>
        <v>384.58890620364178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4.0555902240378865</v>
      </c>
      <c r="AA137" s="21">
        <f>EXP(-LN(2)/25)*AA136+(1-EXP(-LN(2)/25))/(LN(2)/25)*Calculateur!V137*Calculateur!X137*VLOOKUP('Données projet'!$B$9,Paramètres!$A$1:$I$89,3,0)*0.475*44/12</f>
        <v>4.4689847850187361</v>
      </c>
      <c r="AB137" s="21">
        <f>EXP(-LN(2)/2)*AB136+(1-EXP(-LN(2)/2))/(LN(2)/2)*V137*Y137*VLOOKUP('Données projet'!$B$9,Paramètres!$A$1:$I$89,3,0)*0.475*44/12</f>
        <v>2.1947384100931116E-14</v>
      </c>
      <c r="AC137" s="22">
        <f t="shared" si="111"/>
        <v>8.5245750090566439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415.99999999999955</v>
      </c>
      <c r="AJ137" s="13">
        <f>AI137*VLOOKUP('Données projet'!$B$10,Paramètres!$A$1:$I$89,3,0)*VLOOKUP('Données projet'!$B$10,Paramètres!$A$1:$I$89,5,0)</f>
        <v>248.76799999999972</v>
      </c>
      <c r="AK137" s="13">
        <f t="shared" si="143"/>
        <v>60.32205079116369</v>
      </c>
      <c r="AL137" s="20">
        <f t="shared" si="112"/>
        <v>538.33183846127633</v>
      </c>
      <c r="AM137" s="59">
        <f t="shared" si="113"/>
        <v>831.66517179460971</v>
      </c>
      <c r="AN137" s="59">
        <f ca="1">AVERAGE(OFFSET($AM$3,0,0,'Données projet'!$E$10+1,1))-AVERAGE(OFFSET($H$3,0,0,'Données projet'!$E$10+1,1))</f>
        <v>279.39350157328471</v>
      </c>
      <c r="AO137" s="59">
        <f t="shared" si="144"/>
        <v>261.55559683031657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7.2966962804643414</v>
      </c>
      <c r="AV137" s="21">
        <f>EXP(-LN(2)/25)*AV136+(1-EXP(-LN(2)/25))/(LN(2)/25)*Calculateur!AQ137*Calculateur!AS137*VLOOKUP('Données projet'!$B$10,Paramètres!$A$1:$I$89,3,0)*0.475*44/12</f>
        <v>4.7490680568118364</v>
      </c>
      <c r="AW137" s="21">
        <f>EXP(-LN(2)/2)*AW136+(1-EXP(-LN(2)/2))/(LN(2)/2)*AQ137*AT137*VLOOKUP('Données projet'!$B$10,Paramètres!$A$1:$I$89,3,0)*0.475*44/12</f>
        <v>1.3712685964178103E-10</v>
      </c>
      <c r="AX137" s="21">
        <f t="shared" si="114"/>
        <v>12.045764337413306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475.00000000000011</v>
      </c>
      <c r="BE137" s="13">
        <f>BD137*VLOOKUP('Données projet'!$B$11,Paramètres!$A$1:$I$89,3,0)*VLOOKUP('Données projet'!$B$11,Paramètres!$A$1:$I$89,5,0)</f>
        <v>265.52500000000009</v>
      </c>
      <c r="BF137" s="13">
        <f t="shared" si="145"/>
        <v>63.898639547235177</v>
      </c>
      <c r="BG137" s="20">
        <f t="shared" si="115"/>
        <v>573.74617221143478</v>
      </c>
      <c r="BH137" s="59">
        <f t="shared" si="116"/>
        <v>867.07950554476815</v>
      </c>
      <c r="BI137" s="59">
        <f ca="1">AVERAGE(OFFSET($BH$3,0,0,'Données projet'!$E$11+1,1))-AVERAGE(OFFSET($H$3,0,0,'Données projet'!$E$11+1,1))</f>
        <v>342.37397177572871</v>
      </c>
      <c r="BJ137" s="59">
        <f t="shared" si="146"/>
        <v>331.32436050472762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11.43817320837765</v>
      </c>
      <c r="BQ137" s="21">
        <f>EXP(-LN(2)/25)*BQ136+(1-EXP(-LN(2)/25))/(LN(2)/25)*Calculateur!BL137*Calculateur!BN137*VLOOKUP('Données projet'!$B$11,Paramètres!$A$1:$I$89,3,0)*0.475*44/12</f>
        <v>8.6185727519740638</v>
      </c>
      <c r="BR137" s="21">
        <f>EXP(-LN(2)/2)*BR136+(1-EXP(-LN(2)/2))/(LN(2)/2)*BL137*BO137*VLOOKUP('Données projet'!$B$11,Paramètres!$A$1:$I$89,3,0)*0.475*44/12</f>
        <v>9.8108236594971871E-10</v>
      </c>
      <c r="BS137" s="22">
        <f t="shared" si="117"/>
        <v>20.056745961332794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253.79640000000001</v>
      </c>
      <c r="CA137" s="13">
        <f t="shared" si="147"/>
        <v>61.39816832228076</v>
      </c>
      <c r="CB137" s="20">
        <f t="shared" si="118"/>
        <v>548.96387316130563</v>
      </c>
      <c r="CC137" s="59">
        <f t="shared" si="119"/>
        <v>842.29720649463889</v>
      </c>
      <c r="CD137" s="59">
        <f ca="1">AVERAGE(OFFSET($CC$3,0,0,'Données projet'!$E$12+1,1))-AVERAGE(OFFSET($H$3,0,0,'Données projet'!$E$12+1,1))</f>
        <v>353.37479213497227</v>
      </c>
      <c r="CE137" s="59">
        <f t="shared" si="148"/>
        <v>345.4750813433123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14.038387221043363</v>
      </c>
      <c r="CL137" s="21">
        <f>EXP(-LN(2)/25)*CL136+(1-EXP(-LN(2)/25))/(LN(2)/25)*Calculateur!CG137*Calculateur!CI137*VLOOKUP('Données projet'!$B$12,Paramètres!$A$1:$I$89,3,0)*0.475*44/12</f>
        <v>0.57208230184091813</v>
      </c>
      <c r="CM137" s="21">
        <f>EXP(-LN(2)/2)*CM136+(1-EXP(-LN(2)/2))/(LN(2)/2)*CG137*CJ137*VLOOKUP('Données projet'!$B$12,Paramètres!$A$1:$I$89,3,0)*0.475*44/12</f>
        <v>4.5693915680166184E-9</v>
      </c>
      <c r="CN137" s="22">
        <f t="shared" si="120"/>
        <v>14.610469527453674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277.99999999999994</v>
      </c>
      <c r="O138" s="13">
        <f>N138*VLOOKUP('Données projet'!$B$9,Paramètres!$A$1:$I$89,3,0)*VLOOKUP('Données projet'!$B$9,Paramètres!$A$1:$I$89,5,0)</f>
        <v>173.47199999999998</v>
      </c>
      <c r="P138" s="13">
        <f t="shared" si="141"/>
        <v>43.866718728383574</v>
      </c>
      <c r="Q138" s="20">
        <f t="shared" si="108"/>
        <v>378.53160178526804</v>
      </c>
      <c r="R138" s="59">
        <f t="shared" si="109"/>
        <v>671.86493511860135</v>
      </c>
      <c r="S138" s="59">
        <f ca="1">AVERAGE(OFFSET($R$3,0,0,'Données projet'!$E$9+1,1))-AVERAGE(OFFSET($H$3,0,0,'Données projet'!$E$9+1,1))</f>
        <v>232.56424130731699</v>
      </c>
      <c r="T138" s="59">
        <f t="shared" si="142"/>
        <v>384.58890620364178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3.9760625734102861</v>
      </c>
      <c r="AA138" s="21">
        <f>EXP(-LN(2)/25)*AA137+(1-EXP(-LN(2)/25))/(LN(2)/25)*Calculateur!V138*Calculateur!X138*VLOOKUP('Données projet'!$B$9,Paramètres!$A$1:$I$89,3,0)*0.475*44/12</f>
        <v>4.3467801610587031</v>
      </c>
      <c r="AB138" s="21">
        <f>EXP(-LN(2)/2)*AB137+(1-EXP(-LN(2)/2))/(LN(2)/2)*V138*Y138*VLOOKUP('Données projet'!$B$9,Paramètres!$A$1:$I$89,3,0)*0.475*44/12</f>
        <v>1.551914412707421E-14</v>
      </c>
      <c r="AC138" s="22">
        <f t="shared" si="111"/>
        <v>8.3228427344690044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415.99999999999955</v>
      </c>
      <c r="AJ138" s="13">
        <f>AI138*VLOOKUP('Données projet'!$B$10,Paramètres!$A$1:$I$89,3,0)*VLOOKUP('Données projet'!$B$10,Paramètres!$A$1:$I$89,5,0)</f>
        <v>248.76799999999972</v>
      </c>
      <c r="AK138" s="13">
        <f t="shared" si="143"/>
        <v>60.32205079116369</v>
      </c>
      <c r="AL138" s="20">
        <f t="shared" si="112"/>
        <v>538.33183846127633</v>
      </c>
      <c r="AM138" s="59">
        <f t="shared" si="113"/>
        <v>831.66517179460971</v>
      </c>
      <c r="AN138" s="59">
        <f ca="1">AVERAGE(OFFSET($AM$3,0,0,'Données projet'!$E$10+1,1))-AVERAGE(OFFSET($H$3,0,0,'Données projet'!$E$10+1,1))</f>
        <v>279.39350157328471</v>
      </c>
      <c r="AO138" s="59">
        <f t="shared" si="144"/>
        <v>261.55559683031657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7.1536125169497122</v>
      </c>
      <c r="AV138" s="21">
        <f>EXP(-LN(2)/25)*AV137+(1-EXP(-LN(2)/25))/(LN(2)/25)*Calculateur!AQ138*Calculateur!AS138*VLOOKUP('Données projet'!$B$10,Paramètres!$A$1:$I$89,3,0)*0.475*44/12</f>
        <v>4.6192045410556819</v>
      </c>
      <c r="AW138" s="21">
        <f>EXP(-LN(2)/2)*AW137+(1-EXP(-LN(2)/2))/(LN(2)/2)*AQ138*AT138*VLOOKUP('Données projet'!$B$10,Paramètres!$A$1:$I$89,3,0)*0.475*44/12</f>
        <v>9.6963332335519273E-11</v>
      </c>
      <c r="AX138" s="21">
        <f t="shared" si="114"/>
        <v>11.772817058102358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475.00000000000011</v>
      </c>
      <c r="BE138" s="13">
        <f>BD138*VLOOKUP('Données projet'!$B$11,Paramètres!$A$1:$I$89,3,0)*VLOOKUP('Données projet'!$B$11,Paramètres!$A$1:$I$89,5,0)</f>
        <v>265.52500000000009</v>
      </c>
      <c r="BF138" s="13">
        <f t="shared" si="145"/>
        <v>63.898639547235177</v>
      </c>
      <c r="BG138" s="20">
        <f t="shared" si="115"/>
        <v>573.74617221143478</v>
      </c>
      <c r="BH138" s="59">
        <f t="shared" si="116"/>
        <v>867.07950554476815</v>
      </c>
      <c r="BI138" s="59">
        <f ca="1">AVERAGE(OFFSET($BH$3,0,0,'Données projet'!$E$11+1,1))-AVERAGE(OFFSET($H$3,0,0,'Données projet'!$E$11+1,1))</f>
        <v>342.37397177572871</v>
      </c>
      <c r="BJ138" s="59">
        <f t="shared" si="146"/>
        <v>331.32436050472762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11.213877608358139</v>
      </c>
      <c r="BQ138" s="21">
        <f>EXP(-LN(2)/25)*BQ137+(1-EXP(-LN(2)/25))/(LN(2)/25)*Calculateur!BL138*Calculateur!BN138*VLOOKUP('Données projet'!$B$11,Paramètres!$A$1:$I$89,3,0)*0.475*44/12</f>
        <v>8.3828974268402892</v>
      </c>
      <c r="BR138" s="21">
        <f>EXP(-LN(2)/2)*BR137+(1-EXP(-LN(2)/2))/(LN(2)/2)*BL138*BO138*VLOOKUP('Données projet'!$B$11,Paramètres!$A$1:$I$89,3,0)*0.475*44/12</f>
        <v>6.9372999386558809E-10</v>
      </c>
      <c r="BS138" s="22">
        <f t="shared" si="117"/>
        <v>19.596775035892158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253.79640000000001</v>
      </c>
      <c r="CA138" s="13">
        <f t="shared" si="147"/>
        <v>61.39816832228076</v>
      </c>
      <c r="CB138" s="20">
        <f t="shared" si="118"/>
        <v>548.96387316130563</v>
      </c>
      <c r="CC138" s="59">
        <f t="shared" si="119"/>
        <v>842.29720649463889</v>
      </c>
      <c r="CD138" s="59">
        <f ca="1">AVERAGE(OFFSET($CC$3,0,0,'Données projet'!$E$12+1,1))-AVERAGE(OFFSET($H$3,0,0,'Données projet'!$E$12+1,1))</f>
        <v>353.37479213497227</v>
      </c>
      <c r="CE138" s="59">
        <f t="shared" si="148"/>
        <v>345.4750813433123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13.763103010209424</v>
      </c>
      <c r="CL138" s="21">
        <f>EXP(-LN(2)/25)*CL137+(1-EXP(-LN(2)/25))/(LN(2)/25)*Calculateur!CG138*Calculateur!CI138*VLOOKUP('Données projet'!$B$12,Paramètres!$A$1:$I$89,3,0)*0.475*44/12</f>
        <v>0.55643868121257745</v>
      </c>
      <c r="CM138" s="21">
        <f>EXP(-LN(2)/2)*CM137+(1-EXP(-LN(2)/2))/(LN(2)/2)*CG138*CJ138*VLOOKUP('Données projet'!$B$12,Paramètres!$A$1:$I$89,3,0)*0.475*44/12</f>
        <v>3.2310477636411823E-9</v>
      </c>
      <c r="CN138" s="22">
        <f t="shared" si="120"/>
        <v>14.319541694653049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277.99999999999994</v>
      </c>
      <c r="O139" s="13">
        <f>N139*VLOOKUP('Données projet'!$B$9,Paramètres!$A$1:$I$89,3,0)*VLOOKUP('Données projet'!$B$9,Paramètres!$A$1:$I$89,5,0)</f>
        <v>173.47199999999998</v>
      </c>
      <c r="P139" s="13">
        <f t="shared" si="141"/>
        <v>43.866718728383574</v>
      </c>
      <c r="Q139" s="20">
        <f t="shared" si="108"/>
        <v>378.53160178526804</v>
      </c>
      <c r="R139" s="59">
        <f t="shared" si="109"/>
        <v>671.86493511860135</v>
      </c>
      <c r="S139" s="59">
        <f ca="1">AVERAGE(OFFSET($R$3,0,0,'Données projet'!$E$9+1,1))-AVERAGE(OFFSET($H$3,0,0,'Données projet'!$E$9+1,1))</f>
        <v>232.56424130731699</v>
      </c>
      <c r="T139" s="59">
        <f t="shared" si="142"/>
        <v>384.58890620364178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3.8980944115044158</v>
      </c>
      <c r="AA139" s="21">
        <f>EXP(-LN(2)/25)*AA138+(1-EXP(-LN(2)/25))/(LN(2)/25)*Calculateur!V139*Calculateur!X139*VLOOKUP('Données projet'!$B$9,Paramètres!$A$1:$I$89,3,0)*0.475*44/12</f>
        <v>4.2279172289673186</v>
      </c>
      <c r="AB139" s="21">
        <f>EXP(-LN(2)/2)*AB138+(1-EXP(-LN(2)/2))/(LN(2)/2)*V139*Y139*VLOOKUP('Données projet'!$B$9,Paramètres!$A$1:$I$89,3,0)*0.475*44/12</f>
        <v>1.0973692050465558E-14</v>
      </c>
      <c r="AC139" s="22">
        <f t="shared" si="111"/>
        <v>8.1260116404717451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415.99999999999955</v>
      </c>
      <c r="AJ139" s="13">
        <f>AI139*VLOOKUP('Données projet'!$B$10,Paramètres!$A$1:$I$89,3,0)*VLOOKUP('Données projet'!$B$10,Paramètres!$A$1:$I$89,5,0)</f>
        <v>248.76799999999972</v>
      </c>
      <c r="AK139" s="13">
        <f t="shared" si="143"/>
        <v>60.32205079116369</v>
      </c>
      <c r="AL139" s="20">
        <f t="shared" si="112"/>
        <v>538.33183846127633</v>
      </c>
      <c r="AM139" s="59">
        <f t="shared" si="113"/>
        <v>831.66517179460971</v>
      </c>
      <c r="AN139" s="59">
        <f ca="1">AVERAGE(OFFSET($AM$3,0,0,'Données projet'!$E$10+1,1))-AVERAGE(OFFSET($H$3,0,0,'Données projet'!$E$10+1,1))</f>
        <v>279.39350157328471</v>
      </c>
      <c r="AO139" s="59">
        <f t="shared" si="144"/>
        <v>261.55559683031657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7.0133345387651262</v>
      </c>
      <c r="AV139" s="21">
        <f>EXP(-LN(2)/25)*AV138+(1-EXP(-LN(2)/25))/(LN(2)/25)*Calculateur!AQ139*Calculateur!AS139*VLOOKUP('Données projet'!$B$10,Paramètres!$A$1:$I$89,3,0)*0.475*44/12</f>
        <v>4.4928921499671048</v>
      </c>
      <c r="AW139" s="21">
        <f>EXP(-LN(2)/2)*AW138+(1-EXP(-LN(2)/2))/(LN(2)/2)*AQ139*AT139*VLOOKUP('Données projet'!$B$10,Paramètres!$A$1:$I$89,3,0)*0.475*44/12</f>
        <v>6.8563429820890514E-11</v>
      </c>
      <c r="AX139" s="21">
        <f t="shared" si="114"/>
        <v>11.506226688800794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475.00000000000011</v>
      </c>
      <c r="BE139" s="13">
        <f>BD139*VLOOKUP('Données projet'!$B$11,Paramètres!$A$1:$I$89,3,0)*VLOOKUP('Données projet'!$B$11,Paramètres!$A$1:$I$89,5,0)</f>
        <v>265.52500000000009</v>
      </c>
      <c r="BF139" s="13">
        <f t="shared" si="145"/>
        <v>63.898639547235177</v>
      </c>
      <c r="BG139" s="20">
        <f t="shared" si="115"/>
        <v>573.74617221143478</v>
      </c>
      <c r="BH139" s="59">
        <f t="shared" si="116"/>
        <v>867.07950554476815</v>
      </c>
      <c r="BI139" s="59">
        <f ca="1">AVERAGE(OFFSET($BH$3,0,0,'Données projet'!$E$11+1,1))-AVERAGE(OFFSET($H$3,0,0,'Données projet'!$E$11+1,1))</f>
        <v>342.37397177572871</v>
      </c>
      <c r="BJ139" s="59">
        <f t="shared" si="146"/>
        <v>331.32436050472762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10.993980308248204</v>
      </c>
      <c r="BQ139" s="21">
        <f>EXP(-LN(2)/25)*BQ138+(1-EXP(-LN(2)/25))/(LN(2)/25)*Calculateur!BL139*Calculateur!BN139*VLOOKUP('Données projet'!$B$11,Paramètres!$A$1:$I$89,3,0)*0.475*44/12</f>
        <v>8.1536666558659245</v>
      </c>
      <c r="BR139" s="21">
        <f>EXP(-LN(2)/2)*BR138+(1-EXP(-LN(2)/2))/(LN(2)/2)*BL139*BO139*VLOOKUP('Données projet'!$B$11,Paramètres!$A$1:$I$89,3,0)*0.475*44/12</f>
        <v>4.9054118297485936E-10</v>
      </c>
      <c r="BS139" s="22">
        <f t="shared" si="117"/>
        <v>19.147646964604672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253.79640000000001</v>
      </c>
      <c r="CA139" s="13">
        <f t="shared" si="147"/>
        <v>61.39816832228076</v>
      </c>
      <c r="CB139" s="20">
        <f t="shared" si="118"/>
        <v>548.96387316130563</v>
      </c>
      <c r="CC139" s="59">
        <f t="shared" si="119"/>
        <v>842.29720649463889</v>
      </c>
      <c r="CD139" s="59">
        <f ca="1">AVERAGE(OFFSET($CC$3,0,0,'Données projet'!$E$12+1,1))-AVERAGE(OFFSET($H$3,0,0,'Données projet'!$E$12+1,1))</f>
        <v>353.37479213497227</v>
      </c>
      <c r="CE139" s="59">
        <f t="shared" si="148"/>
        <v>345.4750813433123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13.493216954843149</v>
      </c>
      <c r="CL139" s="21">
        <f>EXP(-LN(2)/25)*CL138+(1-EXP(-LN(2)/25))/(LN(2)/25)*Calculateur!CG139*Calculateur!CI139*VLOOKUP('Données projet'!$B$12,Paramètres!$A$1:$I$89,3,0)*0.475*44/12</f>
        <v>0.54122283621298106</v>
      </c>
      <c r="CM139" s="21">
        <f>EXP(-LN(2)/2)*CM138+(1-EXP(-LN(2)/2))/(LN(2)/2)*CG139*CJ139*VLOOKUP('Données projet'!$B$12,Paramètres!$A$1:$I$89,3,0)*0.475*44/12</f>
        <v>2.2846957840083092E-9</v>
      </c>
      <c r="CN139" s="22">
        <f t="shared" si="120"/>
        <v>14.034439793340825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277.99999999999994</v>
      </c>
      <c r="O140" s="13">
        <f>N140*VLOOKUP('Données projet'!$B$9,Paramètres!$A$1:$I$89,3,0)*VLOOKUP('Données projet'!$B$9,Paramètres!$A$1:$I$89,5,0)</f>
        <v>173.47199999999998</v>
      </c>
      <c r="P140" s="13">
        <f t="shared" si="141"/>
        <v>43.866718728383574</v>
      </c>
      <c r="Q140" s="20">
        <f t="shared" si="108"/>
        <v>378.53160178526804</v>
      </c>
      <c r="R140" s="59">
        <f t="shared" si="109"/>
        <v>671.86493511860135</v>
      </c>
      <c r="S140" s="59">
        <f ca="1">AVERAGE(OFFSET($R$3,0,0,'Données projet'!$E$9+1,1))-AVERAGE(OFFSET($H$3,0,0,'Données projet'!$E$9+1,1))</f>
        <v>232.56424130731699</v>
      </c>
      <c r="T140" s="59">
        <f t="shared" si="142"/>
        <v>384.58890620364178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3.8216551576976365</v>
      </c>
      <c r="AA140" s="21">
        <f>EXP(-LN(2)/25)*AA139+(1-EXP(-LN(2)/25))/(LN(2)/25)*Calculateur!V140*Calculateur!X140*VLOOKUP('Données projet'!$B$9,Paramètres!$A$1:$I$89,3,0)*0.475*44/12</f>
        <v>4.1123046100047036</v>
      </c>
      <c r="AB140" s="21">
        <f>EXP(-LN(2)/2)*AB139+(1-EXP(-LN(2)/2))/(LN(2)/2)*V140*Y140*VLOOKUP('Données projet'!$B$9,Paramètres!$A$1:$I$89,3,0)*0.475*44/12</f>
        <v>7.7595720635371052E-15</v>
      </c>
      <c r="AC140" s="22">
        <f t="shared" si="111"/>
        <v>7.9339597677023486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415.99999999999955</v>
      </c>
      <c r="AJ140" s="13">
        <f>AI140*VLOOKUP('Données projet'!$B$10,Paramètres!$A$1:$I$89,3,0)*VLOOKUP('Données projet'!$B$10,Paramètres!$A$1:$I$89,5,0)</f>
        <v>248.76799999999972</v>
      </c>
      <c r="AK140" s="13">
        <f t="shared" si="143"/>
        <v>60.32205079116369</v>
      </c>
      <c r="AL140" s="20">
        <f t="shared" si="112"/>
        <v>538.33183846127633</v>
      </c>
      <c r="AM140" s="59">
        <f t="shared" si="113"/>
        <v>831.66517179460971</v>
      </c>
      <c r="AN140" s="59">
        <f ca="1">AVERAGE(OFFSET($AM$3,0,0,'Données projet'!$E$10+1,1))-AVERAGE(OFFSET($H$3,0,0,'Données projet'!$E$10+1,1))</f>
        <v>279.39350157328471</v>
      </c>
      <c r="AO140" s="59">
        <f t="shared" si="144"/>
        <v>261.55559683031657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6.8758073261716222</v>
      </c>
      <c r="AV140" s="21">
        <f>EXP(-LN(2)/25)*AV139+(1-EXP(-LN(2)/25))/(LN(2)/25)*Calculateur!AQ140*Calculateur!AS140*VLOOKUP('Données projet'!$B$10,Paramètres!$A$1:$I$89,3,0)*0.475*44/12</f>
        <v>4.3700337778553244</v>
      </c>
      <c r="AW140" s="21">
        <f>EXP(-LN(2)/2)*AW139+(1-EXP(-LN(2)/2))/(LN(2)/2)*AQ140*AT140*VLOOKUP('Données projet'!$B$10,Paramètres!$A$1:$I$89,3,0)*0.475*44/12</f>
        <v>4.8481666167759636E-11</v>
      </c>
      <c r="AX140" s="21">
        <f t="shared" si="114"/>
        <v>11.24584110407543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475.00000000000011</v>
      </c>
      <c r="BE140" s="13">
        <f>BD140*VLOOKUP('Données projet'!$B$11,Paramètres!$A$1:$I$89,3,0)*VLOOKUP('Données projet'!$B$11,Paramètres!$A$1:$I$89,5,0)</f>
        <v>265.52500000000009</v>
      </c>
      <c r="BF140" s="13">
        <f t="shared" si="145"/>
        <v>63.898639547235177</v>
      </c>
      <c r="BG140" s="20">
        <f t="shared" si="115"/>
        <v>573.74617221143478</v>
      </c>
      <c r="BH140" s="59">
        <f t="shared" si="116"/>
        <v>867.07950554476815</v>
      </c>
      <c r="BI140" s="59">
        <f ca="1">AVERAGE(OFFSET($BH$3,0,0,'Données projet'!$E$11+1,1))-AVERAGE(OFFSET($H$3,0,0,'Données projet'!$E$11+1,1))</f>
        <v>342.37397177572871</v>
      </c>
      <c r="BJ140" s="59">
        <f t="shared" si="146"/>
        <v>331.32436050472762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10.778395060069316</v>
      </c>
      <c r="BQ140" s="21">
        <f>EXP(-LN(2)/25)*BQ139+(1-EXP(-LN(2)/25))/(LN(2)/25)*Calculateur!BL140*Calculateur!BN140*VLOOKUP('Données projet'!$B$11,Paramètres!$A$1:$I$89,3,0)*0.475*44/12</f>
        <v>7.9307042123785765</v>
      </c>
      <c r="BR140" s="21">
        <f>EXP(-LN(2)/2)*BR139+(1-EXP(-LN(2)/2))/(LN(2)/2)*BL140*BO140*VLOOKUP('Données projet'!$B$11,Paramètres!$A$1:$I$89,3,0)*0.475*44/12</f>
        <v>3.4686499693279404E-10</v>
      </c>
      <c r="BS140" s="22">
        <f t="shared" si="117"/>
        <v>18.709099272794759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253.79640000000001</v>
      </c>
      <c r="CA140" s="13">
        <f t="shared" si="147"/>
        <v>61.39816832228076</v>
      </c>
      <c r="CB140" s="20">
        <f t="shared" si="118"/>
        <v>548.96387316130563</v>
      </c>
      <c r="CC140" s="59">
        <f t="shared" si="119"/>
        <v>842.29720649463889</v>
      </c>
      <c r="CD140" s="59">
        <f ca="1">AVERAGE(OFFSET($CC$3,0,0,'Données projet'!$E$12+1,1))-AVERAGE(OFFSET($H$3,0,0,'Données projet'!$E$12+1,1))</f>
        <v>353.37479213497227</v>
      </c>
      <c r="CE140" s="59">
        <f t="shared" si="148"/>
        <v>345.4750813433123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13.228623200408368</v>
      </c>
      <c r="CL140" s="21">
        <f>EXP(-LN(2)/25)*CL139+(1-EXP(-LN(2)/25))/(LN(2)/25)*Calculateur!CG140*Calculateur!CI140*VLOOKUP('Données projet'!$B$12,Paramètres!$A$1:$I$89,3,0)*0.475*44/12</f>
        <v>0.5264230692950651</v>
      </c>
      <c r="CM140" s="21">
        <f>EXP(-LN(2)/2)*CM139+(1-EXP(-LN(2)/2))/(LN(2)/2)*CG140*CJ140*VLOOKUP('Données projet'!$B$12,Paramètres!$A$1:$I$89,3,0)*0.475*44/12</f>
        <v>1.6155238818205912E-9</v>
      </c>
      <c r="CN140" s="22">
        <f t="shared" si="120"/>
        <v>13.755046271318957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277.99999999999994</v>
      </c>
      <c r="O141" s="13">
        <f>N141*VLOOKUP('Données projet'!$B$9,Paramètres!$A$1:$I$89,3,0)*VLOOKUP('Données projet'!$B$9,Paramètres!$A$1:$I$89,5,0)</f>
        <v>173.47199999999998</v>
      </c>
      <c r="P141" s="13">
        <f t="shared" si="141"/>
        <v>43.866718728383574</v>
      </c>
      <c r="Q141" s="20">
        <f t="shared" si="108"/>
        <v>378.53160178526804</v>
      </c>
      <c r="R141" s="59">
        <f t="shared" si="109"/>
        <v>671.86493511860135</v>
      </c>
      <c r="S141" s="59">
        <f ca="1">AVERAGE(OFFSET($R$3,0,0,'Données projet'!$E$9+1,1))-AVERAGE(OFFSET($H$3,0,0,'Données projet'!$E$9+1,1))</f>
        <v>232.56424130731699</v>
      </c>
      <c r="T141" s="59">
        <f t="shared" si="142"/>
        <v>384.58890620364178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3.7467148310346672</v>
      </c>
      <c r="AA141" s="21">
        <f>EXP(-LN(2)/25)*AA140+(1-EXP(-LN(2)/25))/(LN(2)/25)*Calculateur!V141*Calculateur!X141*VLOOKUP('Données projet'!$B$9,Paramètres!$A$1:$I$89,3,0)*0.475*44/12</f>
        <v>3.9998534241874242</v>
      </c>
      <c r="AB141" s="21">
        <f>EXP(-LN(2)/2)*AB140+(1-EXP(-LN(2)/2))/(LN(2)/2)*V141*Y141*VLOOKUP('Données projet'!$B$9,Paramètres!$A$1:$I$89,3,0)*0.475*44/12</f>
        <v>5.486846025232779E-15</v>
      </c>
      <c r="AC141" s="22">
        <f t="shared" si="111"/>
        <v>7.7465682552220967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415.99999999999955</v>
      </c>
      <c r="AJ141" s="13">
        <f>AI141*VLOOKUP('Données projet'!$B$10,Paramètres!$A$1:$I$89,3,0)*VLOOKUP('Données projet'!$B$10,Paramètres!$A$1:$I$89,5,0)</f>
        <v>248.76799999999972</v>
      </c>
      <c r="AK141" s="13">
        <f t="shared" si="143"/>
        <v>60.32205079116369</v>
      </c>
      <c r="AL141" s="20">
        <f t="shared" si="112"/>
        <v>538.33183846127633</v>
      </c>
      <c r="AM141" s="59">
        <f t="shared" si="113"/>
        <v>831.66517179460971</v>
      </c>
      <c r="AN141" s="59">
        <f ca="1">AVERAGE(OFFSET($AM$3,0,0,'Données projet'!$E$10+1,1))-AVERAGE(OFFSET($H$3,0,0,'Données projet'!$E$10+1,1))</f>
        <v>279.39350157328471</v>
      </c>
      <c r="AO141" s="59">
        <f t="shared" si="144"/>
        <v>261.55559683031657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6.7409769383337599</v>
      </c>
      <c r="AV141" s="21">
        <f>EXP(-LN(2)/25)*AV140+(1-EXP(-LN(2)/25))/(LN(2)/25)*Calculateur!AQ141*Calculateur!AS141*VLOOKUP('Données projet'!$B$10,Paramètres!$A$1:$I$89,3,0)*0.475*44/12</f>
        <v>4.2505349743897822</v>
      </c>
      <c r="AW141" s="21">
        <f>EXP(-LN(2)/2)*AW140+(1-EXP(-LN(2)/2))/(LN(2)/2)*AQ141*AT141*VLOOKUP('Données projet'!$B$10,Paramètres!$A$1:$I$89,3,0)*0.475*44/12</f>
        <v>3.4281714910445257E-11</v>
      </c>
      <c r="AX141" s="21">
        <f t="shared" si="114"/>
        <v>10.991511912757824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475.00000000000011</v>
      </c>
      <c r="BE141" s="13">
        <f>BD141*VLOOKUP('Données projet'!$B$11,Paramètres!$A$1:$I$89,3,0)*VLOOKUP('Données projet'!$B$11,Paramètres!$A$1:$I$89,5,0)</f>
        <v>265.52500000000009</v>
      </c>
      <c r="BF141" s="13">
        <f t="shared" si="145"/>
        <v>63.898639547235177</v>
      </c>
      <c r="BG141" s="20">
        <f t="shared" si="115"/>
        <v>573.74617221143478</v>
      </c>
      <c r="BH141" s="59">
        <f t="shared" si="116"/>
        <v>867.07950554476815</v>
      </c>
      <c r="BI141" s="59">
        <f ca="1">AVERAGE(OFFSET($BH$3,0,0,'Données projet'!$E$11+1,1))-AVERAGE(OFFSET($H$3,0,0,'Données projet'!$E$11+1,1))</f>
        <v>342.37397177572871</v>
      </c>
      <c r="BJ141" s="59">
        <f t="shared" si="146"/>
        <v>331.32436050472762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10.567037307113198</v>
      </c>
      <c r="BQ141" s="21">
        <f>EXP(-LN(2)/25)*BQ140+(1-EXP(-LN(2)/25))/(LN(2)/25)*Calculateur!BL141*Calculateur!BN141*VLOOKUP('Données projet'!$B$11,Paramètres!$A$1:$I$89,3,0)*0.475*44/12</f>
        <v>7.7138386886334755</v>
      </c>
      <c r="BR141" s="21">
        <f>EXP(-LN(2)/2)*BR140+(1-EXP(-LN(2)/2))/(LN(2)/2)*BL141*BO141*VLOOKUP('Données projet'!$B$11,Paramètres!$A$1:$I$89,3,0)*0.475*44/12</f>
        <v>2.4527059148742968E-10</v>
      </c>
      <c r="BS141" s="22">
        <f t="shared" si="117"/>
        <v>18.280875995991945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253.79640000000001</v>
      </c>
      <c r="CA141" s="13">
        <f t="shared" si="147"/>
        <v>61.39816832228076</v>
      </c>
      <c r="CB141" s="20">
        <f t="shared" si="118"/>
        <v>548.96387316130563</v>
      </c>
      <c r="CC141" s="59">
        <f t="shared" si="119"/>
        <v>842.29720649463889</v>
      </c>
      <c r="CD141" s="59">
        <f ca="1">AVERAGE(OFFSET($CC$3,0,0,'Données projet'!$E$12+1,1))-AVERAGE(OFFSET($H$3,0,0,'Données projet'!$E$12+1,1))</f>
        <v>353.37479213497227</v>
      </c>
      <c r="CE141" s="59">
        <f t="shared" si="148"/>
        <v>345.4750813433123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12.969217968111797</v>
      </c>
      <c r="CL141" s="21">
        <f>EXP(-LN(2)/25)*CL140+(1-EXP(-LN(2)/25))/(LN(2)/25)*Calculateur!CG141*Calculateur!CI141*VLOOKUP('Données projet'!$B$12,Paramètres!$A$1:$I$89,3,0)*0.475*44/12</f>
        <v>0.51202800278180549</v>
      </c>
      <c r="CM141" s="21">
        <f>EXP(-LN(2)/2)*CM140+(1-EXP(-LN(2)/2))/(LN(2)/2)*CG141*CJ141*VLOOKUP('Données projet'!$B$12,Paramètres!$A$1:$I$89,3,0)*0.475*44/12</f>
        <v>1.1423478920041546E-9</v>
      </c>
      <c r="CN141" s="22">
        <f t="shared" si="120"/>
        <v>13.481245972035952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277.99999999999994</v>
      </c>
      <c r="O142" s="13">
        <f>N142*VLOOKUP('Données projet'!$B$9,Paramètres!$A$1:$I$89,3,0)*VLOOKUP('Données projet'!$B$9,Paramètres!$A$1:$I$89,5,0)</f>
        <v>173.47199999999998</v>
      </c>
      <c r="P142" s="13">
        <f t="shared" si="141"/>
        <v>43.866718728383574</v>
      </c>
      <c r="Q142" s="20">
        <f t="shared" si="108"/>
        <v>378.53160178526804</v>
      </c>
      <c r="R142" s="59">
        <f t="shared" si="109"/>
        <v>671.86493511860135</v>
      </c>
      <c r="S142" s="59">
        <f ca="1">AVERAGE(OFFSET($R$3,0,0,'Données projet'!$E$9+1,1))-AVERAGE(OFFSET($H$3,0,0,'Données projet'!$E$9+1,1))</f>
        <v>232.56424130731699</v>
      </c>
      <c r="T142" s="59">
        <f t="shared" si="142"/>
        <v>384.58890620364178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3.6732440384684724</v>
      </c>
      <c r="AA142" s="21">
        <f>EXP(-LN(2)/25)*AA141+(1-EXP(-LN(2)/25))/(LN(2)/25)*Calculateur!V142*Calculateur!X142*VLOOKUP('Données projet'!$B$9,Paramètres!$A$1:$I$89,3,0)*0.475*44/12</f>
        <v>3.8904772219598693</v>
      </c>
      <c r="AB142" s="21">
        <f>EXP(-LN(2)/2)*AB141+(1-EXP(-LN(2)/2))/(LN(2)/2)*V142*Y142*VLOOKUP('Données projet'!$B$9,Paramètres!$A$1:$I$89,3,0)*0.475*44/12</f>
        <v>3.8797860317685526E-15</v>
      </c>
      <c r="AC142" s="22">
        <f t="shared" si="111"/>
        <v>7.5637212604283448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415.99999999999955</v>
      </c>
      <c r="AJ142" s="13">
        <f>AI142*VLOOKUP('Données projet'!$B$10,Paramètres!$A$1:$I$89,3,0)*VLOOKUP('Données projet'!$B$10,Paramètres!$A$1:$I$89,5,0)</f>
        <v>248.76799999999972</v>
      </c>
      <c r="AK142" s="13">
        <f t="shared" si="143"/>
        <v>60.32205079116369</v>
      </c>
      <c r="AL142" s="20">
        <f t="shared" si="112"/>
        <v>538.33183846127633</v>
      </c>
      <c r="AM142" s="59">
        <f t="shared" si="113"/>
        <v>831.66517179460971</v>
      </c>
      <c r="AN142" s="59">
        <f ca="1">AVERAGE(OFFSET($AM$3,0,0,'Données projet'!$E$10+1,1))-AVERAGE(OFFSET($H$3,0,0,'Données projet'!$E$10+1,1))</f>
        <v>279.39350157328471</v>
      </c>
      <c r="AO142" s="59">
        <f t="shared" si="144"/>
        <v>261.55559683031657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6.6087904921629814</v>
      </c>
      <c r="AV142" s="21">
        <f>EXP(-LN(2)/25)*AV141+(1-EXP(-LN(2)/25))/(LN(2)/25)*Calculateur!AQ142*Calculateur!AS142*VLOOKUP('Données projet'!$B$10,Paramètres!$A$1:$I$89,3,0)*0.475*44/12</f>
        <v>4.1343038719891743</v>
      </c>
      <c r="AW142" s="21">
        <f>EXP(-LN(2)/2)*AW141+(1-EXP(-LN(2)/2))/(LN(2)/2)*AQ142*AT142*VLOOKUP('Données projet'!$B$10,Paramètres!$A$1:$I$89,3,0)*0.475*44/12</f>
        <v>2.4240833083879818E-11</v>
      </c>
      <c r="AX142" s="21">
        <f t="shared" si="114"/>
        <v>10.743094364176397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475.00000000000011</v>
      </c>
      <c r="BE142" s="13">
        <f>BD142*VLOOKUP('Données projet'!$B$11,Paramètres!$A$1:$I$89,3,0)*VLOOKUP('Données projet'!$B$11,Paramètres!$A$1:$I$89,5,0)</f>
        <v>265.52500000000009</v>
      </c>
      <c r="BF142" s="13">
        <f t="shared" si="145"/>
        <v>63.898639547235177</v>
      </c>
      <c r="BG142" s="20">
        <f t="shared" si="115"/>
        <v>573.74617221143478</v>
      </c>
      <c r="BH142" s="59">
        <f t="shared" si="116"/>
        <v>867.07950554476815</v>
      </c>
      <c r="BI142" s="59">
        <f ca="1">AVERAGE(OFFSET($BH$3,0,0,'Données projet'!$E$11+1,1))-AVERAGE(OFFSET($H$3,0,0,'Données projet'!$E$11+1,1))</f>
        <v>342.37397177572871</v>
      </c>
      <c r="BJ142" s="59">
        <f t="shared" si="146"/>
        <v>331.32436050472762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10.359824150777049</v>
      </c>
      <c r="BQ142" s="21">
        <f>EXP(-LN(2)/25)*BQ141+(1-EXP(-LN(2)/25))/(LN(2)/25)*Calculateur!BL142*Calculateur!BN142*VLOOKUP('Données projet'!$B$11,Paramètres!$A$1:$I$89,3,0)*0.475*44/12</f>
        <v>7.5029033640396463</v>
      </c>
      <c r="BR142" s="21">
        <f>EXP(-LN(2)/2)*BR141+(1-EXP(-LN(2)/2))/(LN(2)/2)*BL142*BO142*VLOOKUP('Données projet'!$B$11,Paramètres!$A$1:$I$89,3,0)*0.475*44/12</f>
        <v>1.7343249846639702E-10</v>
      </c>
      <c r="BS142" s="22">
        <f t="shared" si="117"/>
        <v>17.86272751499013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253.79640000000001</v>
      </c>
      <c r="CA142" s="13">
        <f t="shared" si="147"/>
        <v>61.39816832228076</v>
      </c>
      <c r="CB142" s="20">
        <f t="shared" si="118"/>
        <v>548.96387316130563</v>
      </c>
      <c r="CC142" s="59">
        <f t="shared" si="119"/>
        <v>842.29720649463889</v>
      </c>
      <c r="CD142" s="59">
        <f ca="1">AVERAGE(OFFSET($CC$3,0,0,'Données projet'!$E$12+1,1))-AVERAGE(OFFSET($H$3,0,0,'Données projet'!$E$12+1,1))</f>
        <v>353.37479213497227</v>
      </c>
      <c r="CE142" s="59">
        <f t="shared" si="148"/>
        <v>345.4750813433123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12.714899514198994</v>
      </c>
      <c r="CL142" s="21">
        <f>EXP(-LN(2)/25)*CL141+(1-EXP(-LN(2)/25))/(LN(2)/25)*Calculateur!CG142*Calculateur!CI142*VLOOKUP('Données projet'!$B$12,Paramètres!$A$1:$I$89,3,0)*0.475*44/12</f>
        <v>0.49802657011935458</v>
      </c>
      <c r="CM142" s="21">
        <f>EXP(-LN(2)/2)*CM141+(1-EXP(-LN(2)/2))/(LN(2)/2)*CG142*CJ142*VLOOKUP('Données projet'!$B$12,Paramètres!$A$1:$I$89,3,0)*0.475*44/12</f>
        <v>8.0776194091029558E-10</v>
      </c>
      <c r="CN142" s="22">
        <f t="shared" si="120"/>
        <v>13.21292608512611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277.99999999999994</v>
      </c>
      <c r="O143" s="13">
        <f>N143*VLOOKUP('Données projet'!$B$9,Paramètres!$A$1:$I$89,3,0)*VLOOKUP('Données projet'!$B$9,Paramètres!$A$1:$I$89,5,0)</f>
        <v>173.47199999999998</v>
      </c>
      <c r="P143" s="13">
        <f t="shared" si="141"/>
        <v>43.866718728383574</v>
      </c>
      <c r="Q143" s="20">
        <f t="shared" si="108"/>
        <v>378.53160178526804</v>
      </c>
      <c r="R143" s="59">
        <f t="shared" si="109"/>
        <v>671.86493511860135</v>
      </c>
      <c r="S143" s="59">
        <f ca="1">AVERAGE(OFFSET($R$3,0,0,'Données projet'!$E$9+1,1))-AVERAGE(OFFSET($H$3,0,0,'Données projet'!$E$9+1,1))</f>
        <v>232.56424130731699</v>
      </c>
      <c r="T143" s="59">
        <f t="shared" si="142"/>
        <v>384.58890620364178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3.6012139633317424</v>
      </c>
      <c r="AA143" s="21">
        <f>EXP(-LN(2)/25)*AA142+(1-EXP(-LN(2)/25))/(LN(2)/25)*Calculateur!V143*Calculateur!X143*VLOOKUP('Données projet'!$B$9,Paramètres!$A$1:$I$89,3,0)*0.475*44/12</f>
        <v>3.7840919177340715</v>
      </c>
      <c r="AB143" s="21">
        <f>EXP(-LN(2)/2)*AB142+(1-EXP(-LN(2)/2))/(LN(2)/2)*V143*Y143*VLOOKUP('Données projet'!$B$9,Paramètres!$A$1:$I$89,3,0)*0.475*44/12</f>
        <v>2.7434230126163895E-15</v>
      </c>
      <c r="AC143" s="22">
        <f t="shared" si="111"/>
        <v>7.3853058810658165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415.99999999999955</v>
      </c>
      <c r="AJ143" s="13">
        <f>AI143*VLOOKUP('Données projet'!$B$10,Paramètres!$A$1:$I$89,3,0)*VLOOKUP('Données projet'!$B$10,Paramètres!$A$1:$I$89,5,0)</f>
        <v>248.76799999999972</v>
      </c>
      <c r="AK143" s="13">
        <f t="shared" si="143"/>
        <v>60.32205079116369</v>
      </c>
      <c r="AL143" s="20">
        <f t="shared" si="112"/>
        <v>538.33183846127633</v>
      </c>
      <c r="AM143" s="59">
        <f t="shared" si="113"/>
        <v>831.66517179460971</v>
      </c>
      <c r="AN143" s="59">
        <f ca="1">AVERAGE(OFFSET($AM$3,0,0,'Données projet'!$E$10+1,1))-AVERAGE(OFFSET($H$3,0,0,'Données projet'!$E$10+1,1))</f>
        <v>279.39350157328471</v>
      </c>
      <c r="AO143" s="59">
        <f t="shared" si="144"/>
        <v>261.55559683031657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6.4791961415758408</v>
      </c>
      <c r="AV143" s="21">
        <f>EXP(-LN(2)/25)*AV142+(1-EXP(-LN(2)/25))/(LN(2)/25)*Calculateur!AQ143*Calculateur!AS143*VLOOKUP('Données projet'!$B$10,Paramètres!$A$1:$I$89,3,0)*0.475*44/12</f>
        <v>4.0212511151960388</v>
      </c>
      <c r="AW143" s="21">
        <f>EXP(-LN(2)/2)*AW142+(1-EXP(-LN(2)/2))/(LN(2)/2)*AQ143*AT143*VLOOKUP('Données projet'!$B$10,Paramètres!$A$1:$I$89,3,0)*0.475*44/12</f>
        <v>1.7140857455222628E-11</v>
      </c>
      <c r="AX143" s="21">
        <f t="shared" si="114"/>
        <v>10.50044725678902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475.00000000000011</v>
      </c>
      <c r="BE143" s="13">
        <f>BD143*VLOOKUP('Données projet'!$B$11,Paramètres!$A$1:$I$89,3,0)*VLOOKUP('Données projet'!$B$11,Paramètres!$A$1:$I$89,5,0)</f>
        <v>265.52500000000009</v>
      </c>
      <c r="BF143" s="13">
        <f t="shared" si="145"/>
        <v>63.898639547235177</v>
      </c>
      <c r="BG143" s="20">
        <f t="shared" si="115"/>
        <v>573.74617221143478</v>
      </c>
      <c r="BH143" s="59">
        <f t="shared" si="116"/>
        <v>867.07950554476815</v>
      </c>
      <c r="BI143" s="59">
        <f ca="1">AVERAGE(OFFSET($BH$3,0,0,'Données projet'!$E$11+1,1))-AVERAGE(OFFSET($H$3,0,0,'Données projet'!$E$11+1,1))</f>
        <v>342.37397177572871</v>
      </c>
      <c r="BJ143" s="59">
        <f t="shared" si="146"/>
        <v>331.32436050472762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10.156674318049106</v>
      </c>
      <c r="BQ143" s="21">
        <f>EXP(-LN(2)/25)*BQ142+(1-EXP(-LN(2)/25))/(LN(2)/25)*Calculateur!BL143*Calculateur!BN143*VLOOKUP('Données projet'!$B$11,Paramètres!$A$1:$I$89,3,0)*0.475*44/12</f>
        <v>7.2977360769894428</v>
      </c>
      <c r="BR143" s="21">
        <f>EXP(-LN(2)/2)*BR142+(1-EXP(-LN(2)/2))/(LN(2)/2)*BL143*BO143*VLOOKUP('Données projet'!$B$11,Paramètres!$A$1:$I$89,3,0)*0.475*44/12</f>
        <v>1.2263529574371484E-10</v>
      </c>
      <c r="BS143" s="22">
        <f t="shared" si="117"/>
        <v>17.454410395161187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253.79640000000001</v>
      </c>
      <c r="CA143" s="13">
        <f t="shared" si="147"/>
        <v>61.39816832228076</v>
      </c>
      <c r="CB143" s="20">
        <f t="shared" si="118"/>
        <v>548.96387316130563</v>
      </c>
      <c r="CC143" s="59">
        <f t="shared" si="119"/>
        <v>842.29720649463889</v>
      </c>
      <c r="CD143" s="59">
        <f ca="1">AVERAGE(OFFSET($CC$3,0,0,'Données projet'!$E$12+1,1))-AVERAGE(OFFSET($H$3,0,0,'Données projet'!$E$12+1,1))</f>
        <v>353.37479213497227</v>
      </c>
      <c r="CE143" s="59">
        <f t="shared" si="148"/>
        <v>345.4750813433123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12.46556809004848</v>
      </c>
      <c r="CL143" s="21">
        <f>EXP(-LN(2)/25)*CL142+(1-EXP(-LN(2)/25))/(LN(2)/25)*Calculateur!CG143*Calculateur!CI143*VLOOKUP('Données projet'!$B$12,Paramètres!$A$1:$I$89,3,0)*0.475*44/12</f>
        <v>0.48440800736936179</v>
      </c>
      <c r="CM143" s="21">
        <f>EXP(-LN(2)/2)*CM142+(1-EXP(-LN(2)/2))/(LN(2)/2)*CG143*CJ143*VLOOKUP('Données projet'!$B$12,Paramètres!$A$1:$I$89,3,0)*0.475*44/12</f>
        <v>5.711739460020773E-10</v>
      </c>
      <c r="CN143" s="22">
        <f t="shared" si="120"/>
        <v>12.949976097989015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277.99999999999994</v>
      </c>
      <c r="O144" s="13">
        <f>N144*VLOOKUP('Données projet'!$B$9,Paramètres!$A$1:$I$89,3,0)*VLOOKUP('Données projet'!$B$9,Paramètres!$A$1:$I$89,5,0)</f>
        <v>173.47199999999998</v>
      </c>
      <c r="P144" s="13">
        <f t="shared" si="141"/>
        <v>43.866718728383574</v>
      </c>
      <c r="Q144" s="20">
        <f t="shared" si="108"/>
        <v>378.53160178526804</v>
      </c>
      <c r="R144" s="59">
        <f t="shared" si="109"/>
        <v>671.86493511860135</v>
      </c>
      <c r="S144" s="59">
        <f ca="1">AVERAGE(OFFSET($R$3,0,0,'Données projet'!$E$9+1,1))-AVERAGE(OFFSET($H$3,0,0,'Données projet'!$E$9+1,1))</f>
        <v>232.56424130731699</v>
      </c>
      <c r="T144" s="59">
        <f t="shared" si="142"/>
        <v>384.58890620364178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3.5305963540344361</v>
      </c>
      <c r="AA144" s="21">
        <f>EXP(-LN(2)/25)*AA143+(1-EXP(-LN(2)/25))/(LN(2)/25)*Calculateur!V144*Calculateur!X144*VLOOKUP('Données projet'!$B$9,Paramètres!$A$1:$I$89,3,0)*0.475*44/12</f>
        <v>3.6806157252468878</v>
      </c>
      <c r="AB144" s="21">
        <f>EXP(-LN(2)/2)*AB143+(1-EXP(-LN(2)/2))/(LN(2)/2)*V144*Y144*VLOOKUP('Données projet'!$B$9,Paramètres!$A$1:$I$89,3,0)*0.475*44/12</f>
        <v>1.9398930158842763E-15</v>
      </c>
      <c r="AC144" s="22">
        <f t="shared" si="111"/>
        <v>7.2112120792813261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415.99999999999955</v>
      </c>
      <c r="AJ144" s="13">
        <f>AI144*VLOOKUP('Données projet'!$B$10,Paramètres!$A$1:$I$89,3,0)*VLOOKUP('Données projet'!$B$10,Paramètres!$A$1:$I$89,5,0)</f>
        <v>248.76799999999972</v>
      </c>
      <c r="AK144" s="13">
        <f t="shared" si="143"/>
        <v>60.32205079116369</v>
      </c>
      <c r="AL144" s="20">
        <f t="shared" si="112"/>
        <v>538.33183846127633</v>
      </c>
      <c r="AM144" s="59">
        <f t="shared" si="113"/>
        <v>831.66517179460971</v>
      </c>
      <c r="AN144" s="59">
        <f ca="1">AVERAGE(OFFSET($AM$3,0,0,'Données projet'!$E$10+1,1))-AVERAGE(OFFSET($H$3,0,0,'Données projet'!$E$10+1,1))</f>
        <v>279.39350157328471</v>
      </c>
      <c r="AO144" s="59">
        <f t="shared" si="144"/>
        <v>261.55559683031657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6.3521430571589654</v>
      </c>
      <c r="AV144" s="21">
        <f>EXP(-LN(2)/25)*AV143+(1-EXP(-LN(2)/25))/(LN(2)/25)*Calculateur!AQ144*Calculateur!AS144*VLOOKUP('Données projet'!$B$10,Paramètres!$A$1:$I$89,3,0)*0.475*44/12</f>
        <v>3.9112897919825977</v>
      </c>
      <c r="AW144" s="21">
        <f>EXP(-LN(2)/2)*AW143+(1-EXP(-LN(2)/2))/(LN(2)/2)*AQ144*AT144*VLOOKUP('Données projet'!$B$10,Paramètres!$A$1:$I$89,3,0)*0.475*44/12</f>
        <v>1.2120416541939909E-11</v>
      </c>
      <c r="AX144" s="21">
        <f t="shared" si="114"/>
        <v>10.263432849153682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475.00000000000011</v>
      </c>
      <c r="BE144" s="13">
        <f>BD144*VLOOKUP('Données projet'!$B$11,Paramètres!$A$1:$I$89,3,0)*VLOOKUP('Données projet'!$B$11,Paramètres!$A$1:$I$89,5,0)</f>
        <v>265.52500000000009</v>
      </c>
      <c r="BF144" s="13">
        <f t="shared" si="145"/>
        <v>63.898639547235177</v>
      </c>
      <c r="BG144" s="20">
        <f t="shared" si="115"/>
        <v>573.74617221143478</v>
      </c>
      <c r="BH144" s="59">
        <f t="shared" si="116"/>
        <v>867.07950554476815</v>
      </c>
      <c r="BI144" s="59">
        <f ca="1">AVERAGE(OFFSET($BH$3,0,0,'Données projet'!$E$11+1,1))-AVERAGE(OFFSET($H$3,0,0,'Données projet'!$E$11+1,1))</f>
        <v>342.37397177572871</v>
      </c>
      <c r="BJ144" s="59">
        <f t="shared" si="146"/>
        <v>331.32436050472762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9.9575081296317958</v>
      </c>
      <c r="BQ144" s="21">
        <f>EXP(-LN(2)/25)*BQ143+(1-EXP(-LN(2)/25))/(LN(2)/25)*Calculateur!BL144*Calculateur!BN144*VLOOKUP('Données projet'!$B$11,Paramètres!$A$1:$I$89,3,0)*0.475*44/12</f>
        <v>7.0981791001929055</v>
      </c>
      <c r="BR144" s="21">
        <f>EXP(-LN(2)/2)*BR143+(1-EXP(-LN(2)/2))/(LN(2)/2)*BL144*BO144*VLOOKUP('Données projet'!$B$11,Paramètres!$A$1:$I$89,3,0)*0.475*44/12</f>
        <v>8.6716249233198511E-11</v>
      </c>
      <c r="BS144" s="22">
        <f t="shared" si="117"/>
        <v>17.055687229911417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253.79640000000001</v>
      </c>
      <c r="CA144" s="13">
        <f t="shared" si="147"/>
        <v>61.39816832228076</v>
      </c>
      <c r="CB144" s="20">
        <f t="shared" si="118"/>
        <v>548.96387316130563</v>
      </c>
      <c r="CC144" s="59">
        <f t="shared" si="119"/>
        <v>842.29720649463889</v>
      </c>
      <c r="CD144" s="59">
        <f ca="1">AVERAGE(OFFSET($CC$3,0,0,'Données projet'!$E$12+1,1))-AVERAGE(OFFSET($H$3,0,0,'Données projet'!$E$12+1,1))</f>
        <v>353.37479213497227</v>
      </c>
      <c r="CE144" s="59">
        <f t="shared" si="148"/>
        <v>345.4750813433123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12.221125903048407</v>
      </c>
      <c r="CL144" s="21">
        <f>EXP(-LN(2)/25)*CL143+(1-EXP(-LN(2)/25))/(LN(2)/25)*Calculateur!CG144*Calculateur!CI144*VLOOKUP('Données projet'!$B$12,Paramètres!$A$1:$I$89,3,0)*0.475*44/12</f>
        <v>0.47116184493393659</v>
      </c>
      <c r="CM144" s="21">
        <f>EXP(-LN(2)/2)*CM143+(1-EXP(-LN(2)/2))/(LN(2)/2)*CG144*CJ144*VLOOKUP('Données projet'!$B$12,Paramètres!$A$1:$I$89,3,0)*0.475*44/12</f>
        <v>4.0388097045514779E-10</v>
      </c>
      <c r="CN144" s="22">
        <f t="shared" si="120"/>
        <v>12.692287748386224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277.99999999999994</v>
      </c>
      <c r="O145" s="13">
        <f>N145*VLOOKUP('Données projet'!$B$9,Paramètres!$A$1:$I$89,3,0)*VLOOKUP('Données projet'!$B$9,Paramètres!$A$1:$I$89,5,0)</f>
        <v>173.47199999999998</v>
      </c>
      <c r="P145" s="13">
        <f t="shared" si="141"/>
        <v>43.866718728383574</v>
      </c>
      <c r="Q145" s="20">
        <f t="shared" si="108"/>
        <v>378.53160178526804</v>
      </c>
      <c r="R145" s="59">
        <f t="shared" si="109"/>
        <v>671.86493511860135</v>
      </c>
      <c r="S145" s="59">
        <f ca="1">AVERAGE(OFFSET($R$3,0,0,'Données projet'!$E$9+1,1))-AVERAGE(OFFSET($H$3,0,0,'Données projet'!$E$9+1,1))</f>
        <v>232.56424130731699</v>
      </c>
      <c r="T145" s="59">
        <f t="shared" si="142"/>
        <v>384.58890620364178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3.461363512982961</v>
      </c>
      <c r="AA145" s="21">
        <f>EXP(-LN(2)/25)*AA144+(1-EXP(-LN(2)/25))/(LN(2)/25)*Calculateur!V145*Calculateur!X145*VLOOKUP('Données projet'!$B$9,Paramètres!$A$1:$I$89,3,0)*0.475*44/12</f>
        <v>3.5799690946848428</v>
      </c>
      <c r="AB145" s="21">
        <f>EXP(-LN(2)/2)*AB144+(1-EXP(-LN(2)/2))/(LN(2)/2)*V145*Y145*VLOOKUP('Données projet'!$B$9,Paramètres!$A$1:$I$89,3,0)*0.475*44/12</f>
        <v>1.3717115063081947E-15</v>
      </c>
      <c r="AC145" s="22">
        <f t="shared" si="111"/>
        <v>7.0413326076678056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415.99999999999955</v>
      </c>
      <c r="AJ145" s="13">
        <f>AI145*VLOOKUP('Données projet'!$B$10,Paramètres!$A$1:$I$89,3,0)*VLOOKUP('Données projet'!$B$10,Paramètres!$A$1:$I$89,5,0)</f>
        <v>248.76799999999972</v>
      </c>
      <c r="AK145" s="13">
        <f t="shared" si="143"/>
        <v>60.32205079116369</v>
      </c>
      <c r="AL145" s="20">
        <f t="shared" si="112"/>
        <v>538.33183846127633</v>
      </c>
      <c r="AM145" s="59">
        <f t="shared" si="113"/>
        <v>831.66517179460971</v>
      </c>
      <c r="AN145" s="59">
        <f ca="1">AVERAGE(OFFSET($AM$3,0,0,'Données projet'!$E$10+1,1))-AVERAGE(OFFSET($H$3,0,0,'Données projet'!$E$10+1,1))</f>
        <v>279.39350157328471</v>
      </c>
      <c r="AO145" s="59">
        <f t="shared" si="144"/>
        <v>261.55559683031657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6.2275814062327752</v>
      </c>
      <c r="AV145" s="21">
        <f>EXP(-LN(2)/25)*AV144+(1-EXP(-LN(2)/25))/(LN(2)/25)*Calculateur!AQ145*Calculateur!AS145*VLOOKUP('Données projet'!$B$10,Paramètres!$A$1:$I$89,3,0)*0.475*44/12</f>
        <v>3.8043353669350428</v>
      </c>
      <c r="AW145" s="21">
        <f>EXP(-LN(2)/2)*AW144+(1-EXP(-LN(2)/2))/(LN(2)/2)*AQ145*AT145*VLOOKUP('Données projet'!$B$10,Paramètres!$A$1:$I$89,3,0)*0.475*44/12</f>
        <v>8.5704287276113142E-12</v>
      </c>
      <c r="AX145" s="21">
        <f t="shared" si="114"/>
        <v>10.031916773176389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475.00000000000011</v>
      </c>
      <c r="BE145" s="13">
        <f>BD145*VLOOKUP('Données projet'!$B$11,Paramètres!$A$1:$I$89,3,0)*VLOOKUP('Données projet'!$B$11,Paramètres!$A$1:$I$89,5,0)</f>
        <v>265.52500000000009</v>
      </c>
      <c r="BF145" s="13">
        <f t="shared" si="145"/>
        <v>63.898639547235177</v>
      </c>
      <c r="BG145" s="20">
        <f t="shared" si="115"/>
        <v>573.74617221143478</v>
      </c>
      <c r="BH145" s="59">
        <f t="shared" si="116"/>
        <v>867.07950554476815</v>
      </c>
      <c r="BI145" s="59">
        <f ca="1">AVERAGE(OFFSET($BH$3,0,0,'Données projet'!$E$11+1,1))-AVERAGE(OFFSET($H$3,0,0,'Données projet'!$E$11+1,1))</f>
        <v>342.37397177572871</v>
      </c>
      <c r="BJ145" s="59">
        <f t="shared" si="146"/>
        <v>331.32436050472762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9.762247468689969</v>
      </c>
      <c r="BQ145" s="21">
        <f>EXP(-LN(2)/25)*BQ144+(1-EXP(-LN(2)/25))/(LN(2)/25)*Calculateur!BL145*Calculateur!BN145*VLOOKUP('Données projet'!$B$11,Paramètres!$A$1:$I$89,3,0)*0.475*44/12</f>
        <v>6.9040790194211148</v>
      </c>
      <c r="BR145" s="21">
        <f>EXP(-LN(2)/2)*BR144+(1-EXP(-LN(2)/2))/(LN(2)/2)*BL145*BO145*VLOOKUP('Données projet'!$B$11,Paramètres!$A$1:$I$89,3,0)*0.475*44/12</f>
        <v>6.1317647871857419E-11</v>
      </c>
      <c r="BS145" s="22">
        <f t="shared" si="117"/>
        <v>16.666326488172398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253.79640000000001</v>
      </c>
      <c r="CA145" s="13">
        <f t="shared" si="147"/>
        <v>61.39816832228076</v>
      </c>
      <c r="CB145" s="20">
        <f t="shared" si="118"/>
        <v>548.96387316130563</v>
      </c>
      <c r="CC145" s="59">
        <f t="shared" si="119"/>
        <v>842.29720649463889</v>
      </c>
      <c r="CD145" s="59">
        <f ca="1">AVERAGE(OFFSET($CC$3,0,0,'Données projet'!$E$12+1,1))-AVERAGE(OFFSET($H$3,0,0,'Données projet'!$E$12+1,1))</f>
        <v>353.37479213497227</v>
      </c>
      <c r="CE145" s="59">
        <f t="shared" si="148"/>
        <v>345.4750813433123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11.981477078240392</v>
      </c>
      <c r="CL145" s="21">
        <f>EXP(-LN(2)/25)*CL144+(1-EXP(-LN(2)/25))/(LN(2)/25)*Calculateur!CG145*Calculateur!CI145*VLOOKUP('Données projet'!$B$12,Paramètres!$A$1:$I$89,3,0)*0.475*44/12</f>
        <v>0.45827789950689352</v>
      </c>
      <c r="CM145" s="21">
        <f>EXP(-LN(2)/2)*CM144+(1-EXP(-LN(2)/2))/(LN(2)/2)*CG145*CJ145*VLOOKUP('Données projet'!$B$12,Paramètres!$A$1:$I$89,3,0)*0.475*44/12</f>
        <v>2.8558697300103865E-10</v>
      </c>
      <c r="CN145" s="22">
        <f t="shared" si="120"/>
        <v>12.439754978032871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277.99999999999994</v>
      </c>
      <c r="O146" s="13">
        <f>N146*VLOOKUP('Données projet'!$B$9,Paramètres!$A$1:$I$89,3,0)*VLOOKUP('Données projet'!$B$9,Paramètres!$A$1:$I$89,5,0)</f>
        <v>173.47199999999998</v>
      </c>
      <c r="P146" s="13">
        <f t="shared" si="141"/>
        <v>43.866718728383574</v>
      </c>
      <c r="Q146" s="20">
        <f t="shared" si="108"/>
        <v>378.53160178526804</v>
      </c>
      <c r="R146" s="59">
        <f t="shared" si="109"/>
        <v>671.86493511860135</v>
      </c>
      <c r="S146" s="59">
        <f ca="1">AVERAGE(OFFSET($R$3,0,0,'Données projet'!$E$9+1,1))-AVERAGE(OFFSET($H$3,0,0,'Données projet'!$E$9+1,1))</f>
        <v>232.56424130731699</v>
      </c>
      <c r="T146" s="59">
        <f t="shared" si="142"/>
        <v>384.58890620364178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3.393488285716642</v>
      </c>
      <c r="AA146" s="21">
        <f>EXP(-LN(2)/25)*AA145+(1-EXP(-LN(2)/25))/(LN(2)/25)*Calculateur!V146*Calculateur!X146*VLOOKUP('Données projet'!$B$9,Paramètres!$A$1:$I$89,3,0)*0.475*44/12</f>
        <v>3.4820746515282934</v>
      </c>
      <c r="AB146" s="21">
        <f>EXP(-LN(2)/2)*AB145+(1-EXP(-LN(2)/2))/(LN(2)/2)*V146*Y146*VLOOKUP('Données projet'!$B$9,Paramètres!$A$1:$I$89,3,0)*0.475*44/12</f>
        <v>9.6994650794213815E-16</v>
      </c>
      <c r="AC146" s="22">
        <f t="shared" si="111"/>
        <v>6.8755629372449363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415.99999999999955</v>
      </c>
      <c r="AJ146" s="13">
        <f>AI146*VLOOKUP('Données projet'!$B$10,Paramètres!$A$1:$I$89,3,0)*VLOOKUP('Données projet'!$B$10,Paramètres!$A$1:$I$89,5,0)</f>
        <v>248.76799999999972</v>
      </c>
      <c r="AK146" s="13">
        <f t="shared" si="143"/>
        <v>60.32205079116369</v>
      </c>
      <c r="AL146" s="20">
        <f t="shared" si="112"/>
        <v>538.33183846127633</v>
      </c>
      <c r="AM146" s="59">
        <f t="shared" si="113"/>
        <v>831.66517179460971</v>
      </c>
      <c r="AN146" s="59">
        <f ca="1">AVERAGE(OFFSET($AM$3,0,0,'Données projet'!$E$10+1,1))-AVERAGE(OFFSET($H$3,0,0,'Données projet'!$E$10+1,1))</f>
        <v>279.39350157328471</v>
      </c>
      <c r="AO146" s="59">
        <f t="shared" si="144"/>
        <v>261.55559683031657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6.1054623333061429</v>
      </c>
      <c r="AV146" s="21">
        <f>EXP(-LN(2)/25)*AV145+(1-EXP(-LN(2)/25))/(LN(2)/25)*Calculateur!AQ146*Calculateur!AS146*VLOOKUP('Données projet'!$B$10,Paramètres!$A$1:$I$89,3,0)*0.475*44/12</f>
        <v>3.700305616264902</v>
      </c>
      <c r="AW146" s="21">
        <f>EXP(-LN(2)/2)*AW145+(1-EXP(-LN(2)/2))/(LN(2)/2)*AQ146*AT146*VLOOKUP('Données projet'!$B$10,Paramètres!$A$1:$I$89,3,0)*0.475*44/12</f>
        <v>6.0602082709699545E-12</v>
      </c>
      <c r="AX146" s="21">
        <f t="shared" si="114"/>
        <v>9.8057679495771062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475.00000000000011</v>
      </c>
      <c r="BE146" s="13">
        <f>BD146*VLOOKUP('Données projet'!$B$11,Paramètres!$A$1:$I$89,3,0)*VLOOKUP('Données projet'!$B$11,Paramètres!$A$1:$I$89,5,0)</f>
        <v>265.52500000000009</v>
      </c>
      <c r="BF146" s="13">
        <f t="shared" si="145"/>
        <v>63.898639547235177</v>
      </c>
      <c r="BG146" s="20">
        <f t="shared" si="115"/>
        <v>573.74617221143478</v>
      </c>
      <c r="BH146" s="59">
        <f t="shared" si="116"/>
        <v>867.07950554476815</v>
      </c>
      <c r="BI146" s="59">
        <f ca="1">AVERAGE(OFFSET($BH$3,0,0,'Données projet'!$E$11+1,1))-AVERAGE(OFFSET($H$3,0,0,'Données projet'!$E$11+1,1))</f>
        <v>342.37397177572871</v>
      </c>
      <c r="BJ146" s="59">
        <f t="shared" si="146"/>
        <v>331.32436050472762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9.5708157502119686</v>
      </c>
      <c r="BQ146" s="21">
        <f>EXP(-LN(2)/25)*BQ145+(1-EXP(-LN(2)/25))/(LN(2)/25)*Calculateur!BL146*Calculateur!BN146*VLOOKUP('Données projet'!$B$11,Paramètres!$A$1:$I$89,3,0)*0.475*44/12</f>
        <v>6.7152866155653079</v>
      </c>
      <c r="BR146" s="21">
        <f>EXP(-LN(2)/2)*BR145+(1-EXP(-LN(2)/2))/(LN(2)/2)*BL146*BO146*VLOOKUP('Données projet'!$B$11,Paramètres!$A$1:$I$89,3,0)*0.475*44/12</f>
        <v>4.3358124616599256E-11</v>
      </c>
      <c r="BS146" s="22">
        <f t="shared" si="117"/>
        <v>16.286102365820632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253.79640000000001</v>
      </c>
      <c r="CA146" s="13">
        <f t="shared" si="147"/>
        <v>61.39816832228076</v>
      </c>
      <c r="CB146" s="20">
        <f t="shared" si="118"/>
        <v>548.96387316130563</v>
      </c>
      <c r="CC146" s="59">
        <f t="shared" si="119"/>
        <v>842.29720649463889</v>
      </c>
      <c r="CD146" s="59">
        <f ca="1">AVERAGE(OFFSET($CC$3,0,0,'Données projet'!$E$12+1,1))-AVERAGE(OFFSET($H$3,0,0,'Données projet'!$E$12+1,1))</f>
        <v>353.37479213497227</v>
      </c>
      <c r="CE146" s="59">
        <f t="shared" si="148"/>
        <v>345.4750813433123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11.746527620715513</v>
      </c>
      <c r="CL146" s="21">
        <f>EXP(-LN(2)/25)*CL145+(1-EXP(-LN(2)/25))/(LN(2)/25)*Calculateur!CG146*Calculateur!CI146*VLOOKUP('Données projet'!$B$12,Paramètres!$A$1:$I$89,3,0)*0.475*44/12</f>
        <v>0.44574626624509017</v>
      </c>
      <c r="CM146" s="21">
        <f>EXP(-LN(2)/2)*CM145+(1-EXP(-LN(2)/2))/(LN(2)/2)*CG146*CJ146*VLOOKUP('Données projet'!$B$12,Paramètres!$A$1:$I$89,3,0)*0.475*44/12</f>
        <v>2.019404852275739E-10</v>
      </c>
      <c r="CN146" s="22">
        <f t="shared" si="120"/>
        <v>12.192273887162543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277.99999999999994</v>
      </c>
      <c r="O147" s="13">
        <f>N147*VLOOKUP('Données projet'!$B$9,Paramètres!$A$1:$I$89,3,0)*VLOOKUP('Données projet'!$B$9,Paramètres!$A$1:$I$89,5,0)</f>
        <v>173.47199999999998</v>
      </c>
      <c r="P147" s="13">
        <f t="shared" si="141"/>
        <v>43.866718728383574</v>
      </c>
      <c r="Q147" s="20">
        <f t="shared" si="108"/>
        <v>378.53160178526804</v>
      </c>
      <c r="R147" s="59">
        <f t="shared" si="109"/>
        <v>671.86493511860135</v>
      </c>
      <c r="S147" s="59">
        <f ca="1">AVERAGE(OFFSET($R$3,0,0,'Données projet'!$E$9+1,1))-AVERAGE(OFFSET($H$3,0,0,'Données projet'!$E$9+1,1))</f>
        <v>232.56424130731699</v>
      </c>
      <c r="T147" s="59">
        <f t="shared" si="142"/>
        <v>384.58890620364178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3.326944050257215</v>
      </c>
      <c r="AA147" s="21">
        <f>EXP(-LN(2)/25)*AA146+(1-EXP(-LN(2)/25))/(LN(2)/25)*Calculateur!V147*Calculateur!X147*VLOOKUP('Données projet'!$B$9,Paramètres!$A$1:$I$89,3,0)*0.475*44/12</f>
        <v>3.3868571370679046</v>
      </c>
      <c r="AB147" s="21">
        <f>EXP(-LN(2)/2)*AB146+(1-EXP(-LN(2)/2))/(LN(2)/2)*V147*Y147*VLOOKUP('Données projet'!$B$9,Paramètres!$A$1:$I$89,3,0)*0.475*44/12</f>
        <v>6.8585575315409737E-16</v>
      </c>
      <c r="AC147" s="22">
        <f t="shared" si="111"/>
        <v>6.71380118732512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415.99999999999955</v>
      </c>
      <c r="AJ147" s="13">
        <f>AI147*VLOOKUP('Données projet'!$B$10,Paramètres!$A$1:$I$89,3,0)*VLOOKUP('Données projet'!$B$10,Paramètres!$A$1:$I$89,5,0)</f>
        <v>248.76799999999972</v>
      </c>
      <c r="AK147" s="13">
        <f t="shared" si="143"/>
        <v>60.32205079116369</v>
      </c>
      <c r="AL147" s="20">
        <f t="shared" si="112"/>
        <v>538.33183846127633</v>
      </c>
      <c r="AM147" s="59">
        <f t="shared" si="113"/>
        <v>831.66517179460971</v>
      </c>
      <c r="AN147" s="59">
        <f ca="1">AVERAGE(OFFSET($AM$3,0,0,'Données projet'!$E$10+1,1))-AVERAGE(OFFSET($H$3,0,0,'Données projet'!$E$10+1,1))</f>
        <v>279.39350157328471</v>
      </c>
      <c r="AO147" s="59">
        <f t="shared" si="144"/>
        <v>261.55559683031657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5.9857379409143219</v>
      </c>
      <c r="AV147" s="21">
        <f>EXP(-LN(2)/25)*AV146+(1-EXP(-LN(2)/25))/(LN(2)/25)*Calculateur!AQ147*Calculateur!AS147*VLOOKUP('Données projet'!$B$10,Paramètres!$A$1:$I$89,3,0)*0.475*44/12</f>
        <v>3.5991205645975231</v>
      </c>
      <c r="AW147" s="21">
        <f>EXP(-LN(2)/2)*AW146+(1-EXP(-LN(2)/2))/(LN(2)/2)*AQ147*AT147*VLOOKUP('Données projet'!$B$10,Paramètres!$A$1:$I$89,3,0)*0.475*44/12</f>
        <v>4.2852143638056571E-12</v>
      </c>
      <c r="AX147" s="21">
        <f t="shared" si="114"/>
        <v>9.5848585055161291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475.00000000000011</v>
      </c>
      <c r="BE147" s="13">
        <f>BD147*VLOOKUP('Données projet'!$B$11,Paramètres!$A$1:$I$89,3,0)*VLOOKUP('Données projet'!$B$11,Paramètres!$A$1:$I$89,5,0)</f>
        <v>265.52500000000009</v>
      </c>
      <c r="BF147" s="13">
        <f t="shared" si="145"/>
        <v>63.898639547235177</v>
      </c>
      <c r="BG147" s="20">
        <f t="shared" si="115"/>
        <v>573.74617221143478</v>
      </c>
      <c r="BH147" s="59">
        <f t="shared" si="116"/>
        <v>867.07950554476815</v>
      </c>
      <c r="BI147" s="59">
        <f ca="1">AVERAGE(OFFSET($BH$3,0,0,'Données projet'!$E$11+1,1))-AVERAGE(OFFSET($H$3,0,0,'Données projet'!$E$11+1,1))</f>
        <v>342.37397177572871</v>
      </c>
      <c r="BJ147" s="59">
        <f t="shared" si="146"/>
        <v>331.32436050472762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9.3831378909715024</v>
      </c>
      <c r="BQ147" s="21">
        <f>EXP(-LN(2)/25)*BQ146+(1-EXP(-LN(2)/25))/(LN(2)/25)*Calculateur!BL147*Calculateur!BN147*VLOOKUP('Données projet'!$B$11,Paramètres!$A$1:$I$89,3,0)*0.475*44/12</f>
        <v>6.5316567499210993</v>
      </c>
      <c r="BR147" s="21">
        <f>EXP(-LN(2)/2)*BR146+(1-EXP(-LN(2)/2))/(LN(2)/2)*BL147*BO147*VLOOKUP('Données projet'!$B$11,Paramètres!$A$1:$I$89,3,0)*0.475*44/12</f>
        <v>3.065882393592871E-11</v>
      </c>
      <c r="BS147" s="22">
        <f t="shared" si="117"/>
        <v>15.91479464092326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253.79640000000001</v>
      </c>
      <c r="CA147" s="13">
        <f t="shared" si="147"/>
        <v>61.39816832228076</v>
      </c>
      <c r="CB147" s="20">
        <f t="shared" si="118"/>
        <v>548.96387316130563</v>
      </c>
      <c r="CC147" s="59">
        <f t="shared" si="119"/>
        <v>842.29720649463889</v>
      </c>
      <c r="CD147" s="59">
        <f ca="1">AVERAGE(OFFSET($CC$3,0,0,'Données projet'!$E$12+1,1))-AVERAGE(OFFSET($H$3,0,0,'Données projet'!$E$12+1,1))</f>
        <v>353.37479213497227</v>
      </c>
      <c r="CE147" s="59">
        <f t="shared" si="148"/>
        <v>345.4750813433123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11.516185378747677</v>
      </c>
      <c r="CL147" s="21">
        <f>EXP(-LN(2)/25)*CL146+(1-EXP(-LN(2)/25))/(LN(2)/25)*Calculateur!CG147*Calculateur!CI147*VLOOKUP('Données projet'!$B$12,Paramètres!$A$1:$I$89,3,0)*0.475*44/12</f>
        <v>0.43355731115384083</v>
      </c>
      <c r="CM147" s="21">
        <f>EXP(-LN(2)/2)*CM146+(1-EXP(-LN(2)/2))/(LN(2)/2)*CG147*CJ147*VLOOKUP('Données projet'!$B$12,Paramètres!$A$1:$I$89,3,0)*0.475*44/12</f>
        <v>1.4279348650051933E-10</v>
      </c>
      <c r="CN147" s="22">
        <f t="shared" si="120"/>
        <v>11.949742690044312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277.99999999999994</v>
      </c>
      <c r="O148" s="13">
        <f>N148*VLOOKUP('Données projet'!$B$9,Paramètres!$A$1:$I$89,3,0)*VLOOKUP('Données projet'!$B$9,Paramètres!$A$1:$I$89,5,0)</f>
        <v>173.47199999999998</v>
      </c>
      <c r="P148" s="13">
        <f t="shared" si="141"/>
        <v>43.866718728383574</v>
      </c>
      <c r="Q148" s="20">
        <f t="shared" si="108"/>
        <v>378.53160178526804</v>
      </c>
      <c r="R148" s="59">
        <f t="shared" si="109"/>
        <v>671.86493511860135</v>
      </c>
      <c r="S148" s="59">
        <f ca="1">AVERAGE(OFFSET($R$3,0,0,'Données projet'!$E$9+1,1))-AVERAGE(OFFSET($H$3,0,0,'Données projet'!$E$9+1,1))</f>
        <v>232.56424130731699</v>
      </c>
      <c r="T148" s="59">
        <f t="shared" si="142"/>
        <v>384.58890620364178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3.2617047066671714</v>
      </c>
      <c r="AA148" s="21">
        <f>EXP(-LN(2)/25)*AA147+(1-EXP(-LN(2)/25))/(LN(2)/25)*Calculateur!V148*Calculateur!X148*VLOOKUP('Données projet'!$B$9,Paramètres!$A$1:$I$89,3,0)*0.475*44/12</f>
        <v>3.2942433505477067</v>
      </c>
      <c r="AB148" s="21">
        <f>EXP(-LN(2)/2)*AB147+(1-EXP(-LN(2)/2))/(LN(2)/2)*V148*Y148*VLOOKUP('Données projet'!$B$9,Paramètres!$A$1:$I$89,3,0)*0.475*44/12</f>
        <v>4.8497325397106907E-16</v>
      </c>
      <c r="AC148" s="22">
        <f t="shared" si="111"/>
        <v>6.5559480572148789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415.99999999999955</v>
      </c>
      <c r="AJ148" s="13">
        <f>AI148*VLOOKUP('Données projet'!$B$10,Paramètres!$A$1:$I$89,3,0)*VLOOKUP('Données projet'!$B$10,Paramètres!$A$1:$I$89,5,0)</f>
        <v>248.76799999999972</v>
      </c>
      <c r="AK148" s="13">
        <f t="shared" si="143"/>
        <v>60.32205079116369</v>
      </c>
      <c r="AL148" s="20">
        <f t="shared" si="112"/>
        <v>538.33183846127633</v>
      </c>
      <c r="AM148" s="59">
        <f t="shared" si="113"/>
        <v>831.66517179460971</v>
      </c>
      <c r="AN148" s="59">
        <f ca="1">AVERAGE(OFFSET($AM$3,0,0,'Données projet'!$E$10+1,1))-AVERAGE(OFFSET($H$3,0,0,'Données projet'!$E$10+1,1))</f>
        <v>279.39350157328471</v>
      </c>
      <c r="AO148" s="59">
        <f t="shared" si="144"/>
        <v>261.55559683031657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5.8683612708326356</v>
      </c>
      <c r="AV148" s="21">
        <f>EXP(-LN(2)/25)*AV147+(1-EXP(-LN(2)/25))/(LN(2)/25)*Calculateur!AQ148*Calculateur!AS148*VLOOKUP('Données projet'!$B$10,Paramètres!$A$1:$I$89,3,0)*0.475*44/12</f>
        <v>3.5007024234890793</v>
      </c>
      <c r="AW148" s="21">
        <f>EXP(-LN(2)/2)*AW147+(1-EXP(-LN(2)/2))/(LN(2)/2)*AQ148*AT148*VLOOKUP('Données projet'!$B$10,Paramètres!$A$1:$I$89,3,0)*0.475*44/12</f>
        <v>3.0301041354849773E-12</v>
      </c>
      <c r="AX148" s="21">
        <f t="shared" si="114"/>
        <v>9.3690636943247458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475.00000000000011</v>
      </c>
      <c r="BE148" s="13">
        <f>BD148*VLOOKUP('Données projet'!$B$11,Paramètres!$A$1:$I$89,3,0)*VLOOKUP('Données projet'!$B$11,Paramètres!$A$1:$I$89,5,0)</f>
        <v>265.52500000000009</v>
      </c>
      <c r="BF148" s="13">
        <f t="shared" si="145"/>
        <v>63.898639547235177</v>
      </c>
      <c r="BG148" s="20">
        <f t="shared" si="115"/>
        <v>573.74617221143478</v>
      </c>
      <c r="BH148" s="59">
        <f t="shared" si="116"/>
        <v>867.07950554476815</v>
      </c>
      <c r="BI148" s="59">
        <f ca="1">AVERAGE(OFFSET($BH$3,0,0,'Données projet'!$E$11+1,1))-AVERAGE(OFFSET($H$3,0,0,'Données projet'!$E$11+1,1))</f>
        <v>342.37397177572871</v>
      </c>
      <c r="BJ148" s="59">
        <f t="shared" si="146"/>
        <v>331.32436050472762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9.1991402800785504</v>
      </c>
      <c r="BQ148" s="21">
        <f>EXP(-LN(2)/25)*BQ147+(1-EXP(-LN(2)/25))/(LN(2)/25)*Calculateur!BL148*Calculateur!BN148*VLOOKUP('Données projet'!$B$11,Paramètres!$A$1:$I$89,3,0)*0.475*44/12</f>
        <v>6.3530482526096064</v>
      </c>
      <c r="BR148" s="21">
        <f>EXP(-LN(2)/2)*BR147+(1-EXP(-LN(2)/2))/(LN(2)/2)*BL148*BO148*VLOOKUP('Données projet'!$B$11,Paramètres!$A$1:$I$89,3,0)*0.475*44/12</f>
        <v>2.1679062308299628E-11</v>
      </c>
      <c r="BS148" s="22">
        <f t="shared" si="117"/>
        <v>15.552188532709835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253.79640000000001</v>
      </c>
      <c r="CA148" s="13">
        <f t="shared" si="147"/>
        <v>61.39816832228076</v>
      </c>
      <c r="CB148" s="20">
        <f t="shared" si="118"/>
        <v>548.96387316130563</v>
      </c>
      <c r="CC148" s="59">
        <f t="shared" si="119"/>
        <v>842.29720649463889</v>
      </c>
      <c r="CD148" s="59">
        <f ca="1">AVERAGE(OFFSET($CC$3,0,0,'Données projet'!$E$12+1,1))-AVERAGE(OFFSET($H$3,0,0,'Données projet'!$E$12+1,1))</f>
        <v>353.37479213497227</v>
      </c>
      <c r="CE148" s="59">
        <f t="shared" si="148"/>
        <v>345.4750813433123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11.290360007649936</v>
      </c>
      <c r="CL148" s="21">
        <f>EXP(-LN(2)/25)*CL147+(1-EXP(-LN(2)/25))/(LN(2)/25)*Calculateur!CG148*Calculateur!CI148*VLOOKUP('Données projet'!$B$12,Paramètres!$A$1:$I$89,3,0)*0.475*44/12</f>
        <v>0.42170166368055095</v>
      </c>
      <c r="CM148" s="21">
        <f>EXP(-LN(2)/2)*CM147+(1-EXP(-LN(2)/2))/(LN(2)/2)*CG148*CJ148*VLOOKUP('Données projet'!$B$12,Paramètres!$A$1:$I$89,3,0)*0.475*44/12</f>
        <v>1.0097024261378695E-10</v>
      </c>
      <c r="CN148" s="22">
        <f t="shared" si="120"/>
        <v>11.712061671431456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277.99999999999994</v>
      </c>
      <c r="O149" s="13">
        <f>N149*VLOOKUP('Données projet'!$B$9,Paramètres!$A$1:$I$89,3,0)*VLOOKUP('Données projet'!$B$9,Paramètres!$A$1:$I$89,5,0)</f>
        <v>173.47199999999998</v>
      </c>
      <c r="P149" s="13">
        <f t="shared" si="141"/>
        <v>43.866718728383574</v>
      </c>
      <c r="Q149" s="20">
        <f t="shared" si="108"/>
        <v>378.53160178526804</v>
      </c>
      <c r="R149" s="59">
        <f t="shared" si="109"/>
        <v>671.86493511860135</v>
      </c>
      <c r="S149" s="59">
        <f ca="1">AVERAGE(OFFSET($R$3,0,0,'Données projet'!$E$9+1,1))-AVERAGE(OFFSET($H$3,0,0,'Données projet'!$E$9+1,1))</f>
        <v>232.56424130731699</v>
      </c>
      <c r="T149" s="59">
        <f t="shared" si="142"/>
        <v>384.58890620364178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3.197744666812858</v>
      </c>
      <c r="AA149" s="21">
        <f>EXP(-LN(2)/25)*AA148+(1-EXP(-LN(2)/25))/(LN(2)/25)*Calculateur!V149*Calculateur!X149*VLOOKUP('Données projet'!$B$9,Paramètres!$A$1:$I$89,3,0)*0.475*44/12</f>
        <v>3.2041620928902508</v>
      </c>
      <c r="AB149" s="21">
        <f>EXP(-LN(2)/2)*AB148+(1-EXP(-LN(2)/2))/(LN(2)/2)*V149*Y149*VLOOKUP('Données projet'!$B$9,Paramètres!$A$1:$I$89,3,0)*0.475*44/12</f>
        <v>3.4292787657704869E-16</v>
      </c>
      <c r="AC149" s="22">
        <f t="shared" si="111"/>
        <v>6.4019067597031087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415.99999999999955</v>
      </c>
      <c r="AJ149" s="13">
        <f>AI149*VLOOKUP('Données projet'!$B$10,Paramètres!$A$1:$I$89,3,0)*VLOOKUP('Données projet'!$B$10,Paramètres!$A$1:$I$89,5,0)</f>
        <v>248.76799999999972</v>
      </c>
      <c r="AK149" s="13">
        <f t="shared" si="143"/>
        <v>60.32205079116369</v>
      </c>
      <c r="AL149" s="20">
        <f t="shared" si="112"/>
        <v>538.33183846127633</v>
      </c>
      <c r="AM149" s="59">
        <f t="shared" si="113"/>
        <v>831.66517179460971</v>
      </c>
      <c r="AN149" s="59">
        <f ca="1">AVERAGE(OFFSET($AM$3,0,0,'Données projet'!$E$10+1,1))-AVERAGE(OFFSET($H$3,0,0,'Données projet'!$E$10+1,1))</f>
        <v>279.39350157328471</v>
      </c>
      <c r="AO149" s="59">
        <f t="shared" si="144"/>
        <v>261.55559683031657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5.753286285658552</v>
      </c>
      <c r="AV149" s="21">
        <f>EXP(-LN(2)/25)*AV148+(1-EXP(-LN(2)/25))/(LN(2)/25)*Calculateur!AQ149*Calculateur!AS149*VLOOKUP('Données projet'!$B$10,Paramètres!$A$1:$I$89,3,0)*0.475*44/12</f>
        <v>3.4049755316248311</v>
      </c>
      <c r="AW149" s="21">
        <f>EXP(-LN(2)/2)*AW148+(1-EXP(-LN(2)/2))/(LN(2)/2)*AQ149*AT149*VLOOKUP('Données projet'!$B$10,Paramètres!$A$1:$I$89,3,0)*0.475*44/12</f>
        <v>2.1426071819028286E-12</v>
      </c>
      <c r="AX149" s="21">
        <f t="shared" si="114"/>
        <v>9.1582618172855259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475.00000000000011</v>
      </c>
      <c r="BE149" s="13">
        <f>BD149*VLOOKUP('Données projet'!$B$11,Paramètres!$A$1:$I$89,3,0)*VLOOKUP('Données projet'!$B$11,Paramètres!$A$1:$I$89,5,0)</f>
        <v>265.52500000000009</v>
      </c>
      <c r="BF149" s="13">
        <f t="shared" si="145"/>
        <v>63.898639547235177</v>
      </c>
      <c r="BG149" s="20">
        <f t="shared" si="115"/>
        <v>573.74617221143478</v>
      </c>
      <c r="BH149" s="59">
        <f t="shared" si="116"/>
        <v>867.07950554476815</v>
      </c>
      <c r="BI149" s="59">
        <f ca="1">AVERAGE(OFFSET($BH$3,0,0,'Données projet'!$E$11+1,1))-AVERAGE(OFFSET($H$3,0,0,'Données projet'!$E$11+1,1))</f>
        <v>342.37397177572871</v>
      </c>
      <c r="BJ149" s="59">
        <f t="shared" si="146"/>
        <v>331.32436050472762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9.0187507501077491</v>
      </c>
      <c r="BQ149" s="21">
        <f>EXP(-LN(2)/25)*BQ148+(1-EXP(-LN(2)/25))/(LN(2)/25)*Calculateur!BL149*Calculateur!BN149*VLOOKUP('Données projet'!$B$11,Paramètres!$A$1:$I$89,3,0)*0.475*44/12</f>
        <v>6.1793238140497095</v>
      </c>
      <c r="BR149" s="21">
        <f>EXP(-LN(2)/2)*BR148+(1-EXP(-LN(2)/2))/(LN(2)/2)*BL149*BO149*VLOOKUP('Données projet'!$B$11,Paramètres!$A$1:$I$89,3,0)*0.475*44/12</f>
        <v>1.5329411967964355E-11</v>
      </c>
      <c r="BS149" s="22">
        <f t="shared" si="117"/>
        <v>15.198074564172789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253.79640000000001</v>
      </c>
      <c r="CA149" s="13">
        <f t="shared" si="147"/>
        <v>61.39816832228076</v>
      </c>
      <c r="CB149" s="20">
        <f t="shared" si="118"/>
        <v>548.96387316130563</v>
      </c>
      <c r="CC149" s="59">
        <f t="shared" si="119"/>
        <v>842.29720649463889</v>
      </c>
      <c r="CD149" s="59">
        <f ca="1">AVERAGE(OFFSET($CC$3,0,0,'Données projet'!$E$12+1,1))-AVERAGE(OFFSET($H$3,0,0,'Données projet'!$E$12+1,1))</f>
        <v>353.37479213497227</v>
      </c>
      <c r="CE149" s="59">
        <f t="shared" si="148"/>
        <v>345.4750813433123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11.068962934339545</v>
      </c>
      <c r="CL149" s="21">
        <f>EXP(-LN(2)/25)*CL148+(1-EXP(-LN(2)/25))/(LN(2)/25)*Calculateur!CG149*Calculateur!CI149*VLOOKUP('Données projet'!$B$12,Paramètres!$A$1:$I$89,3,0)*0.475*44/12</f>
        <v>0.41017020951087962</v>
      </c>
      <c r="CM149" s="21">
        <f>EXP(-LN(2)/2)*CM148+(1-EXP(-LN(2)/2))/(LN(2)/2)*CG149*CJ149*VLOOKUP('Données projet'!$B$12,Paramètres!$A$1:$I$89,3,0)*0.475*44/12</f>
        <v>7.1396743250259663E-11</v>
      </c>
      <c r="CN149" s="22">
        <f t="shared" si="120"/>
        <v>11.479133143921821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277.99999999999994</v>
      </c>
      <c r="O150" s="13">
        <f>N150*VLOOKUP('Données projet'!$B$9,Paramètres!$A$1:$I$89,3,0)*VLOOKUP('Données projet'!$B$9,Paramètres!$A$1:$I$89,5,0)</f>
        <v>173.47199999999998</v>
      </c>
      <c r="P150" s="13">
        <f t="shared" si="141"/>
        <v>43.866718728383574</v>
      </c>
      <c r="Q150" s="20">
        <f t="shared" si="108"/>
        <v>378.53160178526804</v>
      </c>
      <c r="R150" s="59">
        <f t="shared" si="109"/>
        <v>671.86493511860135</v>
      </c>
      <c r="S150" s="59">
        <f ca="1">AVERAGE(OFFSET($R$3,0,0,'Données projet'!$E$9+1,1))-AVERAGE(OFFSET($H$3,0,0,'Données projet'!$E$9+1,1))</f>
        <v>232.56424130731699</v>
      </c>
      <c r="T150" s="59">
        <f t="shared" si="142"/>
        <v>384.58890620364178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3.1350388443283155</v>
      </c>
      <c r="AA150" s="21">
        <f>EXP(-LN(2)/25)*AA149+(1-EXP(-LN(2)/25))/(LN(2)/25)*Calculateur!V150*Calculateur!X150*VLOOKUP('Données projet'!$B$9,Paramètres!$A$1:$I$89,3,0)*0.475*44/12</f>
        <v>3.1165441119606054</v>
      </c>
      <c r="AB150" s="21">
        <f>EXP(-LN(2)/2)*AB149+(1-EXP(-LN(2)/2))/(LN(2)/2)*V150*Y150*VLOOKUP('Données projet'!$B$9,Paramètres!$A$1:$I$89,3,0)*0.475*44/12</f>
        <v>2.4248662698553454E-16</v>
      </c>
      <c r="AC150" s="22">
        <f t="shared" si="111"/>
        <v>6.2515829562889209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415.99999999999955</v>
      </c>
      <c r="AJ150" s="13">
        <f>AI150*VLOOKUP('Données projet'!$B$10,Paramètres!$A$1:$I$89,3,0)*VLOOKUP('Données projet'!$B$10,Paramètres!$A$1:$I$89,5,0)</f>
        <v>248.76799999999972</v>
      </c>
      <c r="AK150" s="13">
        <f t="shared" si="143"/>
        <v>60.32205079116369</v>
      </c>
      <c r="AL150" s="20">
        <f t="shared" si="112"/>
        <v>538.33183846127633</v>
      </c>
      <c r="AM150" s="59">
        <f t="shared" si="113"/>
        <v>831.66517179460971</v>
      </c>
      <c r="AN150" s="59">
        <f ca="1">AVERAGE(OFFSET($AM$3,0,0,'Données projet'!$E$10+1,1))-AVERAGE(OFFSET($H$3,0,0,'Données projet'!$E$10+1,1))</f>
        <v>279.39350157328471</v>
      </c>
      <c r="AO150" s="59">
        <f t="shared" si="144"/>
        <v>261.55559683031657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5.6404678507549217</v>
      </c>
      <c r="AV150" s="21">
        <f>EXP(-LN(2)/25)*AV149+(1-EXP(-LN(2)/25))/(LN(2)/25)*Calculateur!AQ150*Calculateur!AS150*VLOOKUP('Données projet'!$B$10,Paramètres!$A$1:$I$89,3,0)*0.475*44/12</f>
        <v>3.3118662966526693</v>
      </c>
      <c r="AW150" s="21">
        <f>EXP(-LN(2)/2)*AW149+(1-EXP(-LN(2)/2))/(LN(2)/2)*AQ150*AT150*VLOOKUP('Données projet'!$B$10,Paramètres!$A$1:$I$89,3,0)*0.475*44/12</f>
        <v>1.5150520677424886E-12</v>
      </c>
      <c r="AX150" s="21">
        <f t="shared" si="114"/>
        <v>8.9523341474091058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475.00000000000011</v>
      </c>
      <c r="BE150" s="13">
        <f>BD150*VLOOKUP('Données projet'!$B$11,Paramètres!$A$1:$I$89,3,0)*VLOOKUP('Données projet'!$B$11,Paramètres!$A$1:$I$89,5,0)</f>
        <v>265.52500000000009</v>
      </c>
      <c r="BF150" s="13">
        <f t="shared" si="145"/>
        <v>63.898639547235177</v>
      </c>
      <c r="BG150" s="20">
        <f t="shared" si="115"/>
        <v>573.74617221143478</v>
      </c>
      <c r="BH150" s="59">
        <f t="shared" si="116"/>
        <v>867.07950554476815</v>
      </c>
      <c r="BI150" s="59">
        <f ca="1">AVERAGE(OFFSET($BH$3,0,0,'Données projet'!$E$11+1,1))-AVERAGE(OFFSET($H$3,0,0,'Données projet'!$E$11+1,1))</f>
        <v>342.37397177572871</v>
      </c>
      <c r="BJ150" s="59">
        <f t="shared" si="146"/>
        <v>331.32436050472762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8.8418985487929262</v>
      </c>
      <c r="BQ150" s="21">
        <f>EXP(-LN(2)/25)*BQ149+(1-EXP(-LN(2)/25))/(LN(2)/25)*Calculateur!BL150*Calculateur!BN150*VLOOKUP('Données projet'!$B$11,Paramètres!$A$1:$I$89,3,0)*0.475*44/12</f>
        <v>6.0103498793980039</v>
      </c>
      <c r="BR150" s="21">
        <f>EXP(-LN(2)/2)*BR149+(1-EXP(-LN(2)/2))/(LN(2)/2)*BL150*BO150*VLOOKUP('Données projet'!$B$11,Paramètres!$A$1:$I$89,3,0)*0.475*44/12</f>
        <v>1.0839531154149814E-11</v>
      </c>
      <c r="BS150" s="22">
        <f t="shared" si="117"/>
        <v>14.852248428201769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253.79640000000001</v>
      </c>
      <c r="CA150" s="13">
        <f t="shared" si="147"/>
        <v>61.39816832228076</v>
      </c>
      <c r="CB150" s="20">
        <f t="shared" si="118"/>
        <v>548.96387316130563</v>
      </c>
      <c r="CC150" s="59">
        <f t="shared" si="119"/>
        <v>842.29720649463889</v>
      </c>
      <c r="CD150" s="59">
        <f ca="1">AVERAGE(OFFSET($CC$3,0,0,'Données projet'!$E$12+1,1))-AVERAGE(OFFSET($H$3,0,0,'Données projet'!$E$12+1,1))</f>
        <v>353.37479213497227</v>
      </c>
      <c r="CE150" s="59">
        <f t="shared" si="148"/>
        <v>345.4750813433123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10.851907322597892</v>
      </c>
      <c r="CL150" s="21">
        <f>EXP(-LN(2)/25)*CL149+(1-EXP(-LN(2)/25))/(LN(2)/25)*Calculateur!CG150*Calculateur!CI150*VLOOKUP('Données projet'!$B$12,Paramètres!$A$1:$I$89,3,0)*0.475*44/12</f>
        <v>0.39895408356189077</v>
      </c>
      <c r="CM150" s="21">
        <f>EXP(-LN(2)/2)*CM149+(1-EXP(-LN(2)/2))/(LN(2)/2)*CG150*CJ150*VLOOKUP('Données projet'!$B$12,Paramètres!$A$1:$I$89,3,0)*0.475*44/12</f>
        <v>5.0485121306893474E-11</v>
      </c>
      <c r="CN150" s="22">
        <f t="shared" si="120"/>
        <v>11.250861406210269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277.99999999999994</v>
      </c>
      <c r="O151" s="13">
        <f>N151*VLOOKUP('Données projet'!$B$9,Paramètres!$A$1:$I$89,3,0)*VLOOKUP('Données projet'!$B$9,Paramètres!$A$1:$I$89,5,0)</f>
        <v>173.47199999999998</v>
      </c>
      <c r="P151" s="13">
        <f t="shared" si="141"/>
        <v>43.866718728383574</v>
      </c>
      <c r="Q151" s="20">
        <f t="shared" si="108"/>
        <v>378.53160178526804</v>
      </c>
      <c r="R151" s="59">
        <f t="shared" si="109"/>
        <v>671.86493511860135</v>
      </c>
      <c r="S151" s="59">
        <f ca="1">AVERAGE(OFFSET($R$3,0,0,'Données projet'!$E$9+1,1))-AVERAGE(OFFSET($H$3,0,0,'Données projet'!$E$9+1,1))</f>
        <v>232.56424130731699</v>
      </c>
      <c r="T151" s="59">
        <f t="shared" si="142"/>
        <v>384.58890620364178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3.0735626447759197</v>
      </c>
      <c r="AA151" s="21">
        <f>EXP(-LN(2)/25)*AA150+(1-EXP(-LN(2)/25))/(LN(2)/25)*Calculateur!V151*Calculateur!X151*VLOOKUP('Données projet'!$B$9,Paramètres!$A$1:$I$89,3,0)*0.475*44/12</f>
        <v>3.0313220493271107</v>
      </c>
      <c r="AB151" s="21">
        <f>EXP(-LN(2)/2)*AB150+(1-EXP(-LN(2)/2))/(LN(2)/2)*V151*Y151*VLOOKUP('Données projet'!$B$9,Paramètres!$A$1:$I$89,3,0)*0.475*44/12</f>
        <v>1.7146393828852434E-16</v>
      </c>
      <c r="AC151" s="22">
        <f t="shared" si="111"/>
        <v>6.1048846941030304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415.99999999999955</v>
      </c>
      <c r="AJ151" s="13">
        <f>AI151*VLOOKUP('Données projet'!$B$10,Paramètres!$A$1:$I$89,3,0)*VLOOKUP('Données projet'!$B$10,Paramètres!$A$1:$I$89,5,0)</f>
        <v>248.76799999999972</v>
      </c>
      <c r="AK151" s="13">
        <f t="shared" si="143"/>
        <v>60.32205079116369</v>
      </c>
      <c r="AL151" s="20">
        <f t="shared" si="112"/>
        <v>538.33183846127633</v>
      </c>
      <c r="AM151" s="59">
        <f t="shared" si="113"/>
        <v>831.66517179460971</v>
      </c>
      <c r="AN151" s="59">
        <f ca="1">AVERAGE(OFFSET($AM$3,0,0,'Données projet'!$E$10+1,1))-AVERAGE(OFFSET($H$3,0,0,'Données projet'!$E$10+1,1))</f>
        <v>279.39350157328471</v>
      </c>
      <c r="AO151" s="59">
        <f t="shared" si="144"/>
        <v>261.55559683031657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5.529861716547301</v>
      </c>
      <c r="AV151" s="21">
        <f>EXP(-LN(2)/25)*AV150+(1-EXP(-LN(2)/25))/(LN(2)/25)*Calculateur!AQ151*Calculateur!AS151*VLOOKUP('Données projet'!$B$10,Paramètres!$A$1:$I$89,3,0)*0.475*44/12</f>
        <v>3.2213031386072228</v>
      </c>
      <c r="AW151" s="21">
        <f>EXP(-LN(2)/2)*AW150+(1-EXP(-LN(2)/2))/(LN(2)/2)*AQ151*AT151*VLOOKUP('Données projet'!$B$10,Paramètres!$A$1:$I$89,3,0)*0.475*44/12</f>
        <v>1.0713035909514143E-12</v>
      </c>
      <c r="AX151" s="21">
        <f t="shared" si="114"/>
        <v>8.7511648551555954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475.00000000000011</v>
      </c>
      <c r="BE151" s="13">
        <f>BD151*VLOOKUP('Données projet'!$B$11,Paramètres!$A$1:$I$89,3,0)*VLOOKUP('Données projet'!$B$11,Paramètres!$A$1:$I$89,5,0)</f>
        <v>265.52500000000009</v>
      </c>
      <c r="BF151" s="13">
        <f t="shared" si="145"/>
        <v>63.898639547235177</v>
      </c>
      <c r="BG151" s="20">
        <f t="shared" si="115"/>
        <v>573.74617221143478</v>
      </c>
      <c r="BH151" s="59">
        <f t="shared" si="116"/>
        <v>867.07950554476815</v>
      </c>
      <c r="BI151" s="59">
        <f ca="1">AVERAGE(OFFSET($BH$3,0,0,'Données projet'!$E$11+1,1))-AVERAGE(OFFSET($H$3,0,0,'Données projet'!$E$11+1,1))</f>
        <v>342.37397177572871</v>
      </c>
      <c r="BJ151" s="59">
        <f t="shared" si="146"/>
        <v>331.32436050472762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8.6685143112766951</v>
      </c>
      <c r="BQ151" s="21">
        <f>EXP(-LN(2)/25)*BQ150+(1-EXP(-LN(2)/25))/(LN(2)/25)*Calculateur!BL151*Calculateur!BN151*VLOOKUP('Données projet'!$B$11,Paramètres!$A$1:$I$89,3,0)*0.475*44/12</f>
        <v>5.8459965458753018</v>
      </c>
      <c r="BR151" s="21">
        <f>EXP(-LN(2)/2)*BR150+(1-EXP(-LN(2)/2))/(LN(2)/2)*BL151*BO151*VLOOKUP('Données projet'!$B$11,Paramètres!$A$1:$I$89,3,0)*0.475*44/12</f>
        <v>7.6647059839821774E-12</v>
      </c>
      <c r="BS151" s="22">
        <f t="shared" si="117"/>
        <v>14.514510857159662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253.79640000000001</v>
      </c>
      <c r="CA151" s="13">
        <f t="shared" si="147"/>
        <v>61.39816832228076</v>
      </c>
      <c r="CB151" s="20">
        <f t="shared" si="118"/>
        <v>548.96387316130563</v>
      </c>
      <c r="CC151" s="59">
        <f t="shared" si="119"/>
        <v>842.29720649463889</v>
      </c>
      <c r="CD151" s="59">
        <f ca="1">AVERAGE(OFFSET($CC$3,0,0,'Données projet'!$E$12+1,1))-AVERAGE(OFFSET($H$3,0,0,'Données projet'!$E$12+1,1))</f>
        <v>353.37479213497227</v>
      </c>
      <c r="CE151" s="59">
        <f t="shared" si="148"/>
        <v>345.4750813433123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10.639108039011642</v>
      </c>
      <c r="CL151" s="21">
        <f>EXP(-LN(2)/25)*CL150+(1-EXP(-LN(2)/25))/(LN(2)/25)*Calculateur!CG151*Calculateur!CI151*VLOOKUP('Données projet'!$B$12,Paramètres!$A$1:$I$89,3,0)*0.475*44/12</f>
        <v>0.38804466316680741</v>
      </c>
      <c r="CM151" s="21">
        <f>EXP(-LN(2)/2)*CM150+(1-EXP(-LN(2)/2))/(LN(2)/2)*CG151*CJ151*VLOOKUP('Données projet'!$B$12,Paramètres!$A$1:$I$89,3,0)*0.475*44/12</f>
        <v>3.5698371625129831E-11</v>
      </c>
      <c r="CN151" s="22">
        <f t="shared" si="120"/>
        <v>11.027152702214147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277.99999999999994</v>
      </c>
      <c r="O152" s="13">
        <f>N152*VLOOKUP('Données projet'!$B$9,Paramètres!$A$1:$I$89,3,0)*VLOOKUP('Données projet'!$B$9,Paramètres!$A$1:$I$89,5,0)</f>
        <v>173.47199999999998</v>
      </c>
      <c r="P152" s="13">
        <f t="shared" si="141"/>
        <v>43.866718728383574</v>
      </c>
      <c r="Q152" s="20">
        <f t="shared" si="108"/>
        <v>378.53160178526804</v>
      </c>
      <c r="R152" s="59">
        <f t="shared" si="109"/>
        <v>671.86493511860135</v>
      </c>
      <c r="S152" s="59">
        <f ca="1">AVERAGE(OFFSET($R$3,0,0,'Données projet'!$E$9+1,1))-AVERAGE(OFFSET($H$3,0,0,'Données projet'!$E$9+1,1))</f>
        <v>232.56424130731699</v>
      </c>
      <c r="T152" s="59">
        <f t="shared" si="142"/>
        <v>384.58890620364178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3.0132919559999669</v>
      </c>
      <c r="AA152" s="21">
        <f>EXP(-LN(2)/25)*AA151+(1-EXP(-LN(2)/25))/(LN(2)/25)*Calculateur!V152*Calculateur!X152*VLOOKUP('Données projet'!$B$9,Paramètres!$A$1:$I$89,3,0)*0.475*44/12</f>
        <v>2.9484303884779623</v>
      </c>
      <c r="AB152" s="21">
        <f>EXP(-LN(2)/2)*AB151+(1-EXP(-LN(2)/2))/(LN(2)/2)*V152*Y152*VLOOKUP('Données projet'!$B$9,Paramètres!$A$1:$I$89,3,0)*0.475*44/12</f>
        <v>1.2124331349276727E-16</v>
      </c>
      <c r="AC152" s="22">
        <f t="shared" si="111"/>
        <v>5.9617223444779288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415.99999999999955</v>
      </c>
      <c r="AJ152" s="13">
        <f>AI152*VLOOKUP('Données projet'!$B$10,Paramètres!$A$1:$I$89,3,0)*VLOOKUP('Données projet'!$B$10,Paramètres!$A$1:$I$89,5,0)</f>
        <v>248.76799999999972</v>
      </c>
      <c r="AK152" s="13">
        <f t="shared" si="143"/>
        <v>60.32205079116369</v>
      </c>
      <c r="AL152" s="20">
        <f t="shared" si="112"/>
        <v>538.33183846127633</v>
      </c>
      <c r="AM152" s="59">
        <f t="shared" si="113"/>
        <v>831.66517179460971</v>
      </c>
      <c r="AN152" s="59">
        <f ca="1">AVERAGE(OFFSET($AM$3,0,0,'Données projet'!$E$10+1,1))-AVERAGE(OFFSET($H$3,0,0,'Données projet'!$E$10+1,1))</f>
        <v>279.39350157328471</v>
      </c>
      <c r="AO152" s="59">
        <f t="shared" si="144"/>
        <v>261.55559683031657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5.4214245011684108</v>
      </c>
      <c r="AV152" s="21">
        <f>EXP(-LN(2)/25)*AV151+(1-EXP(-LN(2)/25))/(LN(2)/25)*Calculateur!AQ152*Calculateur!AS152*VLOOKUP('Données projet'!$B$10,Paramètres!$A$1:$I$89,3,0)*0.475*44/12</f>
        <v>3.1332164348810387</v>
      </c>
      <c r="AW152" s="21">
        <f>EXP(-LN(2)/2)*AW151+(1-EXP(-LN(2)/2))/(LN(2)/2)*AQ152*AT152*VLOOKUP('Données projet'!$B$10,Paramètres!$A$1:$I$89,3,0)*0.475*44/12</f>
        <v>7.5752603387124432E-13</v>
      </c>
      <c r="AX152" s="21">
        <f t="shared" si="114"/>
        <v>8.5546409360502054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475.00000000000011</v>
      </c>
      <c r="BE152" s="13">
        <f>BD152*VLOOKUP('Données projet'!$B$11,Paramètres!$A$1:$I$89,3,0)*VLOOKUP('Données projet'!$B$11,Paramètres!$A$1:$I$89,5,0)</f>
        <v>265.52500000000009</v>
      </c>
      <c r="BF152" s="13">
        <f t="shared" si="145"/>
        <v>63.898639547235177</v>
      </c>
      <c r="BG152" s="20">
        <f t="shared" si="115"/>
        <v>573.74617221143478</v>
      </c>
      <c r="BH152" s="59">
        <f t="shared" si="116"/>
        <v>867.07950554476815</v>
      </c>
      <c r="BI152" s="59">
        <f ca="1">AVERAGE(OFFSET($BH$3,0,0,'Données projet'!$E$11+1,1))-AVERAGE(OFFSET($H$3,0,0,'Données projet'!$E$11+1,1))</f>
        <v>342.37397177572871</v>
      </c>
      <c r="BJ152" s="59">
        <f t="shared" si="146"/>
        <v>331.32436050472762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8.498530032904215</v>
      </c>
      <c r="BQ152" s="21">
        <f>EXP(-LN(2)/25)*BQ151+(1-EXP(-LN(2)/25))/(LN(2)/25)*Calculateur!BL152*Calculateur!BN152*VLOOKUP('Données projet'!$B$11,Paramètres!$A$1:$I$89,3,0)*0.475*44/12</f>
        <v>5.6861374629007448</v>
      </c>
      <c r="BR152" s="21">
        <f>EXP(-LN(2)/2)*BR151+(1-EXP(-LN(2)/2))/(LN(2)/2)*BL152*BO152*VLOOKUP('Données projet'!$B$11,Paramètres!$A$1:$I$89,3,0)*0.475*44/12</f>
        <v>5.4197655770749069E-12</v>
      </c>
      <c r="BS152" s="22">
        <f t="shared" si="117"/>
        <v>14.184667495810379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253.79640000000001</v>
      </c>
      <c r="CA152" s="13">
        <f t="shared" si="147"/>
        <v>61.39816832228076</v>
      </c>
      <c r="CB152" s="20">
        <f t="shared" si="118"/>
        <v>548.96387316130563</v>
      </c>
      <c r="CC152" s="59">
        <f t="shared" si="119"/>
        <v>842.29720649463889</v>
      </c>
      <c r="CD152" s="59">
        <f ca="1">AVERAGE(OFFSET($CC$3,0,0,'Données projet'!$E$12+1,1))-AVERAGE(OFFSET($H$3,0,0,'Données projet'!$E$12+1,1))</f>
        <v>353.37479213497227</v>
      </c>
      <c r="CE152" s="59">
        <f t="shared" si="148"/>
        <v>345.4750813433123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10.430481619581771</v>
      </c>
      <c r="CL152" s="21">
        <f>EXP(-LN(2)/25)*CL151+(1-EXP(-LN(2)/25))/(LN(2)/25)*Calculateur!CG152*Calculateur!CI152*VLOOKUP('Données projet'!$B$12,Paramètres!$A$1:$I$89,3,0)*0.475*44/12</f>
        <v>0.37743356144612911</v>
      </c>
      <c r="CM152" s="21">
        <f>EXP(-LN(2)/2)*CM151+(1-EXP(-LN(2)/2))/(LN(2)/2)*CG152*CJ152*VLOOKUP('Données projet'!$B$12,Paramètres!$A$1:$I$89,3,0)*0.475*44/12</f>
        <v>2.5242560653446737E-11</v>
      </c>
      <c r="CN152" s="22">
        <f t="shared" si="120"/>
        <v>10.807915181053142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277.99999999999994</v>
      </c>
      <c r="O153" s="13">
        <f>N153*VLOOKUP('Données projet'!$B$9,Paramètres!$A$1:$I$89,3,0)*VLOOKUP('Données projet'!$B$9,Paramètres!$A$1:$I$89,5,0)</f>
        <v>173.47199999999998</v>
      </c>
      <c r="P153" s="13">
        <f t="shared" si="141"/>
        <v>43.866718728383574</v>
      </c>
      <c r="Q153" s="20">
        <f t="shared" si="108"/>
        <v>378.53160178526804</v>
      </c>
      <c r="R153" s="59">
        <f t="shared" si="109"/>
        <v>671.86493511860135</v>
      </c>
      <c r="S153" s="59">
        <f ca="1">AVERAGE(OFFSET($R$3,0,0,'Données projet'!$E$9+1,1))-AVERAGE(OFFSET($H$3,0,0,'Données projet'!$E$9+1,1))</f>
        <v>232.56424130731699</v>
      </c>
      <c r="T153" s="59">
        <f t="shared" si="142"/>
        <v>384.58890620364178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2.9542031386694205</v>
      </c>
      <c r="AA153" s="21">
        <f>EXP(-LN(2)/25)*AA152+(1-EXP(-LN(2)/25))/(LN(2)/25)*Calculateur!V153*Calculateur!X153*VLOOKUP('Données projet'!$B$9,Paramètres!$A$1:$I$89,3,0)*0.475*44/12</f>
        <v>2.8678054044538173</v>
      </c>
      <c r="AB153" s="21">
        <f>EXP(-LN(2)/2)*AB152+(1-EXP(-LN(2)/2))/(LN(2)/2)*V153*Y153*VLOOKUP('Données projet'!$B$9,Paramètres!$A$1:$I$89,3,0)*0.475*44/12</f>
        <v>8.5731969144262172E-17</v>
      </c>
      <c r="AC153" s="22">
        <f t="shared" si="111"/>
        <v>5.8220085431232373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415.99999999999955</v>
      </c>
      <c r="AJ153" s="13">
        <f>AI153*VLOOKUP('Données projet'!$B$10,Paramètres!$A$1:$I$89,3,0)*VLOOKUP('Données projet'!$B$10,Paramètres!$A$1:$I$89,5,0)</f>
        <v>248.76799999999972</v>
      </c>
      <c r="AK153" s="13">
        <f t="shared" si="143"/>
        <v>60.32205079116369</v>
      </c>
      <c r="AL153" s="20">
        <f t="shared" si="112"/>
        <v>538.33183846127633</v>
      </c>
      <c r="AM153" s="59">
        <f t="shared" si="113"/>
        <v>831.66517179460971</v>
      </c>
      <c r="AN153" s="59">
        <f ca="1">AVERAGE(OFFSET($AM$3,0,0,'Données projet'!$E$10+1,1))-AVERAGE(OFFSET($H$3,0,0,'Données projet'!$E$10+1,1))</f>
        <v>279.39350157328471</v>
      </c>
      <c r="AO153" s="59">
        <f t="shared" si="144"/>
        <v>261.55559683031657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5.3151136734429301</v>
      </c>
      <c r="AV153" s="21">
        <f>EXP(-LN(2)/25)*AV152+(1-EXP(-LN(2)/25))/(LN(2)/25)*Calculateur!AQ153*Calculateur!AS153*VLOOKUP('Données projet'!$B$10,Paramètres!$A$1:$I$89,3,0)*0.475*44/12</f>
        <v>3.0475384667005256</v>
      </c>
      <c r="AW153" s="21">
        <f>EXP(-LN(2)/2)*AW152+(1-EXP(-LN(2)/2))/(LN(2)/2)*AQ153*AT153*VLOOKUP('Données projet'!$B$10,Paramètres!$A$1:$I$89,3,0)*0.475*44/12</f>
        <v>5.3565179547570714E-13</v>
      </c>
      <c r="AX153" s="21">
        <f t="shared" si="114"/>
        <v>8.3626521401439931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475.00000000000011</v>
      </c>
      <c r="BE153" s="13">
        <f>BD153*VLOOKUP('Données projet'!$B$11,Paramètres!$A$1:$I$89,3,0)*VLOOKUP('Données projet'!$B$11,Paramètres!$A$1:$I$89,5,0)</f>
        <v>265.52500000000009</v>
      </c>
      <c r="BF153" s="13">
        <f t="shared" si="145"/>
        <v>63.898639547235177</v>
      </c>
      <c r="BG153" s="20">
        <f t="shared" si="115"/>
        <v>573.74617221143478</v>
      </c>
      <c r="BH153" s="59">
        <f t="shared" si="116"/>
        <v>867.07950554476815</v>
      </c>
      <c r="BI153" s="59">
        <f ca="1">AVERAGE(OFFSET($BH$3,0,0,'Données projet'!$E$11+1,1))-AVERAGE(OFFSET($H$3,0,0,'Données projet'!$E$11+1,1))</f>
        <v>342.37397177572871</v>
      </c>
      <c r="BJ153" s="59">
        <f t="shared" si="146"/>
        <v>331.32436050472762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8.3318790425504456</v>
      </c>
      <c r="BQ153" s="21">
        <f>EXP(-LN(2)/25)*BQ152+(1-EXP(-LN(2)/25))/(LN(2)/25)*Calculateur!BL153*Calculateur!BN153*VLOOKUP('Données projet'!$B$11,Paramètres!$A$1:$I$89,3,0)*0.475*44/12</f>
        <v>5.5306497349567509</v>
      </c>
      <c r="BR153" s="21">
        <f>EXP(-LN(2)/2)*BR152+(1-EXP(-LN(2)/2))/(LN(2)/2)*BL153*BO153*VLOOKUP('Données projet'!$B$11,Paramètres!$A$1:$I$89,3,0)*0.475*44/12</f>
        <v>3.8323529919910887E-12</v>
      </c>
      <c r="BS153" s="22">
        <f t="shared" si="117"/>
        <v>13.862528777511029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253.79640000000001</v>
      </c>
      <c r="CA153" s="13">
        <f t="shared" si="147"/>
        <v>61.39816832228076</v>
      </c>
      <c r="CB153" s="20">
        <f t="shared" si="118"/>
        <v>548.96387316130563</v>
      </c>
      <c r="CC153" s="59">
        <f t="shared" si="119"/>
        <v>842.29720649463889</v>
      </c>
      <c r="CD153" s="59">
        <f ca="1">AVERAGE(OFFSET($CC$3,0,0,'Données projet'!$E$12+1,1))-AVERAGE(OFFSET($H$3,0,0,'Données projet'!$E$12+1,1))</f>
        <v>353.37479213497227</v>
      </c>
      <c r="CE153" s="59">
        <f t="shared" si="148"/>
        <v>345.4750813433123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10.225946236987369</v>
      </c>
      <c r="CL153" s="21">
        <f>EXP(-LN(2)/25)*CL152+(1-EXP(-LN(2)/25))/(LN(2)/25)*Calculateur!CG153*Calculateur!CI153*VLOOKUP('Données projet'!$B$12,Paramètres!$A$1:$I$89,3,0)*0.475*44/12</f>
        <v>0.36711262086001634</v>
      </c>
      <c r="CM153" s="21">
        <f>EXP(-LN(2)/2)*CM152+(1-EXP(-LN(2)/2))/(LN(2)/2)*CG153*CJ153*VLOOKUP('Données projet'!$B$12,Paramètres!$A$1:$I$89,3,0)*0.475*44/12</f>
        <v>1.7849185812564916E-11</v>
      </c>
      <c r="CN153" s="22">
        <f t="shared" si="120"/>
        <v>10.593058857865234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277.99999999999994</v>
      </c>
      <c r="O154" s="13">
        <f>N154*VLOOKUP('Données projet'!$B$9,Paramètres!$A$1:$I$89,3,0)*VLOOKUP('Données projet'!$B$9,Paramètres!$A$1:$I$89,5,0)</f>
        <v>173.47199999999998</v>
      </c>
      <c r="P154" s="13">
        <f t="shared" si="141"/>
        <v>43.866718728383574</v>
      </c>
      <c r="Q154" s="20">
        <f t="shared" ref="Q154:Q203" si="162">(O154+P154)*0.475*44/12</f>
        <v>378.53160178526804</v>
      </c>
      <c r="R154" s="59">
        <f t="shared" si="109"/>
        <v>671.86493511860135</v>
      </c>
      <c r="S154" s="59">
        <f ca="1">AVERAGE(OFFSET($R$3,0,0,'Données projet'!$E$9+1,1))-AVERAGE(OFFSET($H$3,0,0,'Données projet'!$E$9+1,1))</f>
        <v>232.56424130731699</v>
      </c>
      <c r="T154" s="59">
        <f t="shared" si="142"/>
        <v>384.58890620364178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2.8962730170061062</v>
      </c>
      <c r="AA154" s="21">
        <f>EXP(-LN(2)/25)*AA153+(1-EXP(-LN(2)/25))/(LN(2)/25)*Calculateur!V154*Calculateur!X154*VLOOKUP('Données projet'!$B$9,Paramètres!$A$1:$I$89,3,0)*0.475*44/12</f>
        <v>2.789385114857696</v>
      </c>
      <c r="AB154" s="21">
        <f>EXP(-LN(2)/2)*AB153+(1-EXP(-LN(2)/2))/(LN(2)/2)*V154*Y154*VLOOKUP('Données projet'!$B$9,Paramètres!$A$1:$I$89,3,0)*0.475*44/12</f>
        <v>6.0621656746383634E-17</v>
      </c>
      <c r="AC154" s="22">
        <f t="shared" ref="AC154:AC203" si="163">SUM(Z154:AB154)</f>
        <v>5.6856581318638018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415.99999999999955</v>
      </c>
      <c r="AJ154" s="13">
        <f>AI154*VLOOKUP('Données projet'!$B$10,Paramètres!$A$1:$I$89,3,0)*VLOOKUP('Données projet'!$B$10,Paramètres!$A$1:$I$89,5,0)</f>
        <v>248.76799999999972</v>
      </c>
      <c r="AK154" s="13">
        <f t="shared" ref="AK154:AK203" si="164">EXP(-1.0587+0.8836*LN(AJ154)+0.284)</f>
        <v>60.32205079116369</v>
      </c>
      <c r="AL154" s="20">
        <f t="shared" ref="AL154:AL203" si="165">(AJ154+AK154)*0.475*44/12</f>
        <v>538.33183846127633</v>
      </c>
      <c r="AM154" s="59">
        <f t="shared" si="113"/>
        <v>831.66517179460971</v>
      </c>
      <c r="AN154" s="59">
        <f ca="1">AVERAGE(OFFSET($AM$3,0,0,'Données projet'!$E$10+1,1))-AVERAGE(OFFSET($H$3,0,0,'Données projet'!$E$10+1,1))</f>
        <v>279.39350157328471</v>
      </c>
      <c r="AO154" s="59">
        <f t="shared" si="144"/>
        <v>261.55559683031657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5.2108875362059441</v>
      </c>
      <c r="AV154" s="21">
        <f>EXP(-LN(2)/25)*AV153+(1-EXP(-LN(2)/25))/(LN(2)/25)*Calculateur!AQ154*Calculateur!AS154*VLOOKUP('Données projet'!$B$10,Paramètres!$A$1:$I$89,3,0)*0.475*44/12</f>
        <v>2.964203367065517</v>
      </c>
      <c r="AW154" s="21">
        <f>EXP(-LN(2)/2)*AW153+(1-EXP(-LN(2)/2))/(LN(2)/2)*AQ154*AT154*VLOOKUP('Données projet'!$B$10,Paramètres!$A$1:$I$89,3,0)*0.475*44/12</f>
        <v>3.7876301693562216E-13</v>
      </c>
      <c r="AX154" s="21">
        <f t="shared" ref="AX154:AX203" si="166">SUM(AU154:AW154)</f>
        <v>8.1750909032718386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475.00000000000011</v>
      </c>
      <c r="BE154" s="13">
        <f>BD154*VLOOKUP('Données projet'!$B$11,Paramètres!$A$1:$I$89,3,0)*VLOOKUP('Données projet'!$B$11,Paramètres!$A$1:$I$89,5,0)</f>
        <v>265.52500000000009</v>
      </c>
      <c r="BF154" s="13">
        <f t="shared" ref="BF154:BF203" si="167">EXP(-1.0587+0.8836*LN(BE154)+0.284)</f>
        <v>63.898639547235177</v>
      </c>
      <c r="BG154" s="20">
        <f t="shared" ref="BG154:BG203" si="168">(BE154+BF154)*0.475*44/12</f>
        <v>573.74617221143478</v>
      </c>
      <c r="BH154" s="59">
        <f t="shared" si="116"/>
        <v>867.07950554476815</v>
      </c>
      <c r="BI154" s="59">
        <f ca="1">AVERAGE(OFFSET($BH$3,0,0,'Données projet'!$E$11+1,1))-AVERAGE(OFFSET($H$3,0,0,'Données projet'!$E$11+1,1))</f>
        <v>342.37397177572871</v>
      </c>
      <c r="BJ154" s="59">
        <f t="shared" si="146"/>
        <v>331.32436050472762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8.1684959764704477</v>
      </c>
      <c r="BQ154" s="21">
        <f>EXP(-LN(2)/25)*BQ153+(1-EXP(-LN(2)/25))/(LN(2)/25)*Calculateur!BL154*Calculateur!BN154*VLOOKUP('Données projet'!$B$11,Paramètres!$A$1:$I$89,3,0)*0.475*44/12</f>
        <v>5.3794138271101293</v>
      </c>
      <c r="BR154" s="21">
        <f>EXP(-LN(2)/2)*BR153+(1-EXP(-LN(2)/2))/(LN(2)/2)*BL154*BO154*VLOOKUP('Données projet'!$B$11,Paramètres!$A$1:$I$89,3,0)*0.475*44/12</f>
        <v>2.7098827885374535E-12</v>
      </c>
      <c r="BS154" s="22">
        <f t="shared" ref="BS154:BS203" si="169">SUM(BP154:BR154)</f>
        <v>13.547909803583288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253.79640000000001</v>
      </c>
      <c r="CA154" s="13">
        <f t="shared" ref="CA154:CA203" si="170">EXP(-1.0587+0.8836*LN(BZ154)+0.284)</f>
        <v>61.39816832228076</v>
      </c>
      <c r="CB154" s="20">
        <f t="shared" ref="CB154:CB203" si="171">(BZ154+CA154)*0.475*44/12</f>
        <v>548.96387316130563</v>
      </c>
      <c r="CC154" s="59">
        <f t="shared" si="119"/>
        <v>842.29720649463889</v>
      </c>
      <c r="CD154" s="59">
        <f ca="1">AVERAGE(OFFSET($CC$3,0,0,'Données projet'!$E$12+1,1))-AVERAGE(OFFSET($H$3,0,0,'Données projet'!$E$12+1,1))</f>
        <v>353.37479213497227</v>
      </c>
      <c r="CE154" s="59">
        <f t="shared" si="148"/>
        <v>345.4750813433123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10.025421668491378</v>
      </c>
      <c r="CL154" s="21">
        <f>EXP(-LN(2)/25)*CL153+(1-EXP(-LN(2)/25))/(LN(2)/25)*Calculateur!CG154*Calculateur!CI154*VLOOKUP('Données projet'!$B$12,Paramètres!$A$1:$I$89,3,0)*0.475*44/12</f>
        <v>0.35707390693698549</v>
      </c>
      <c r="CM154" s="21">
        <f>EXP(-LN(2)/2)*CM153+(1-EXP(-LN(2)/2))/(LN(2)/2)*CG154*CJ154*VLOOKUP('Données projet'!$B$12,Paramètres!$A$1:$I$89,3,0)*0.475*44/12</f>
        <v>1.2621280326723369E-11</v>
      </c>
      <c r="CN154" s="22">
        <f t="shared" ref="CN154:CN203" si="172">SUM(CK154:CM154)</f>
        <v>10.382495575440984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277.99999999999994</v>
      </c>
      <c r="O155" s="13">
        <f>N155*VLOOKUP('Données projet'!$B$9,Paramètres!$A$1:$I$89,3,0)*VLOOKUP('Données projet'!$B$9,Paramètres!$A$1:$I$89,5,0)</f>
        <v>173.47199999999998</v>
      </c>
      <c r="P155" s="13">
        <f t="shared" si="141"/>
        <v>43.866718728383574</v>
      </c>
      <c r="Q155" s="20">
        <f t="shared" si="162"/>
        <v>378.53160178526804</v>
      </c>
      <c r="R155" s="59">
        <f t="shared" si="109"/>
        <v>671.86493511860135</v>
      </c>
      <c r="S155" s="59">
        <f ca="1">AVERAGE(OFFSET($R$3,0,0,'Données projet'!$E$9+1,1))-AVERAGE(OFFSET($H$3,0,0,'Données projet'!$E$9+1,1))</f>
        <v>232.56424130731699</v>
      </c>
      <c r="T155" s="59">
        <f t="shared" si="142"/>
        <v>384.58890620364178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2.8394788696947244</v>
      </c>
      <c r="AA155" s="21">
        <f>EXP(-LN(2)/25)*AA154+(1-EXP(-LN(2)/25))/(LN(2)/25)*Calculateur!V155*Calculateur!X155*VLOOKUP('Données projet'!$B$9,Paramètres!$A$1:$I$89,3,0)*0.475*44/12</f>
        <v>2.7131092322045243</v>
      </c>
      <c r="AB155" s="21">
        <f>EXP(-LN(2)/2)*AB154+(1-EXP(-LN(2)/2))/(LN(2)/2)*V155*Y155*VLOOKUP('Données projet'!$B$9,Paramètres!$A$1:$I$89,3,0)*0.475*44/12</f>
        <v>4.2865984572131086E-17</v>
      </c>
      <c r="AC155" s="22">
        <f t="shared" si="163"/>
        <v>5.5525881018992482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415.99999999999955</v>
      </c>
      <c r="AJ155" s="13">
        <f>AI155*VLOOKUP('Données projet'!$B$10,Paramètres!$A$1:$I$89,3,0)*VLOOKUP('Données projet'!$B$10,Paramètres!$A$1:$I$89,5,0)</f>
        <v>248.76799999999972</v>
      </c>
      <c r="AK155" s="13">
        <f t="shared" si="164"/>
        <v>60.32205079116369</v>
      </c>
      <c r="AL155" s="20">
        <f t="shared" si="165"/>
        <v>538.33183846127633</v>
      </c>
      <c r="AM155" s="59">
        <f t="shared" si="113"/>
        <v>831.66517179460971</v>
      </c>
      <c r="AN155" s="59">
        <f ca="1">AVERAGE(OFFSET($AM$3,0,0,'Données projet'!$E$10+1,1))-AVERAGE(OFFSET($H$3,0,0,'Données projet'!$E$10+1,1))</f>
        <v>279.39350157328471</v>
      </c>
      <c r="AO155" s="59">
        <f t="shared" si="144"/>
        <v>261.55559683031657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5.1087052099485089</v>
      </c>
      <c r="AV155" s="21">
        <f>EXP(-LN(2)/25)*AV154+(1-EXP(-LN(2)/25))/(LN(2)/25)*Calculateur!AQ155*Calculateur!AS155*VLOOKUP('Données projet'!$B$10,Paramètres!$A$1:$I$89,3,0)*0.475*44/12</f>
        <v>2.8831470701124302</v>
      </c>
      <c r="AW155" s="21">
        <f>EXP(-LN(2)/2)*AW154+(1-EXP(-LN(2)/2))/(LN(2)/2)*AQ155*AT155*VLOOKUP('Données projet'!$B$10,Paramètres!$A$1:$I$89,3,0)*0.475*44/12</f>
        <v>2.6782589773785357E-13</v>
      </c>
      <c r="AX155" s="21">
        <f t="shared" si="166"/>
        <v>7.9918522800612077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475.00000000000011</v>
      </c>
      <c r="BE155" s="13">
        <f>BD155*VLOOKUP('Données projet'!$B$11,Paramètres!$A$1:$I$89,3,0)*VLOOKUP('Données projet'!$B$11,Paramètres!$A$1:$I$89,5,0)</f>
        <v>265.52500000000009</v>
      </c>
      <c r="BF155" s="13">
        <f t="shared" si="167"/>
        <v>63.898639547235177</v>
      </c>
      <c r="BG155" s="20">
        <f t="shared" si="168"/>
        <v>573.74617221143478</v>
      </c>
      <c r="BH155" s="59">
        <f t="shared" si="116"/>
        <v>867.07950554476815</v>
      </c>
      <c r="BI155" s="59">
        <f ca="1">AVERAGE(OFFSET($BH$3,0,0,'Données projet'!$E$11+1,1))-AVERAGE(OFFSET($H$3,0,0,'Données projet'!$E$11+1,1))</f>
        <v>342.37397177572871</v>
      </c>
      <c r="BJ155" s="59">
        <f t="shared" si="146"/>
        <v>331.32436050472762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8.0083167526624468</v>
      </c>
      <c r="BQ155" s="21">
        <f>EXP(-LN(2)/25)*BQ154+(1-EXP(-LN(2)/25))/(LN(2)/25)*Calculateur!BL155*Calculateur!BN155*VLOOKUP('Données projet'!$B$11,Paramètres!$A$1:$I$89,3,0)*0.475*44/12</f>
        <v>5.232313473116724</v>
      </c>
      <c r="BR155" s="21">
        <f>EXP(-LN(2)/2)*BR154+(1-EXP(-LN(2)/2))/(LN(2)/2)*BL155*BO155*VLOOKUP('Données projet'!$B$11,Paramètres!$A$1:$I$89,3,0)*0.475*44/12</f>
        <v>1.9161764959955444E-12</v>
      </c>
      <c r="BS155" s="22">
        <f t="shared" si="169"/>
        <v>13.240630225781088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253.79640000000001</v>
      </c>
      <c r="CA155" s="13">
        <f t="shared" si="170"/>
        <v>61.39816832228076</v>
      </c>
      <c r="CB155" s="20">
        <f t="shared" si="171"/>
        <v>548.96387316130563</v>
      </c>
      <c r="CC155" s="59">
        <f t="shared" si="119"/>
        <v>842.29720649463889</v>
      </c>
      <c r="CD155" s="59">
        <f ca="1">AVERAGE(OFFSET($CC$3,0,0,'Données projet'!$E$12+1,1))-AVERAGE(OFFSET($H$3,0,0,'Données projet'!$E$12+1,1))</f>
        <v>353.37479213497227</v>
      </c>
      <c r="CE155" s="59">
        <f t="shared" si="148"/>
        <v>345.4750813433123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9.8288292644756829</v>
      </c>
      <c r="CL155" s="21">
        <f>EXP(-LN(2)/25)*CL154+(1-EXP(-LN(2)/25))/(LN(2)/25)*Calculateur!CG155*Calculateur!CI155*VLOOKUP('Données projet'!$B$12,Paramètres!$A$1:$I$89,3,0)*0.475*44/12</f>
        <v>0.34730970217409296</v>
      </c>
      <c r="CM155" s="21">
        <f>EXP(-LN(2)/2)*CM154+(1-EXP(-LN(2)/2))/(LN(2)/2)*CG155*CJ155*VLOOKUP('Données projet'!$B$12,Paramètres!$A$1:$I$89,3,0)*0.475*44/12</f>
        <v>8.9245929062824579E-12</v>
      </c>
      <c r="CN155" s="22">
        <f t="shared" si="172"/>
        <v>10.1761389666587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277.99999999999994</v>
      </c>
      <c r="O156" s="13">
        <f>N156*VLOOKUP('Données projet'!$B$9,Paramètres!$A$1:$I$89,3,0)*VLOOKUP('Données projet'!$B$9,Paramètres!$A$1:$I$89,5,0)</f>
        <v>173.47199999999998</v>
      </c>
      <c r="P156" s="13">
        <f t="shared" si="141"/>
        <v>43.866718728383574</v>
      </c>
      <c r="Q156" s="20">
        <f t="shared" si="162"/>
        <v>378.53160178526804</v>
      </c>
      <c r="R156" s="59">
        <f t="shared" si="109"/>
        <v>671.86493511860135</v>
      </c>
      <c r="S156" s="59">
        <f ca="1">AVERAGE(OFFSET($R$3,0,0,'Données projet'!$E$9+1,1))-AVERAGE(OFFSET($H$3,0,0,'Données projet'!$E$9+1,1))</f>
        <v>232.56424130731699</v>
      </c>
      <c r="T156" s="59">
        <f t="shared" si="142"/>
        <v>384.58890620364178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2.7837984209711095</v>
      </c>
      <c r="AA156" s="21">
        <f>EXP(-LN(2)/25)*AA155+(1-EXP(-LN(2)/25))/(LN(2)/25)*Calculateur!V156*Calculateur!X156*VLOOKUP('Données projet'!$B$9,Paramètres!$A$1:$I$89,3,0)*0.475*44/12</f>
        <v>2.6389191175736779</v>
      </c>
      <c r="AB156" s="21">
        <f>EXP(-LN(2)/2)*AB155+(1-EXP(-LN(2)/2))/(LN(2)/2)*V156*Y156*VLOOKUP('Données projet'!$B$9,Paramètres!$A$1:$I$89,3,0)*0.475*44/12</f>
        <v>3.0310828373191817E-17</v>
      </c>
      <c r="AC156" s="22">
        <f t="shared" si="163"/>
        <v>5.4227175385447879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415.99999999999955</v>
      </c>
      <c r="AJ156" s="13">
        <f>AI156*VLOOKUP('Données projet'!$B$10,Paramètres!$A$1:$I$89,3,0)*VLOOKUP('Données projet'!$B$10,Paramètres!$A$1:$I$89,5,0)</f>
        <v>248.76799999999972</v>
      </c>
      <c r="AK156" s="13">
        <f t="shared" si="164"/>
        <v>60.32205079116369</v>
      </c>
      <c r="AL156" s="20">
        <f t="shared" si="165"/>
        <v>538.33183846127633</v>
      </c>
      <c r="AM156" s="59">
        <f t="shared" si="113"/>
        <v>831.66517179460971</v>
      </c>
      <c r="AN156" s="59">
        <f ca="1">AVERAGE(OFFSET($AM$3,0,0,'Données projet'!$E$10+1,1))-AVERAGE(OFFSET($H$3,0,0,'Données projet'!$E$10+1,1))</f>
        <v>279.39350157328471</v>
      </c>
      <c r="AO156" s="59">
        <f t="shared" si="144"/>
        <v>261.55559683031657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5.0085266167839171</v>
      </c>
      <c r="AV156" s="21">
        <f>EXP(-LN(2)/25)*AV155+(1-EXP(-LN(2)/25))/(LN(2)/25)*Calculateur!AQ156*Calculateur!AS156*VLOOKUP('Données projet'!$B$10,Paramètres!$A$1:$I$89,3,0)*0.475*44/12</f>
        <v>2.8043072618620908</v>
      </c>
      <c r="AW156" s="21">
        <f>EXP(-LN(2)/2)*AW155+(1-EXP(-LN(2)/2))/(LN(2)/2)*AQ156*AT156*VLOOKUP('Données projet'!$B$10,Paramètres!$A$1:$I$89,3,0)*0.475*44/12</f>
        <v>1.8938150846781108E-13</v>
      </c>
      <c r="AX156" s="21">
        <f t="shared" si="166"/>
        <v>7.812833878646197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475.00000000000011</v>
      </c>
      <c r="BE156" s="13">
        <f>BD156*VLOOKUP('Données projet'!$B$11,Paramètres!$A$1:$I$89,3,0)*VLOOKUP('Données projet'!$B$11,Paramètres!$A$1:$I$89,5,0)</f>
        <v>265.52500000000009</v>
      </c>
      <c r="BF156" s="13">
        <f t="shared" si="167"/>
        <v>63.898639547235177</v>
      </c>
      <c r="BG156" s="20">
        <f t="shared" si="168"/>
        <v>573.74617221143478</v>
      </c>
      <c r="BH156" s="59">
        <f t="shared" si="116"/>
        <v>867.07950554476815</v>
      </c>
      <c r="BI156" s="59">
        <f ca="1">AVERAGE(OFFSET($BH$3,0,0,'Données projet'!$E$11+1,1))-AVERAGE(OFFSET($H$3,0,0,'Données projet'!$E$11+1,1))</f>
        <v>342.37397177572871</v>
      </c>
      <c r="BJ156" s="59">
        <f t="shared" si="146"/>
        <v>331.32436050472762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7.851278545733642</v>
      </c>
      <c r="BQ156" s="21">
        <f>EXP(-LN(2)/25)*BQ155+(1-EXP(-LN(2)/25))/(LN(2)/25)*Calculateur!BL156*Calculateur!BN156*VLOOKUP('Données projet'!$B$11,Paramètres!$A$1:$I$89,3,0)*0.475*44/12</f>
        <v>5.0892355860389404</v>
      </c>
      <c r="BR156" s="21">
        <f>EXP(-LN(2)/2)*BR155+(1-EXP(-LN(2)/2))/(LN(2)/2)*BL156*BO156*VLOOKUP('Données projet'!$B$11,Paramètres!$A$1:$I$89,3,0)*0.475*44/12</f>
        <v>1.3549413942687267E-12</v>
      </c>
      <c r="BS156" s="22">
        <f t="shared" si="169"/>
        <v>12.940514131773938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253.79640000000001</v>
      </c>
      <c r="CA156" s="13">
        <f t="shared" si="170"/>
        <v>61.39816832228076</v>
      </c>
      <c r="CB156" s="20">
        <f t="shared" si="171"/>
        <v>548.96387316130563</v>
      </c>
      <c r="CC156" s="59">
        <f t="shared" si="119"/>
        <v>842.29720649463889</v>
      </c>
      <c r="CD156" s="59">
        <f ca="1">AVERAGE(OFFSET($CC$3,0,0,'Données projet'!$E$12+1,1))-AVERAGE(OFFSET($H$3,0,0,'Données projet'!$E$12+1,1))</f>
        <v>353.37479213497227</v>
      </c>
      <c r="CE156" s="59">
        <f t="shared" si="148"/>
        <v>345.4750813433123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9.6360919175932089</v>
      </c>
      <c r="CL156" s="21">
        <f>EXP(-LN(2)/25)*CL155+(1-EXP(-LN(2)/25))/(LN(2)/25)*Calculateur!CG156*Calculateur!CI156*VLOOKUP('Données projet'!$B$12,Paramètres!$A$1:$I$89,3,0)*0.475*44/12</f>
        <v>0.33781250010391894</v>
      </c>
      <c r="CM156" s="21">
        <f>EXP(-LN(2)/2)*CM155+(1-EXP(-LN(2)/2))/(LN(2)/2)*CG156*CJ156*VLOOKUP('Données projet'!$B$12,Paramètres!$A$1:$I$89,3,0)*0.475*44/12</f>
        <v>6.3106401633616843E-12</v>
      </c>
      <c r="CN156" s="22">
        <f t="shared" si="172"/>
        <v>9.9739044177034391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277.99999999999994</v>
      </c>
      <c r="O157" s="13">
        <f>N157*VLOOKUP('Données projet'!$B$9,Paramètres!$A$1:$I$89,3,0)*VLOOKUP('Données projet'!$B$9,Paramètres!$A$1:$I$89,5,0)</f>
        <v>173.47199999999998</v>
      </c>
      <c r="P157" s="13">
        <f t="shared" si="141"/>
        <v>43.866718728383574</v>
      </c>
      <c r="Q157" s="20">
        <f t="shared" si="162"/>
        <v>378.53160178526804</v>
      </c>
      <c r="R157" s="59">
        <f t="shared" si="109"/>
        <v>671.86493511860135</v>
      </c>
      <c r="S157" s="59">
        <f ca="1">AVERAGE(OFFSET($R$3,0,0,'Données projet'!$E$9+1,1))-AVERAGE(OFFSET($H$3,0,0,'Données projet'!$E$9+1,1))</f>
        <v>232.56424130731699</v>
      </c>
      <c r="T157" s="59">
        <f t="shared" si="142"/>
        <v>384.58890620364178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2.7292098318852442</v>
      </c>
      <c r="AA157" s="21">
        <f>EXP(-LN(2)/25)*AA156+(1-EXP(-LN(2)/25))/(LN(2)/25)*Calculateur!V157*Calculateur!X157*VLOOKUP('Données projet'!$B$9,Paramètres!$A$1:$I$89,3,0)*0.475*44/12</f>
        <v>2.5667577355289009</v>
      </c>
      <c r="AB157" s="21">
        <f>EXP(-LN(2)/2)*AB156+(1-EXP(-LN(2)/2))/(LN(2)/2)*V157*Y157*VLOOKUP('Données projet'!$B$9,Paramètres!$A$1:$I$89,3,0)*0.475*44/12</f>
        <v>2.1432992286065543E-17</v>
      </c>
      <c r="AC157" s="22">
        <f t="shared" si="163"/>
        <v>5.2959675674141451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415.99999999999955</v>
      </c>
      <c r="AJ157" s="13">
        <f>AI157*VLOOKUP('Données projet'!$B$10,Paramètres!$A$1:$I$89,3,0)*VLOOKUP('Données projet'!$B$10,Paramètres!$A$1:$I$89,5,0)</f>
        <v>248.76799999999972</v>
      </c>
      <c r="AK157" s="13">
        <f t="shared" si="164"/>
        <v>60.32205079116369</v>
      </c>
      <c r="AL157" s="20">
        <f t="shared" si="165"/>
        <v>538.33183846127633</v>
      </c>
      <c r="AM157" s="59">
        <f t="shared" si="113"/>
        <v>831.66517179460971</v>
      </c>
      <c r="AN157" s="59">
        <f ca="1">AVERAGE(OFFSET($AM$3,0,0,'Données projet'!$E$10+1,1))-AVERAGE(OFFSET($H$3,0,0,'Données projet'!$E$10+1,1))</f>
        <v>279.39350157328471</v>
      </c>
      <c r="AO157" s="59">
        <f t="shared" si="144"/>
        <v>261.55559683031657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4.9103124647283742</v>
      </c>
      <c r="AV157" s="21">
        <f>EXP(-LN(2)/25)*AV156+(1-EXP(-LN(2)/25))/(LN(2)/25)*Calculateur!AQ157*Calculateur!AS157*VLOOKUP('Données projet'!$B$10,Paramètres!$A$1:$I$89,3,0)*0.475*44/12</f>
        <v>2.7276233323143622</v>
      </c>
      <c r="AW157" s="21">
        <f>EXP(-LN(2)/2)*AW156+(1-EXP(-LN(2)/2))/(LN(2)/2)*AQ157*AT157*VLOOKUP('Données projet'!$B$10,Paramètres!$A$1:$I$89,3,0)*0.475*44/12</f>
        <v>1.3391294886892678E-13</v>
      </c>
      <c r="AX157" s="21">
        <f t="shared" si="166"/>
        <v>7.6379357970428705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475.00000000000011</v>
      </c>
      <c r="BE157" s="13">
        <f>BD157*VLOOKUP('Données projet'!$B$11,Paramètres!$A$1:$I$89,3,0)*VLOOKUP('Données projet'!$B$11,Paramètres!$A$1:$I$89,5,0)</f>
        <v>265.52500000000009</v>
      </c>
      <c r="BF157" s="13">
        <f t="shared" si="167"/>
        <v>63.898639547235177</v>
      </c>
      <c r="BG157" s="20">
        <f t="shared" si="168"/>
        <v>573.74617221143478</v>
      </c>
      <c r="BH157" s="59">
        <f t="shared" si="116"/>
        <v>867.07950554476815</v>
      </c>
      <c r="BI157" s="59">
        <f ca="1">AVERAGE(OFFSET($BH$3,0,0,'Données projet'!$E$11+1,1))-AVERAGE(OFFSET($H$3,0,0,'Données projet'!$E$11+1,1))</f>
        <v>342.37397177572871</v>
      </c>
      <c r="BJ157" s="59">
        <f t="shared" si="146"/>
        <v>331.32436050472762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7.6973197622588625</v>
      </c>
      <c r="BQ157" s="21">
        <f>EXP(-LN(2)/25)*BQ156+(1-EXP(-LN(2)/25))/(LN(2)/25)*Calculateur!BL157*Calculateur!BN157*VLOOKUP('Données projet'!$B$11,Paramètres!$A$1:$I$89,3,0)*0.475*44/12</f>
        <v>4.9500701713074378</v>
      </c>
      <c r="BR157" s="21">
        <f>EXP(-LN(2)/2)*BR156+(1-EXP(-LN(2)/2))/(LN(2)/2)*BL157*BO157*VLOOKUP('Données projet'!$B$11,Paramètres!$A$1:$I$89,3,0)*0.475*44/12</f>
        <v>9.5808824799777218E-13</v>
      </c>
      <c r="BS157" s="22">
        <f t="shared" si="169"/>
        <v>12.647389933567258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253.79640000000001</v>
      </c>
      <c r="CA157" s="13">
        <f t="shared" si="170"/>
        <v>61.39816832228076</v>
      </c>
      <c r="CB157" s="20">
        <f t="shared" si="171"/>
        <v>548.96387316130563</v>
      </c>
      <c r="CC157" s="59">
        <f t="shared" si="119"/>
        <v>842.29720649463889</v>
      </c>
      <c r="CD157" s="59">
        <f ca="1">AVERAGE(OFFSET($CC$3,0,0,'Données projet'!$E$12+1,1))-AVERAGE(OFFSET($H$3,0,0,'Données projet'!$E$12+1,1))</f>
        <v>353.37479213497227</v>
      </c>
      <c r="CE157" s="59">
        <f t="shared" si="148"/>
        <v>345.4750813433123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9.4471340325249269</v>
      </c>
      <c r="CL157" s="21">
        <f>EXP(-LN(2)/25)*CL156+(1-EXP(-LN(2)/25))/(LN(2)/25)*Calculateur!CG157*Calculateur!CI157*VLOOKUP('Données projet'!$B$12,Paramètres!$A$1:$I$89,3,0)*0.475*44/12</f>
        <v>0.32857499952378999</v>
      </c>
      <c r="CM157" s="21">
        <f>EXP(-LN(2)/2)*CM156+(1-EXP(-LN(2)/2))/(LN(2)/2)*CG157*CJ157*VLOOKUP('Données projet'!$B$12,Paramètres!$A$1:$I$89,3,0)*0.475*44/12</f>
        <v>4.4622964531412289E-12</v>
      </c>
      <c r="CN157" s="22">
        <f t="shared" si="172"/>
        <v>9.7757090320531788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277.99999999999994</v>
      </c>
      <c r="O158" s="13">
        <f>N158*VLOOKUP('Données projet'!$B$9,Paramètres!$A$1:$I$89,3,0)*VLOOKUP('Données projet'!$B$9,Paramètres!$A$1:$I$89,5,0)</f>
        <v>173.47199999999998</v>
      </c>
      <c r="P158" s="13">
        <f t="shared" si="141"/>
        <v>43.866718728383574</v>
      </c>
      <c r="Q158" s="20">
        <f t="shared" si="162"/>
        <v>378.53160178526804</v>
      </c>
      <c r="R158" s="59">
        <f t="shared" si="109"/>
        <v>671.86493511860135</v>
      </c>
      <c r="S158" s="59">
        <f ca="1">AVERAGE(OFFSET($R$3,0,0,'Données projet'!$E$9+1,1))-AVERAGE(OFFSET($H$3,0,0,'Données projet'!$E$9+1,1))</f>
        <v>232.56424130731699</v>
      </c>
      <c r="T158" s="59">
        <f t="shared" si="142"/>
        <v>384.58890620364178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2.6756916917356013</v>
      </c>
      <c r="AA158" s="21">
        <f>EXP(-LN(2)/25)*AA157+(1-EXP(-LN(2)/25))/(LN(2)/25)*Calculateur!V158*Calculateur!X158*VLOOKUP('Données projet'!$B$9,Paramètres!$A$1:$I$89,3,0)*0.475*44/12</f>
        <v>2.49656961027094</v>
      </c>
      <c r="AB158" s="21">
        <f>EXP(-LN(2)/2)*AB157+(1-EXP(-LN(2)/2))/(LN(2)/2)*V158*Y158*VLOOKUP('Données projet'!$B$9,Paramètres!$A$1:$I$89,3,0)*0.475*44/12</f>
        <v>1.5155414186595909E-17</v>
      </c>
      <c r="AC158" s="22">
        <f t="shared" si="163"/>
        <v>5.1722613020065413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415.99999999999955</v>
      </c>
      <c r="AJ158" s="13">
        <f>AI158*VLOOKUP('Données projet'!$B$10,Paramètres!$A$1:$I$89,3,0)*VLOOKUP('Données projet'!$B$10,Paramètres!$A$1:$I$89,5,0)</f>
        <v>248.76799999999972</v>
      </c>
      <c r="AK158" s="13">
        <f t="shared" si="164"/>
        <v>60.32205079116369</v>
      </c>
      <c r="AL158" s="20">
        <f t="shared" si="165"/>
        <v>538.33183846127633</v>
      </c>
      <c r="AM158" s="59">
        <f t="shared" si="113"/>
        <v>831.66517179460971</v>
      </c>
      <c r="AN158" s="59">
        <f ca="1">AVERAGE(OFFSET($AM$3,0,0,'Données projet'!$E$10+1,1))-AVERAGE(OFFSET($H$3,0,0,'Données projet'!$E$10+1,1))</f>
        <v>279.39350157328471</v>
      </c>
      <c r="AO158" s="59">
        <f t="shared" si="144"/>
        <v>261.55559683031657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4.8140242322899232</v>
      </c>
      <c r="AV158" s="21">
        <f>EXP(-LN(2)/25)*AV157+(1-EXP(-LN(2)/25))/(LN(2)/25)*Calculateur!AQ158*Calculateur!AS158*VLOOKUP('Données projet'!$B$10,Paramètres!$A$1:$I$89,3,0)*0.475*44/12</f>
        <v>2.6530363288527488</v>
      </c>
      <c r="AW158" s="21">
        <f>EXP(-LN(2)/2)*AW157+(1-EXP(-LN(2)/2))/(LN(2)/2)*AQ158*AT158*VLOOKUP('Données projet'!$B$10,Paramètres!$A$1:$I$89,3,0)*0.475*44/12</f>
        <v>9.469075423390554E-14</v>
      </c>
      <c r="AX158" s="21">
        <f t="shared" si="166"/>
        <v>7.467060561142767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475.00000000000011</v>
      </c>
      <c r="BE158" s="13">
        <f>BD158*VLOOKUP('Données projet'!$B$11,Paramètres!$A$1:$I$89,3,0)*VLOOKUP('Données projet'!$B$11,Paramètres!$A$1:$I$89,5,0)</f>
        <v>265.52500000000009</v>
      </c>
      <c r="BF158" s="13">
        <f t="shared" si="167"/>
        <v>63.898639547235177</v>
      </c>
      <c r="BG158" s="20">
        <f t="shared" si="168"/>
        <v>573.74617221143478</v>
      </c>
      <c r="BH158" s="59">
        <f t="shared" si="116"/>
        <v>867.07950554476815</v>
      </c>
      <c r="BI158" s="59">
        <f ca="1">AVERAGE(OFFSET($BH$3,0,0,'Données projet'!$E$11+1,1))-AVERAGE(OFFSET($H$3,0,0,'Données projet'!$E$11+1,1))</f>
        <v>342.37397177572871</v>
      </c>
      <c r="BJ158" s="59">
        <f t="shared" si="146"/>
        <v>331.32436050472762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7.5463800166224377</v>
      </c>
      <c r="BQ158" s="21">
        <f>EXP(-LN(2)/25)*BQ157+(1-EXP(-LN(2)/25))/(LN(2)/25)*Calculateur!BL158*Calculateur!BN158*VLOOKUP('Données projet'!$B$11,Paramètres!$A$1:$I$89,3,0)*0.475*44/12</f>
        <v>4.8147102421601593</v>
      </c>
      <c r="BR158" s="21">
        <f>EXP(-LN(2)/2)*BR157+(1-EXP(-LN(2)/2))/(LN(2)/2)*BL158*BO158*VLOOKUP('Données projet'!$B$11,Paramètres!$A$1:$I$89,3,0)*0.475*44/12</f>
        <v>6.7747069713436337E-13</v>
      </c>
      <c r="BS158" s="22">
        <f t="shared" si="169"/>
        <v>12.361090258783273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253.79640000000001</v>
      </c>
      <c r="CA158" s="13">
        <f t="shared" si="170"/>
        <v>61.39816832228076</v>
      </c>
      <c r="CB158" s="20">
        <f t="shared" si="171"/>
        <v>548.96387316130563</v>
      </c>
      <c r="CC158" s="59">
        <f t="shared" si="119"/>
        <v>842.29720649463889</v>
      </c>
      <c r="CD158" s="59">
        <f ca="1">AVERAGE(OFFSET($CC$3,0,0,'Données projet'!$E$12+1,1))-AVERAGE(OFFSET($H$3,0,0,'Données projet'!$E$12+1,1))</f>
        <v>353.37479213497227</v>
      </c>
      <c r="CE158" s="59">
        <f t="shared" si="148"/>
        <v>345.4750813433123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9.2618814963299041</v>
      </c>
      <c r="CL158" s="21">
        <f>EXP(-LN(2)/25)*CL157+(1-EXP(-LN(2)/25))/(LN(2)/25)*Calculateur!CG158*Calculateur!CI158*VLOOKUP('Données projet'!$B$12,Paramètres!$A$1:$I$89,3,0)*0.475*44/12</f>
        <v>0.31959009888280371</v>
      </c>
      <c r="CM158" s="21">
        <f>EXP(-LN(2)/2)*CM157+(1-EXP(-LN(2)/2))/(LN(2)/2)*CG158*CJ158*VLOOKUP('Données projet'!$B$12,Paramètres!$A$1:$I$89,3,0)*0.475*44/12</f>
        <v>3.1553200816808421E-12</v>
      </c>
      <c r="CN158" s="22">
        <f t="shared" si="172"/>
        <v>9.5814715952158629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277.99999999999994</v>
      </c>
      <c r="O159" s="13">
        <f>N159*VLOOKUP('Données projet'!$B$9,Paramètres!$A$1:$I$89,3,0)*VLOOKUP('Données projet'!$B$9,Paramètres!$A$1:$I$89,5,0)</f>
        <v>173.47199999999998</v>
      </c>
      <c r="P159" s="13">
        <f t="shared" si="141"/>
        <v>43.866718728383574</v>
      </c>
      <c r="Q159" s="20">
        <f t="shared" si="162"/>
        <v>378.53160178526804</v>
      </c>
      <c r="R159" s="59">
        <f t="shared" si="109"/>
        <v>671.86493511860135</v>
      </c>
      <c r="S159" s="59">
        <f ca="1">AVERAGE(OFFSET($R$3,0,0,'Données projet'!$E$9+1,1))-AVERAGE(OFFSET($H$3,0,0,'Données projet'!$E$9+1,1))</f>
        <v>232.56424130731699</v>
      </c>
      <c r="T159" s="59">
        <f t="shared" si="142"/>
        <v>384.58890620364178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2.6232230096714506</v>
      </c>
      <c r="AA159" s="21">
        <f>EXP(-LN(2)/25)*AA158+(1-EXP(-LN(2)/25))/(LN(2)/25)*Calculateur!V159*Calculateur!X159*VLOOKUP('Données projet'!$B$9,Paramètres!$A$1:$I$89,3,0)*0.475*44/12</f>
        <v>2.4283007829891914</v>
      </c>
      <c r="AB159" s="21">
        <f>EXP(-LN(2)/2)*AB158+(1-EXP(-LN(2)/2))/(LN(2)/2)*V159*Y159*VLOOKUP('Données projet'!$B$9,Paramètres!$A$1:$I$89,3,0)*0.475*44/12</f>
        <v>1.0716496143032771E-17</v>
      </c>
      <c r="AC159" s="22">
        <f t="shared" si="163"/>
        <v>5.0515237926606424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415.99999999999955</v>
      </c>
      <c r="AJ159" s="13">
        <f>AI159*VLOOKUP('Données projet'!$B$10,Paramètres!$A$1:$I$89,3,0)*VLOOKUP('Données projet'!$B$10,Paramètres!$A$1:$I$89,5,0)</f>
        <v>248.76799999999972</v>
      </c>
      <c r="AK159" s="13">
        <f t="shared" si="164"/>
        <v>60.32205079116369</v>
      </c>
      <c r="AL159" s="20">
        <f t="shared" si="165"/>
        <v>538.33183846127633</v>
      </c>
      <c r="AM159" s="59">
        <f t="shared" si="113"/>
        <v>831.66517179460971</v>
      </c>
      <c r="AN159" s="59">
        <f ca="1">AVERAGE(OFFSET($AM$3,0,0,'Données projet'!$E$10+1,1))-AVERAGE(OFFSET($H$3,0,0,'Données projet'!$E$10+1,1))</f>
        <v>279.39350157328471</v>
      </c>
      <c r="AO159" s="59">
        <f t="shared" si="144"/>
        <v>261.55559683031657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4.7196241533595673</v>
      </c>
      <c r="AV159" s="21">
        <f>EXP(-LN(2)/25)*AV158+(1-EXP(-LN(2)/25))/(LN(2)/25)*Calculateur!AQ159*Calculateur!AS159*VLOOKUP('Données projet'!$B$10,Paramètres!$A$1:$I$89,3,0)*0.475*44/12</f>
        <v>2.5804889109231532</v>
      </c>
      <c r="AW159" s="21">
        <f>EXP(-LN(2)/2)*AW158+(1-EXP(-LN(2)/2))/(LN(2)/2)*AQ159*AT159*VLOOKUP('Données projet'!$B$10,Paramètres!$A$1:$I$89,3,0)*0.475*44/12</f>
        <v>6.6956474434463392E-14</v>
      </c>
      <c r="AX159" s="21">
        <f t="shared" si="166"/>
        <v>7.3001130642827876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475.00000000000011</v>
      </c>
      <c r="BE159" s="13">
        <f>BD159*VLOOKUP('Données projet'!$B$11,Paramètres!$A$1:$I$89,3,0)*VLOOKUP('Données projet'!$B$11,Paramètres!$A$1:$I$89,5,0)</f>
        <v>265.52500000000009</v>
      </c>
      <c r="BF159" s="13">
        <f t="shared" si="167"/>
        <v>63.898639547235177</v>
      </c>
      <c r="BG159" s="20">
        <f t="shared" si="168"/>
        <v>573.74617221143478</v>
      </c>
      <c r="BH159" s="59">
        <f t="shared" si="116"/>
        <v>867.07950554476815</v>
      </c>
      <c r="BI159" s="59">
        <f ca="1">AVERAGE(OFFSET($BH$3,0,0,'Données projet'!$E$11+1,1))-AVERAGE(OFFSET($H$3,0,0,'Données projet'!$E$11+1,1))</f>
        <v>342.37397177572871</v>
      </c>
      <c r="BJ159" s="59">
        <f t="shared" si="146"/>
        <v>331.32436050472762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7.3984001073337895</v>
      </c>
      <c r="BQ159" s="21">
        <f>EXP(-LN(2)/25)*BQ158+(1-EXP(-LN(2)/25))/(LN(2)/25)*Calculateur!BL159*Calculateur!BN159*VLOOKUP('Données projet'!$B$11,Paramètres!$A$1:$I$89,3,0)*0.475*44/12</f>
        <v>4.683051737393682</v>
      </c>
      <c r="BR159" s="21">
        <f>EXP(-LN(2)/2)*BR158+(1-EXP(-LN(2)/2))/(LN(2)/2)*BL159*BO159*VLOOKUP('Données projet'!$B$11,Paramètres!$A$1:$I$89,3,0)*0.475*44/12</f>
        <v>4.7904412399888609E-13</v>
      </c>
      <c r="BS159" s="22">
        <f t="shared" si="169"/>
        <v>12.081451844727951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253.79640000000001</v>
      </c>
      <c r="CA159" s="13">
        <f t="shared" si="170"/>
        <v>61.39816832228076</v>
      </c>
      <c r="CB159" s="20">
        <f t="shared" si="171"/>
        <v>548.96387316130563</v>
      </c>
      <c r="CC159" s="59">
        <f t="shared" si="119"/>
        <v>842.29720649463889</v>
      </c>
      <c r="CD159" s="59">
        <f ca="1">AVERAGE(OFFSET($CC$3,0,0,'Données projet'!$E$12+1,1))-AVERAGE(OFFSET($H$3,0,0,'Données projet'!$E$12+1,1))</f>
        <v>353.37479213497227</v>
      </c>
      <c r="CE159" s="59">
        <f t="shared" si="148"/>
        <v>345.4750813433123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9.0802616493767765</v>
      </c>
      <c r="CL159" s="21">
        <f>EXP(-LN(2)/25)*CL158+(1-EXP(-LN(2)/25))/(LN(2)/25)*Calculateur!CG159*Calculateur!CI159*VLOOKUP('Données projet'!$B$12,Paramètres!$A$1:$I$89,3,0)*0.475*44/12</f>
        <v>0.31085089082234058</v>
      </c>
      <c r="CM159" s="21">
        <f>EXP(-LN(2)/2)*CM158+(1-EXP(-LN(2)/2))/(LN(2)/2)*CG159*CJ159*VLOOKUP('Données projet'!$B$12,Paramètres!$A$1:$I$89,3,0)*0.475*44/12</f>
        <v>2.2311482265706145E-12</v>
      </c>
      <c r="CN159" s="22">
        <f t="shared" si="172"/>
        <v>9.3911125402013482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277.99999999999994</v>
      </c>
      <c r="O160" s="13">
        <f>N160*VLOOKUP('Données projet'!$B$9,Paramètres!$A$1:$I$89,3,0)*VLOOKUP('Données projet'!$B$9,Paramètres!$A$1:$I$89,5,0)</f>
        <v>173.47199999999998</v>
      </c>
      <c r="P160" s="13">
        <f t="shared" si="141"/>
        <v>43.866718728383574</v>
      </c>
      <c r="Q160" s="20">
        <f t="shared" si="162"/>
        <v>378.53160178526804</v>
      </c>
      <c r="R160" s="59">
        <f t="shared" si="109"/>
        <v>671.86493511860135</v>
      </c>
      <c r="S160" s="59">
        <f ca="1">AVERAGE(OFFSET($R$3,0,0,'Données projet'!$E$9+1,1))-AVERAGE(OFFSET($H$3,0,0,'Données projet'!$E$9+1,1))</f>
        <v>232.56424130731699</v>
      </c>
      <c r="T160" s="59">
        <f t="shared" si="142"/>
        <v>384.58890620364178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2.5717832064598416</v>
      </c>
      <c r="AA160" s="21">
        <f>EXP(-LN(2)/25)*AA159+(1-EXP(-LN(2)/25))/(LN(2)/25)*Calculateur!V160*Calculateur!X160*VLOOKUP('Données projet'!$B$9,Paramètres!$A$1:$I$89,3,0)*0.475*44/12</f>
        <v>2.3618987703795638</v>
      </c>
      <c r="AB160" s="21">
        <f>EXP(-LN(2)/2)*AB159+(1-EXP(-LN(2)/2))/(LN(2)/2)*V160*Y160*VLOOKUP('Données projet'!$B$9,Paramètres!$A$1:$I$89,3,0)*0.475*44/12</f>
        <v>7.5777070932979543E-18</v>
      </c>
      <c r="AC160" s="22">
        <f t="shared" si="163"/>
        <v>4.9336819768394058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415.99999999999955</v>
      </c>
      <c r="AJ160" s="13">
        <f>AI160*VLOOKUP('Données projet'!$B$10,Paramètres!$A$1:$I$89,3,0)*VLOOKUP('Données projet'!$B$10,Paramètres!$A$1:$I$89,5,0)</f>
        <v>248.76799999999972</v>
      </c>
      <c r="AK160" s="13">
        <f t="shared" si="164"/>
        <v>60.32205079116369</v>
      </c>
      <c r="AL160" s="20">
        <f t="shared" si="165"/>
        <v>538.33183846127633</v>
      </c>
      <c r="AM160" s="59">
        <f t="shared" si="113"/>
        <v>831.66517179460971</v>
      </c>
      <c r="AN160" s="59">
        <f ca="1">AVERAGE(OFFSET($AM$3,0,0,'Données projet'!$E$10+1,1))-AVERAGE(OFFSET($H$3,0,0,'Données projet'!$E$10+1,1))</f>
        <v>279.39350157328471</v>
      </c>
      <c r="AO160" s="59">
        <f t="shared" si="144"/>
        <v>261.55559683031657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4.6270752023986734</v>
      </c>
      <c r="AV160" s="21">
        <f>EXP(-LN(2)/25)*AV159+(1-EXP(-LN(2)/25))/(LN(2)/25)*Calculateur!AQ160*Calculateur!AS160*VLOOKUP('Données projet'!$B$10,Paramètres!$A$1:$I$89,3,0)*0.475*44/12</f>
        <v>2.5099253059519455</v>
      </c>
      <c r="AW160" s="21">
        <f>EXP(-LN(2)/2)*AW159+(1-EXP(-LN(2)/2))/(LN(2)/2)*AQ160*AT160*VLOOKUP('Données projet'!$B$10,Paramètres!$A$1:$I$89,3,0)*0.475*44/12</f>
        <v>4.734537711695277E-14</v>
      </c>
      <c r="AX160" s="21">
        <f t="shared" si="166"/>
        <v>7.137000508350666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475.00000000000011</v>
      </c>
      <c r="BE160" s="13">
        <f>BD160*VLOOKUP('Données projet'!$B$11,Paramètres!$A$1:$I$89,3,0)*VLOOKUP('Données projet'!$B$11,Paramètres!$A$1:$I$89,5,0)</f>
        <v>265.52500000000009</v>
      </c>
      <c r="BF160" s="13">
        <f t="shared" si="167"/>
        <v>63.898639547235177</v>
      </c>
      <c r="BG160" s="20">
        <f t="shared" si="168"/>
        <v>573.74617221143478</v>
      </c>
      <c r="BH160" s="59">
        <f t="shared" si="116"/>
        <v>867.07950554476815</v>
      </c>
      <c r="BI160" s="59">
        <f ca="1">AVERAGE(OFFSET($BH$3,0,0,'Données projet'!$E$11+1,1))-AVERAGE(OFFSET($H$3,0,0,'Données projet'!$E$11+1,1))</f>
        <v>342.37397177572871</v>
      </c>
      <c r="BJ160" s="59">
        <f t="shared" si="146"/>
        <v>331.32436050472762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7.2533219938074591</v>
      </c>
      <c r="BQ160" s="21">
        <f>EXP(-LN(2)/25)*BQ159+(1-EXP(-LN(2)/25))/(LN(2)/25)*Calculateur!BL160*Calculateur!BN160*VLOOKUP('Données projet'!$B$11,Paramètres!$A$1:$I$89,3,0)*0.475*44/12</f>
        <v>4.5549934413636644</v>
      </c>
      <c r="BR160" s="21">
        <f>EXP(-LN(2)/2)*BR159+(1-EXP(-LN(2)/2))/(LN(2)/2)*BL160*BO160*VLOOKUP('Données projet'!$B$11,Paramètres!$A$1:$I$89,3,0)*0.475*44/12</f>
        <v>3.3873534856718168E-13</v>
      </c>
      <c r="BS160" s="22">
        <f t="shared" si="169"/>
        <v>11.808315435171464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253.79640000000001</v>
      </c>
      <c r="CA160" s="13">
        <f t="shared" si="170"/>
        <v>61.39816832228076</v>
      </c>
      <c r="CB160" s="20">
        <f t="shared" si="171"/>
        <v>548.96387316130563</v>
      </c>
      <c r="CC160" s="59">
        <f t="shared" si="119"/>
        <v>842.29720649463889</v>
      </c>
      <c r="CD160" s="59">
        <f ca="1">AVERAGE(OFFSET($CC$3,0,0,'Données projet'!$E$12+1,1))-AVERAGE(OFFSET($H$3,0,0,'Données projet'!$E$12+1,1))</f>
        <v>353.37479213497227</v>
      </c>
      <c r="CE160" s="59">
        <f t="shared" si="148"/>
        <v>345.4750813433123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8.9022032568452314</v>
      </c>
      <c r="CL160" s="21">
        <f>EXP(-LN(2)/25)*CL159+(1-EXP(-LN(2)/25))/(LN(2)/25)*Calculateur!CG160*Calculateur!CI160*VLOOKUP('Données projet'!$B$12,Paramètres!$A$1:$I$89,3,0)*0.475*44/12</f>
        <v>0.30235065686586576</v>
      </c>
      <c r="CM160" s="21">
        <f>EXP(-LN(2)/2)*CM159+(1-EXP(-LN(2)/2))/(LN(2)/2)*CG160*CJ160*VLOOKUP('Données projet'!$B$12,Paramètres!$A$1:$I$89,3,0)*0.475*44/12</f>
        <v>1.5776600408404211E-12</v>
      </c>
      <c r="CN160" s="22">
        <f t="shared" si="172"/>
        <v>9.2045539137126742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277.99999999999994</v>
      </c>
      <c r="O161" s="13">
        <f>N161*VLOOKUP('Données projet'!$B$9,Paramètres!$A$1:$I$89,3,0)*VLOOKUP('Données projet'!$B$9,Paramètres!$A$1:$I$89,5,0)</f>
        <v>173.47199999999998</v>
      </c>
      <c r="P161" s="13">
        <f t="shared" si="141"/>
        <v>43.866718728383574</v>
      </c>
      <c r="Q161" s="20">
        <f t="shared" si="162"/>
        <v>378.53160178526804</v>
      </c>
      <c r="R161" s="59">
        <f t="shared" si="109"/>
        <v>671.86493511860135</v>
      </c>
      <c r="S161" s="59">
        <f ca="1">AVERAGE(OFFSET($R$3,0,0,'Données projet'!$E$9+1,1))-AVERAGE(OFFSET($H$3,0,0,'Données projet'!$E$9+1,1))</f>
        <v>232.56424130731699</v>
      </c>
      <c r="T161" s="59">
        <f t="shared" si="142"/>
        <v>384.58890620364178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2.5213521064140303</v>
      </c>
      <c r="AA161" s="21">
        <f>EXP(-LN(2)/25)*AA160+(1-EXP(-LN(2)/25))/(LN(2)/25)*Calculateur!V161*Calculateur!X161*VLOOKUP('Données projet'!$B$9,Paramètres!$A$1:$I$89,3,0)*0.475*44/12</f>
        <v>2.2973125242966765</v>
      </c>
      <c r="AB161" s="21">
        <f>EXP(-LN(2)/2)*AB160+(1-EXP(-LN(2)/2))/(LN(2)/2)*V161*Y161*VLOOKUP('Données projet'!$B$9,Paramètres!$A$1:$I$89,3,0)*0.475*44/12</f>
        <v>5.3582480715163857E-18</v>
      </c>
      <c r="AC161" s="22">
        <f t="shared" si="163"/>
        <v>4.8186646307107068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415.99999999999955</v>
      </c>
      <c r="AJ161" s="13">
        <f>AI161*VLOOKUP('Données projet'!$B$10,Paramètres!$A$1:$I$89,3,0)*VLOOKUP('Données projet'!$B$10,Paramètres!$A$1:$I$89,5,0)</f>
        <v>248.76799999999972</v>
      </c>
      <c r="AK161" s="13">
        <f t="shared" si="164"/>
        <v>60.32205079116369</v>
      </c>
      <c r="AL161" s="20">
        <f t="shared" si="165"/>
        <v>538.33183846127633</v>
      </c>
      <c r="AM161" s="59">
        <f t="shared" si="113"/>
        <v>831.66517179460971</v>
      </c>
      <c r="AN161" s="59">
        <f ca="1">AVERAGE(OFFSET($AM$3,0,0,'Données projet'!$E$10+1,1))-AVERAGE(OFFSET($H$3,0,0,'Données projet'!$E$10+1,1))</f>
        <v>279.39350157328471</v>
      </c>
      <c r="AO161" s="59">
        <f t="shared" si="144"/>
        <v>261.55559683031657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4.536341079916836</v>
      </c>
      <c r="AV161" s="21">
        <f>EXP(-LN(2)/25)*AV160+(1-EXP(-LN(2)/25))/(LN(2)/25)*Calculateur!AQ161*Calculateur!AS161*VLOOKUP('Données projet'!$B$10,Paramètres!$A$1:$I$89,3,0)*0.475*44/12</f>
        <v>2.4412912664694542</v>
      </c>
      <c r="AW161" s="21">
        <f>EXP(-LN(2)/2)*AW160+(1-EXP(-LN(2)/2))/(LN(2)/2)*AQ161*AT161*VLOOKUP('Données projet'!$B$10,Paramètres!$A$1:$I$89,3,0)*0.475*44/12</f>
        <v>3.3478237217231696E-14</v>
      </c>
      <c r="AX161" s="21">
        <f t="shared" si="166"/>
        <v>6.9776323463863239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475.00000000000011</v>
      </c>
      <c r="BE161" s="13">
        <f>BD161*VLOOKUP('Données projet'!$B$11,Paramètres!$A$1:$I$89,3,0)*VLOOKUP('Données projet'!$B$11,Paramètres!$A$1:$I$89,5,0)</f>
        <v>265.52500000000009</v>
      </c>
      <c r="BF161" s="13">
        <f t="shared" si="167"/>
        <v>63.898639547235177</v>
      </c>
      <c r="BG161" s="20">
        <f t="shared" si="168"/>
        <v>573.74617221143478</v>
      </c>
      <c r="BH161" s="59">
        <f t="shared" si="116"/>
        <v>867.07950554476815</v>
      </c>
      <c r="BI161" s="59">
        <f ca="1">AVERAGE(OFFSET($BH$3,0,0,'Données projet'!$E$11+1,1))-AVERAGE(OFFSET($H$3,0,0,'Données projet'!$E$11+1,1))</f>
        <v>342.37397177572871</v>
      </c>
      <c r="BJ161" s="59">
        <f t="shared" si="146"/>
        <v>331.32436050472762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7.1110887735984685</v>
      </c>
      <c r="BQ161" s="21">
        <f>EXP(-LN(2)/25)*BQ160+(1-EXP(-LN(2)/25))/(LN(2)/25)*Calculateur!BL161*Calculateur!BN161*VLOOKUP('Données projet'!$B$11,Paramètres!$A$1:$I$89,3,0)*0.475*44/12</f>
        <v>4.4304369061728801</v>
      </c>
      <c r="BR161" s="21">
        <f>EXP(-LN(2)/2)*BR160+(1-EXP(-LN(2)/2))/(LN(2)/2)*BL161*BO161*VLOOKUP('Données projet'!$B$11,Paramètres!$A$1:$I$89,3,0)*0.475*44/12</f>
        <v>2.3952206199944304E-13</v>
      </c>
      <c r="BS161" s="22">
        <f t="shared" si="169"/>
        <v>11.541525679771588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253.79640000000001</v>
      </c>
      <c r="CA161" s="13">
        <f t="shared" si="170"/>
        <v>61.39816832228076</v>
      </c>
      <c r="CB161" s="20">
        <f t="shared" si="171"/>
        <v>548.96387316130563</v>
      </c>
      <c r="CC161" s="59">
        <f t="shared" si="119"/>
        <v>842.29720649463889</v>
      </c>
      <c r="CD161" s="59">
        <f ca="1">AVERAGE(OFFSET($CC$3,0,0,'Données projet'!$E$12+1,1))-AVERAGE(OFFSET($H$3,0,0,'Données projet'!$E$12+1,1))</f>
        <v>353.37479213497227</v>
      </c>
      <c r="CE161" s="59">
        <f t="shared" si="148"/>
        <v>345.4750813433123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8.7276364807863338</v>
      </c>
      <c r="CL161" s="21">
        <f>EXP(-LN(2)/25)*CL160+(1-EXP(-LN(2)/25))/(LN(2)/25)*Calculateur!CG161*Calculateur!CI161*VLOOKUP('Données projet'!$B$12,Paramètres!$A$1:$I$89,3,0)*0.475*44/12</f>
        <v>0.29408286225393865</v>
      </c>
      <c r="CM161" s="21">
        <f>EXP(-LN(2)/2)*CM160+(1-EXP(-LN(2)/2))/(LN(2)/2)*CG161*CJ161*VLOOKUP('Données projet'!$B$12,Paramètres!$A$1:$I$89,3,0)*0.475*44/12</f>
        <v>1.1155741132853072E-12</v>
      </c>
      <c r="CN161" s="22">
        <f t="shared" si="172"/>
        <v>9.0217193430413882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277.99999999999994</v>
      </c>
      <c r="O162" s="13">
        <f>N162*VLOOKUP('Données projet'!$B$9,Paramètres!$A$1:$I$89,3,0)*VLOOKUP('Données projet'!$B$9,Paramètres!$A$1:$I$89,5,0)</f>
        <v>173.47199999999998</v>
      </c>
      <c r="P162" s="13">
        <f t="shared" si="141"/>
        <v>43.866718728383574</v>
      </c>
      <c r="Q162" s="20">
        <f t="shared" si="162"/>
        <v>378.53160178526804</v>
      </c>
      <c r="R162" s="59">
        <f t="shared" si="109"/>
        <v>671.86493511860135</v>
      </c>
      <c r="S162" s="59">
        <f ca="1">AVERAGE(OFFSET($R$3,0,0,'Données projet'!$E$9+1,1))-AVERAGE(OFFSET($H$3,0,0,'Données projet'!$E$9+1,1))</f>
        <v>232.56424130731699</v>
      </c>
      <c r="T162" s="59">
        <f t="shared" si="142"/>
        <v>384.58890620364178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2.4719099294801836</v>
      </c>
      <c r="AA162" s="21">
        <f>EXP(-LN(2)/25)*AA161+(1-EXP(-LN(2)/25))/(LN(2)/25)*Calculateur!V162*Calculateur!X162*VLOOKUP('Données projet'!$B$9,Paramètres!$A$1:$I$89,3,0)*0.475*44/12</f>
        <v>2.2344923925093689</v>
      </c>
      <c r="AB162" s="21">
        <f>EXP(-LN(2)/2)*AB161+(1-EXP(-LN(2)/2))/(LN(2)/2)*V162*Y162*VLOOKUP('Données projet'!$B$9,Paramètres!$A$1:$I$89,3,0)*0.475*44/12</f>
        <v>3.7888535466489771E-18</v>
      </c>
      <c r="AC162" s="22">
        <f t="shared" si="163"/>
        <v>4.7064023219895521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415.99999999999955</v>
      </c>
      <c r="AJ162" s="13">
        <f>AI162*VLOOKUP('Données projet'!$B$10,Paramètres!$A$1:$I$89,3,0)*VLOOKUP('Données projet'!$B$10,Paramètres!$A$1:$I$89,5,0)</f>
        <v>248.76799999999972</v>
      </c>
      <c r="AK162" s="13">
        <f t="shared" si="164"/>
        <v>60.32205079116369</v>
      </c>
      <c r="AL162" s="20">
        <f t="shared" si="165"/>
        <v>538.33183846127633</v>
      </c>
      <c r="AM162" s="59">
        <f t="shared" si="113"/>
        <v>831.66517179460971</v>
      </c>
      <c r="AN162" s="59">
        <f ca="1">AVERAGE(OFFSET($AM$3,0,0,'Données projet'!$E$10+1,1))-AVERAGE(OFFSET($H$3,0,0,'Données projet'!$E$10+1,1))</f>
        <v>279.39350157328471</v>
      </c>
      <c r="AO162" s="59">
        <f t="shared" si="144"/>
        <v>261.55559683031657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4.4473861982345175</v>
      </c>
      <c r="AV162" s="21">
        <f>EXP(-LN(2)/25)*AV161+(1-EXP(-LN(2)/25))/(LN(2)/25)*Calculateur!AQ162*Calculateur!AS162*VLOOKUP('Données projet'!$B$10,Paramètres!$A$1:$I$89,3,0)*0.475*44/12</f>
        <v>2.3745340284059191</v>
      </c>
      <c r="AW162" s="21">
        <f>EXP(-LN(2)/2)*AW161+(1-EXP(-LN(2)/2))/(LN(2)/2)*AQ162*AT162*VLOOKUP('Données projet'!$B$10,Paramètres!$A$1:$I$89,3,0)*0.475*44/12</f>
        <v>2.3672688558476385E-14</v>
      </c>
      <c r="AX162" s="21">
        <f t="shared" si="166"/>
        <v>6.8219202266404606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475.00000000000011</v>
      </c>
      <c r="BE162" s="13">
        <f>BD162*VLOOKUP('Données projet'!$B$11,Paramètres!$A$1:$I$89,3,0)*VLOOKUP('Données projet'!$B$11,Paramètres!$A$1:$I$89,5,0)</f>
        <v>265.52500000000009</v>
      </c>
      <c r="BF162" s="13">
        <f t="shared" si="167"/>
        <v>63.898639547235177</v>
      </c>
      <c r="BG162" s="20">
        <f t="shared" si="168"/>
        <v>573.74617221143478</v>
      </c>
      <c r="BH162" s="59">
        <f t="shared" si="116"/>
        <v>867.07950554476815</v>
      </c>
      <c r="BI162" s="59">
        <f ca="1">AVERAGE(OFFSET($BH$3,0,0,'Données projet'!$E$11+1,1))-AVERAGE(OFFSET($H$3,0,0,'Données projet'!$E$11+1,1))</f>
        <v>342.37397177572871</v>
      </c>
      <c r="BJ162" s="59">
        <f t="shared" si="146"/>
        <v>331.32436050472762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6.9716446600840785</v>
      </c>
      <c r="BQ162" s="21">
        <f>EXP(-LN(2)/25)*BQ161+(1-EXP(-LN(2)/25))/(LN(2)/25)*Calculateur!BL162*Calculateur!BN162*VLOOKUP('Données projet'!$B$11,Paramètres!$A$1:$I$89,3,0)*0.475*44/12</f>
        <v>4.3092863759870319</v>
      </c>
      <c r="BR162" s="21">
        <f>EXP(-LN(2)/2)*BR161+(1-EXP(-LN(2)/2))/(LN(2)/2)*BL162*BO162*VLOOKUP('Données projet'!$B$11,Paramètres!$A$1:$I$89,3,0)*0.475*44/12</f>
        <v>1.6936767428359084E-13</v>
      </c>
      <c r="BS162" s="22">
        <f t="shared" si="169"/>
        <v>11.280931036071278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253.79640000000001</v>
      </c>
      <c r="CA162" s="13">
        <f t="shared" si="170"/>
        <v>61.39816832228076</v>
      </c>
      <c r="CB162" s="20">
        <f t="shared" si="171"/>
        <v>548.96387316130563</v>
      </c>
      <c r="CC162" s="59">
        <f t="shared" si="119"/>
        <v>842.29720649463889</v>
      </c>
      <c r="CD162" s="59">
        <f ca="1">AVERAGE(OFFSET($CC$3,0,0,'Données projet'!$E$12+1,1))-AVERAGE(OFFSET($H$3,0,0,'Données projet'!$E$12+1,1))</f>
        <v>353.37479213497227</v>
      </c>
      <c r="CE162" s="59">
        <f t="shared" si="148"/>
        <v>345.4750813433123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8.5564928527307309</v>
      </c>
      <c r="CL162" s="21">
        <f>EXP(-LN(2)/25)*CL161+(1-EXP(-LN(2)/25))/(LN(2)/25)*Calculateur!CG162*Calculateur!CI162*VLOOKUP('Données projet'!$B$12,Paramètres!$A$1:$I$89,3,0)*0.475*44/12</f>
        <v>0.28604115092045912</v>
      </c>
      <c r="CM162" s="21">
        <f>EXP(-LN(2)/2)*CM161+(1-EXP(-LN(2)/2))/(LN(2)/2)*CG162*CJ162*VLOOKUP('Données projet'!$B$12,Paramètres!$A$1:$I$89,3,0)*0.475*44/12</f>
        <v>7.8883002042021053E-13</v>
      </c>
      <c r="CN162" s="22">
        <f t="shared" si="172"/>
        <v>8.8425340036519788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277.99999999999994</v>
      </c>
      <c r="O163" s="13">
        <f>N163*VLOOKUP('Données projet'!$B$9,Paramètres!$A$1:$I$89,3,0)*VLOOKUP('Données projet'!$B$9,Paramètres!$A$1:$I$89,5,0)</f>
        <v>173.47199999999998</v>
      </c>
      <c r="P163" s="13">
        <f t="shared" si="141"/>
        <v>43.866718728383574</v>
      </c>
      <c r="Q163" s="20">
        <f t="shared" si="162"/>
        <v>378.53160178526804</v>
      </c>
      <c r="R163" s="59">
        <f t="shared" si="109"/>
        <v>671.86493511860135</v>
      </c>
      <c r="S163" s="59">
        <f ca="1">AVERAGE(OFFSET($R$3,0,0,'Données projet'!$E$9+1,1))-AVERAGE(OFFSET($H$3,0,0,'Données projet'!$E$9+1,1))</f>
        <v>232.56424130731699</v>
      </c>
      <c r="T163" s="59">
        <f t="shared" si="142"/>
        <v>384.58890620364178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2.4234372834792595</v>
      </c>
      <c r="AA163" s="21">
        <f>EXP(-LN(2)/25)*AA162+(1-EXP(-LN(2)/25))/(LN(2)/25)*Calculateur!V163*Calculateur!X163*VLOOKUP('Données projet'!$B$9,Paramètres!$A$1:$I$89,3,0)*0.475*44/12</f>
        <v>2.1733900805293525</v>
      </c>
      <c r="AB163" s="21">
        <f>EXP(-LN(2)/2)*AB162+(1-EXP(-LN(2)/2))/(LN(2)/2)*V163*Y163*VLOOKUP('Données projet'!$B$9,Paramètres!$A$1:$I$89,3,0)*0.475*44/12</f>
        <v>2.6791240357581929E-18</v>
      </c>
      <c r="AC163" s="22">
        <f t="shared" si="163"/>
        <v>4.5968273640086119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415.99999999999955</v>
      </c>
      <c r="AJ163" s="13">
        <f>AI163*VLOOKUP('Données projet'!$B$10,Paramètres!$A$1:$I$89,3,0)*VLOOKUP('Données projet'!$B$10,Paramètres!$A$1:$I$89,5,0)</f>
        <v>248.76799999999972</v>
      </c>
      <c r="AK163" s="13">
        <f t="shared" si="164"/>
        <v>60.32205079116369</v>
      </c>
      <c r="AL163" s="20">
        <f t="shared" si="165"/>
        <v>538.33183846127633</v>
      </c>
      <c r="AM163" s="59">
        <f t="shared" si="113"/>
        <v>831.66517179460971</v>
      </c>
      <c r="AN163" s="59">
        <f ca="1">AVERAGE(OFFSET($AM$3,0,0,'Données projet'!$E$10+1,1))-AVERAGE(OFFSET($H$3,0,0,'Données projet'!$E$10+1,1))</f>
        <v>279.39350157328471</v>
      </c>
      <c r="AO163" s="59">
        <f t="shared" si="144"/>
        <v>261.55559683031657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4.3601756675248691</v>
      </c>
      <c r="AV163" s="21">
        <f>EXP(-LN(2)/25)*AV162+(1-EXP(-LN(2)/25))/(LN(2)/25)*Calculateur!AQ163*Calculateur!AS163*VLOOKUP('Données projet'!$B$10,Paramètres!$A$1:$I$89,3,0)*0.475*44/12</f>
        <v>2.3096022705278418</v>
      </c>
      <c r="AW163" s="21">
        <f>EXP(-LN(2)/2)*AW162+(1-EXP(-LN(2)/2))/(LN(2)/2)*AQ163*AT163*VLOOKUP('Données projet'!$B$10,Paramètres!$A$1:$I$89,3,0)*0.475*44/12</f>
        <v>1.6739118608615848E-14</v>
      </c>
      <c r="AX163" s="21">
        <f t="shared" si="166"/>
        <v>6.6697779380527278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475.00000000000011</v>
      </c>
      <c r="BE163" s="13">
        <f>BD163*VLOOKUP('Données projet'!$B$11,Paramètres!$A$1:$I$89,3,0)*VLOOKUP('Données projet'!$B$11,Paramètres!$A$1:$I$89,5,0)</f>
        <v>265.52500000000009</v>
      </c>
      <c r="BF163" s="13">
        <f t="shared" si="167"/>
        <v>63.898639547235177</v>
      </c>
      <c r="BG163" s="20">
        <f t="shared" si="168"/>
        <v>573.74617221143478</v>
      </c>
      <c r="BH163" s="59">
        <f t="shared" si="116"/>
        <v>867.07950554476815</v>
      </c>
      <c r="BI163" s="59">
        <f ca="1">AVERAGE(OFFSET($BH$3,0,0,'Données projet'!$E$11+1,1))-AVERAGE(OFFSET($H$3,0,0,'Données projet'!$E$11+1,1))</f>
        <v>342.37397177572871</v>
      </c>
      <c r="BJ163" s="59">
        <f t="shared" si="146"/>
        <v>331.32436050472762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6.8349349605831939</v>
      </c>
      <c r="BQ163" s="21">
        <f>EXP(-LN(2)/25)*BQ162+(1-EXP(-LN(2)/25))/(LN(2)/25)*Calculateur!BL163*Calculateur!BN163*VLOOKUP('Données projet'!$B$11,Paramètres!$A$1:$I$89,3,0)*0.475*44/12</f>
        <v>4.1914487134201446</v>
      </c>
      <c r="BR163" s="21">
        <f>EXP(-LN(2)/2)*BR162+(1-EXP(-LN(2)/2))/(LN(2)/2)*BL163*BO163*VLOOKUP('Données projet'!$B$11,Paramètres!$A$1:$I$89,3,0)*0.475*44/12</f>
        <v>1.1976103099972152E-13</v>
      </c>
      <c r="BS163" s="22">
        <f t="shared" si="169"/>
        <v>11.026383674003457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253.79640000000001</v>
      </c>
      <c r="CA163" s="13">
        <f t="shared" si="170"/>
        <v>61.39816832228076</v>
      </c>
      <c r="CB163" s="20">
        <f t="shared" si="171"/>
        <v>548.96387316130563</v>
      </c>
      <c r="CC163" s="59">
        <f t="shared" si="119"/>
        <v>842.29720649463889</v>
      </c>
      <c r="CD163" s="59">
        <f ca="1">AVERAGE(OFFSET($CC$3,0,0,'Données projet'!$E$12+1,1))-AVERAGE(OFFSET($H$3,0,0,'Données projet'!$E$12+1,1))</f>
        <v>353.37479213497227</v>
      </c>
      <c r="CE163" s="59">
        <f t="shared" si="148"/>
        <v>345.4750813433123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8.3887052468339931</v>
      </c>
      <c r="CL163" s="21">
        <f>EXP(-LN(2)/25)*CL162+(1-EXP(-LN(2)/25))/(LN(2)/25)*Calculateur!CG163*Calculateur!CI163*VLOOKUP('Données projet'!$B$12,Paramètres!$A$1:$I$89,3,0)*0.475*44/12</f>
        <v>0.27821934060628878</v>
      </c>
      <c r="CM163" s="21">
        <f>EXP(-LN(2)/2)*CM162+(1-EXP(-LN(2)/2))/(LN(2)/2)*CG163*CJ163*VLOOKUP('Données projet'!$B$12,Paramètres!$A$1:$I$89,3,0)*0.475*44/12</f>
        <v>5.5778705664265362E-13</v>
      </c>
      <c r="CN163" s="22">
        <f t="shared" si="172"/>
        <v>8.6669245874408389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277.99999999999994</v>
      </c>
      <c r="O164" s="13">
        <f>N164*VLOOKUP('Données projet'!$B$9,Paramètres!$A$1:$I$89,3,0)*VLOOKUP('Données projet'!$B$9,Paramètres!$A$1:$I$89,5,0)</f>
        <v>173.47199999999998</v>
      </c>
      <c r="P164" s="13">
        <f t="shared" si="141"/>
        <v>43.866718728383574</v>
      </c>
      <c r="Q164" s="20">
        <f t="shared" si="162"/>
        <v>378.53160178526804</v>
      </c>
      <c r="R164" s="59">
        <f t="shared" si="109"/>
        <v>671.86493511860135</v>
      </c>
      <c r="S164" s="59">
        <f ca="1">AVERAGE(OFFSET($R$3,0,0,'Données projet'!$E$9+1,1))-AVERAGE(OFFSET($H$3,0,0,'Données projet'!$E$9+1,1))</f>
        <v>232.56424130731699</v>
      </c>
      <c r="T164" s="59">
        <f t="shared" si="142"/>
        <v>384.58890620364178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2.3759151565010188</v>
      </c>
      <c r="AA164" s="21">
        <f>EXP(-LN(2)/25)*AA163+(1-EXP(-LN(2)/25))/(LN(2)/25)*Calculateur!V164*Calculateur!X164*VLOOKUP('Données projet'!$B$9,Paramètres!$A$1:$I$89,3,0)*0.475*44/12</f>
        <v>2.1139586144836602</v>
      </c>
      <c r="AB164" s="21">
        <f>EXP(-LN(2)/2)*AB163+(1-EXP(-LN(2)/2))/(LN(2)/2)*V164*Y164*VLOOKUP('Données projet'!$B$9,Paramètres!$A$1:$I$89,3,0)*0.475*44/12</f>
        <v>1.8944267733244886E-18</v>
      </c>
      <c r="AC164" s="22">
        <f t="shared" si="163"/>
        <v>4.489873770984679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415.99999999999955</v>
      </c>
      <c r="AJ164" s="13">
        <f>AI164*VLOOKUP('Données projet'!$B$10,Paramètres!$A$1:$I$89,3,0)*VLOOKUP('Données projet'!$B$10,Paramètres!$A$1:$I$89,5,0)</f>
        <v>248.76799999999972</v>
      </c>
      <c r="AK164" s="13">
        <f t="shared" si="164"/>
        <v>60.32205079116369</v>
      </c>
      <c r="AL164" s="20">
        <f t="shared" si="165"/>
        <v>538.33183846127633</v>
      </c>
      <c r="AM164" s="59">
        <f t="shared" si="113"/>
        <v>831.66517179460971</v>
      </c>
      <c r="AN164" s="59">
        <f ca="1">AVERAGE(OFFSET($AM$3,0,0,'Données projet'!$E$10+1,1))-AVERAGE(OFFSET($H$3,0,0,'Données projet'!$E$10+1,1))</f>
        <v>279.39350157328471</v>
      </c>
      <c r="AO164" s="59">
        <f t="shared" si="144"/>
        <v>261.55559683031657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4.2746752821292651</v>
      </c>
      <c r="AV164" s="21">
        <f>EXP(-LN(2)/25)*AV163+(1-EXP(-LN(2)/25))/(LN(2)/25)*Calculateur!AQ164*Calculateur!AS164*VLOOKUP('Données projet'!$B$10,Paramètres!$A$1:$I$89,3,0)*0.475*44/12</f>
        <v>2.2464460749835533</v>
      </c>
      <c r="AW164" s="21">
        <f>EXP(-LN(2)/2)*AW163+(1-EXP(-LN(2)/2))/(LN(2)/2)*AQ164*AT164*VLOOKUP('Données projet'!$B$10,Paramètres!$A$1:$I$89,3,0)*0.475*44/12</f>
        <v>1.1836344279238192E-14</v>
      </c>
      <c r="AX164" s="21">
        <f t="shared" si="166"/>
        <v>6.5211213571128299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475.00000000000011</v>
      </c>
      <c r="BE164" s="13">
        <f>BD164*VLOOKUP('Données projet'!$B$11,Paramètres!$A$1:$I$89,3,0)*VLOOKUP('Données projet'!$B$11,Paramètres!$A$1:$I$89,5,0)</f>
        <v>265.52500000000009</v>
      </c>
      <c r="BF164" s="13">
        <f t="shared" si="167"/>
        <v>63.898639547235177</v>
      </c>
      <c r="BG164" s="20">
        <f t="shared" si="168"/>
        <v>573.74617221143478</v>
      </c>
      <c r="BH164" s="59">
        <f t="shared" si="116"/>
        <v>867.07950554476815</v>
      </c>
      <c r="BI164" s="59">
        <f ca="1">AVERAGE(OFFSET($BH$3,0,0,'Données projet'!$E$11+1,1))-AVERAGE(OFFSET($H$3,0,0,'Données projet'!$E$11+1,1))</f>
        <v>342.37397177572871</v>
      </c>
      <c r="BJ164" s="59">
        <f t="shared" si="146"/>
        <v>331.32436050472762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6.7009060549048387</v>
      </c>
      <c r="BQ164" s="21">
        <f>EXP(-LN(2)/25)*BQ163+(1-EXP(-LN(2)/25))/(LN(2)/25)*Calculateur!BL164*Calculateur!BN164*VLOOKUP('Données projet'!$B$11,Paramètres!$A$1:$I$89,3,0)*0.475*44/12</f>
        <v>4.0768333279329623</v>
      </c>
      <c r="BR164" s="21">
        <f>EXP(-LN(2)/2)*BR163+(1-EXP(-LN(2)/2))/(LN(2)/2)*BL164*BO164*VLOOKUP('Données projet'!$B$11,Paramètres!$A$1:$I$89,3,0)*0.475*44/12</f>
        <v>8.4683837141795421E-14</v>
      </c>
      <c r="BS164" s="22">
        <f t="shared" si="169"/>
        <v>10.777739382837886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253.79640000000001</v>
      </c>
      <c r="CA164" s="13">
        <f t="shared" si="170"/>
        <v>61.39816832228076</v>
      </c>
      <c r="CB164" s="20">
        <f t="shared" si="171"/>
        <v>548.96387316130563</v>
      </c>
      <c r="CC164" s="59">
        <f t="shared" si="119"/>
        <v>842.29720649463889</v>
      </c>
      <c r="CD164" s="59">
        <f ca="1">AVERAGE(OFFSET($CC$3,0,0,'Données projet'!$E$12+1,1))-AVERAGE(OFFSET($H$3,0,0,'Données projet'!$E$12+1,1))</f>
        <v>353.37479213497227</v>
      </c>
      <c r="CE164" s="59">
        <f t="shared" si="148"/>
        <v>345.4750813433123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8.2242078535485561</v>
      </c>
      <c r="CL164" s="21">
        <f>EXP(-LN(2)/25)*CL163+(1-EXP(-LN(2)/25))/(LN(2)/25)*Calculateur!CG164*Calculateur!CI164*VLOOKUP('Données projet'!$B$12,Paramètres!$A$1:$I$89,3,0)*0.475*44/12</f>
        <v>0.27061141810649059</v>
      </c>
      <c r="CM164" s="21">
        <f>EXP(-LN(2)/2)*CM163+(1-EXP(-LN(2)/2))/(LN(2)/2)*CG164*CJ164*VLOOKUP('Données projet'!$B$12,Paramètres!$A$1:$I$89,3,0)*0.475*44/12</f>
        <v>3.9441501021010527E-13</v>
      </c>
      <c r="CN164" s="22">
        <f t="shared" si="172"/>
        <v>8.4948192716554409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277.99999999999994</v>
      </c>
      <c r="O165" s="13">
        <f>N165*VLOOKUP('Données projet'!$B$9,Paramètres!$A$1:$I$89,3,0)*VLOOKUP('Données projet'!$B$9,Paramètres!$A$1:$I$89,5,0)</f>
        <v>173.47199999999998</v>
      </c>
      <c r="P165" s="13">
        <f t="shared" si="141"/>
        <v>43.866718728383574</v>
      </c>
      <c r="Q165" s="20">
        <f t="shared" si="162"/>
        <v>378.53160178526804</v>
      </c>
      <c r="R165" s="59">
        <f t="shared" si="109"/>
        <v>671.86493511860135</v>
      </c>
      <c r="S165" s="59">
        <f ca="1">AVERAGE(OFFSET($R$3,0,0,'Données projet'!$E$9+1,1))-AVERAGE(OFFSET($H$3,0,0,'Données projet'!$E$9+1,1))</f>
        <v>232.56424130731699</v>
      </c>
      <c r="T165" s="59">
        <f t="shared" si="142"/>
        <v>384.58890620364178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2.3293249094471862</v>
      </c>
      <c r="AA165" s="21">
        <f>EXP(-LN(2)/25)*AA164+(1-EXP(-LN(2)/25))/(LN(2)/25)*Calculateur!V165*Calculateur!X165*VLOOKUP('Données projet'!$B$9,Paramètres!$A$1:$I$89,3,0)*0.475*44/12</f>
        <v>2.0561523050023527</v>
      </c>
      <c r="AB165" s="21">
        <f>EXP(-LN(2)/2)*AB164+(1-EXP(-LN(2)/2))/(LN(2)/2)*V165*Y165*VLOOKUP('Données projet'!$B$9,Paramètres!$A$1:$I$89,3,0)*0.475*44/12</f>
        <v>1.3395620178790964E-18</v>
      </c>
      <c r="AC165" s="22">
        <f t="shared" si="163"/>
        <v>4.3854772144495389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415.99999999999955</v>
      </c>
      <c r="AJ165" s="13">
        <f>AI165*VLOOKUP('Données projet'!$B$10,Paramètres!$A$1:$I$89,3,0)*VLOOKUP('Données projet'!$B$10,Paramètres!$A$1:$I$89,5,0)</f>
        <v>248.76799999999972</v>
      </c>
      <c r="AK165" s="13">
        <f t="shared" si="164"/>
        <v>60.32205079116369</v>
      </c>
      <c r="AL165" s="20">
        <f t="shared" si="165"/>
        <v>538.33183846127633</v>
      </c>
      <c r="AM165" s="59">
        <f t="shared" si="113"/>
        <v>831.66517179460971</v>
      </c>
      <c r="AN165" s="59">
        <f ca="1">AVERAGE(OFFSET($AM$3,0,0,'Données projet'!$E$10+1,1))-AVERAGE(OFFSET($H$3,0,0,'Données projet'!$E$10+1,1))</f>
        <v>279.39350157328471</v>
      </c>
      <c r="AO165" s="59">
        <f t="shared" si="144"/>
        <v>261.55559683031657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4.1908515071411836</v>
      </c>
      <c r="AV165" s="21">
        <f>EXP(-LN(2)/25)*AV164+(1-EXP(-LN(2)/25))/(LN(2)/25)*Calculateur!AQ165*Calculateur!AS165*VLOOKUP('Données projet'!$B$10,Paramètres!$A$1:$I$89,3,0)*0.475*44/12</f>
        <v>2.1850168889276631</v>
      </c>
      <c r="AW165" s="21">
        <f>EXP(-LN(2)/2)*AW164+(1-EXP(-LN(2)/2))/(LN(2)/2)*AQ165*AT165*VLOOKUP('Données projet'!$B$10,Paramètres!$A$1:$I$89,3,0)*0.475*44/12</f>
        <v>8.369559304307924E-15</v>
      </c>
      <c r="AX165" s="21">
        <f t="shared" si="166"/>
        <v>6.3758683960688547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475.00000000000011</v>
      </c>
      <c r="BE165" s="13">
        <f>BD165*VLOOKUP('Données projet'!$B$11,Paramètres!$A$1:$I$89,3,0)*VLOOKUP('Données projet'!$B$11,Paramètres!$A$1:$I$89,5,0)</f>
        <v>265.52500000000009</v>
      </c>
      <c r="BF165" s="13">
        <f t="shared" si="167"/>
        <v>63.898639547235177</v>
      </c>
      <c r="BG165" s="20">
        <f t="shared" si="168"/>
        <v>573.74617221143478</v>
      </c>
      <c r="BH165" s="59">
        <f t="shared" si="116"/>
        <v>867.07950554476815</v>
      </c>
      <c r="BI165" s="59">
        <f ca="1">AVERAGE(OFFSET($BH$3,0,0,'Données projet'!$E$11+1,1))-AVERAGE(OFFSET($H$3,0,0,'Données projet'!$E$11+1,1))</f>
        <v>342.37397177572871</v>
      </c>
      <c r="BJ165" s="59">
        <f t="shared" si="146"/>
        <v>331.32436050472762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6.5695053743172762</v>
      </c>
      <c r="BQ165" s="21">
        <f>EXP(-LN(2)/25)*BQ164+(1-EXP(-LN(2)/25))/(LN(2)/25)*Calculateur!BL165*Calculateur!BN165*VLOOKUP('Données projet'!$B$11,Paramètres!$A$1:$I$89,3,0)*0.475*44/12</f>
        <v>3.9653521061892882</v>
      </c>
      <c r="BR165" s="21">
        <f>EXP(-LN(2)/2)*BR164+(1-EXP(-LN(2)/2))/(LN(2)/2)*BL165*BO165*VLOOKUP('Données projet'!$B$11,Paramètres!$A$1:$I$89,3,0)*0.475*44/12</f>
        <v>5.9880515499860761E-14</v>
      </c>
      <c r="BS165" s="22">
        <f t="shared" si="169"/>
        <v>10.534857480506625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253.79640000000001</v>
      </c>
      <c r="CA165" s="13">
        <f t="shared" si="170"/>
        <v>61.39816832228076</v>
      </c>
      <c r="CB165" s="20">
        <f t="shared" si="171"/>
        <v>548.96387316130563</v>
      </c>
      <c r="CC165" s="59">
        <f t="shared" si="119"/>
        <v>842.29720649463889</v>
      </c>
      <c r="CD165" s="59">
        <f ca="1">AVERAGE(OFFSET($CC$3,0,0,'Données projet'!$E$12+1,1))-AVERAGE(OFFSET($H$3,0,0,'Données projet'!$E$12+1,1))</f>
        <v>353.37479213497227</v>
      </c>
      <c r="CE165" s="59">
        <f t="shared" si="148"/>
        <v>345.4750813433123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8.0629361538119433</v>
      </c>
      <c r="CL165" s="21">
        <f>EXP(-LN(2)/25)*CL164+(1-EXP(-LN(2)/25))/(LN(2)/25)*Calculateur!CG165*Calculateur!CI165*VLOOKUP('Données projet'!$B$12,Paramètres!$A$1:$I$89,3,0)*0.475*44/12</f>
        <v>0.26321153464753261</v>
      </c>
      <c r="CM165" s="21">
        <f>EXP(-LN(2)/2)*CM164+(1-EXP(-LN(2)/2))/(LN(2)/2)*CG165*CJ165*VLOOKUP('Données projet'!$B$12,Paramètres!$A$1:$I$89,3,0)*0.475*44/12</f>
        <v>2.7889352832132681E-13</v>
      </c>
      <c r="CN165" s="22">
        <f t="shared" si="172"/>
        <v>8.3261476884597556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277.99999999999994</v>
      </c>
      <c r="O166" s="13">
        <f>N166*VLOOKUP('Données projet'!$B$9,Paramètres!$A$1:$I$89,3,0)*VLOOKUP('Données projet'!$B$9,Paramètres!$A$1:$I$89,5,0)</f>
        <v>173.47199999999998</v>
      </c>
      <c r="P166" s="13">
        <f t="shared" si="141"/>
        <v>43.866718728383574</v>
      </c>
      <c r="Q166" s="20">
        <f t="shared" si="162"/>
        <v>378.53160178526804</v>
      </c>
      <c r="R166" s="59">
        <f t="shared" si="109"/>
        <v>671.86493511860135</v>
      </c>
      <c r="S166" s="59">
        <f ca="1">AVERAGE(OFFSET($R$3,0,0,'Données projet'!$E$9+1,1))-AVERAGE(OFFSET($H$3,0,0,'Données projet'!$E$9+1,1))</f>
        <v>232.56424130731699</v>
      </c>
      <c r="T166" s="59">
        <f t="shared" si="142"/>
        <v>384.58890620364178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2.2836482687208344</v>
      </c>
      <c r="AA166" s="21">
        <f>EXP(-LN(2)/25)*AA165+(1-EXP(-LN(2)/25))/(LN(2)/25)*Calculateur!V166*Calculateur!X166*VLOOKUP('Données projet'!$B$9,Paramètres!$A$1:$I$89,3,0)*0.475*44/12</f>
        <v>1.999926712093713</v>
      </c>
      <c r="AB166" s="21">
        <f>EXP(-LN(2)/2)*AB165+(1-EXP(-LN(2)/2))/(LN(2)/2)*V166*Y166*VLOOKUP('Données projet'!$B$9,Paramètres!$A$1:$I$89,3,0)*0.475*44/12</f>
        <v>9.4721338666224429E-19</v>
      </c>
      <c r="AC166" s="22">
        <f t="shared" si="163"/>
        <v>4.2835749808145476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415.99999999999955</v>
      </c>
      <c r="AJ166" s="13">
        <f>AI166*VLOOKUP('Données projet'!$B$10,Paramètres!$A$1:$I$89,3,0)*VLOOKUP('Données projet'!$B$10,Paramètres!$A$1:$I$89,5,0)</f>
        <v>248.76799999999972</v>
      </c>
      <c r="AK166" s="13">
        <f t="shared" si="164"/>
        <v>60.32205079116369</v>
      </c>
      <c r="AL166" s="20">
        <f t="shared" si="165"/>
        <v>538.33183846127633</v>
      </c>
      <c r="AM166" s="59">
        <f t="shared" si="113"/>
        <v>831.66517179460971</v>
      </c>
      <c r="AN166" s="59">
        <f ca="1">AVERAGE(OFFSET($AM$3,0,0,'Données projet'!$E$10+1,1))-AVERAGE(OFFSET($H$3,0,0,'Données projet'!$E$10+1,1))</f>
        <v>279.39350157328471</v>
      </c>
      <c r="AO166" s="59">
        <f t="shared" si="144"/>
        <v>261.55559683031657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4.1086714652531642</v>
      </c>
      <c r="AV166" s="21">
        <f>EXP(-LN(2)/25)*AV165+(1-EXP(-LN(2)/25))/(LN(2)/25)*Calculateur!AQ166*Calculateur!AS166*VLOOKUP('Données projet'!$B$10,Paramètres!$A$1:$I$89,3,0)*0.475*44/12</f>
        <v>2.125267487194892</v>
      </c>
      <c r="AW166" s="21">
        <f>EXP(-LN(2)/2)*AW165+(1-EXP(-LN(2)/2))/(LN(2)/2)*AQ166*AT166*VLOOKUP('Données projet'!$B$10,Paramètres!$A$1:$I$89,3,0)*0.475*44/12</f>
        <v>5.9181721396190962E-15</v>
      </c>
      <c r="AX166" s="21">
        <f t="shared" si="166"/>
        <v>6.2339389524480628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475.00000000000011</v>
      </c>
      <c r="BE166" s="13">
        <f>BD166*VLOOKUP('Données projet'!$B$11,Paramètres!$A$1:$I$89,3,0)*VLOOKUP('Données projet'!$B$11,Paramètres!$A$1:$I$89,5,0)</f>
        <v>265.52500000000009</v>
      </c>
      <c r="BF166" s="13">
        <f t="shared" si="167"/>
        <v>63.898639547235177</v>
      </c>
      <c r="BG166" s="20">
        <f t="shared" si="168"/>
        <v>573.74617221143478</v>
      </c>
      <c r="BH166" s="59">
        <f t="shared" si="116"/>
        <v>867.07950554476815</v>
      </c>
      <c r="BI166" s="59">
        <f ca="1">AVERAGE(OFFSET($BH$3,0,0,'Données projet'!$E$11+1,1))-AVERAGE(OFFSET($H$3,0,0,'Données projet'!$E$11+1,1))</f>
        <v>342.37397177572871</v>
      </c>
      <c r="BJ166" s="59">
        <f t="shared" si="146"/>
        <v>331.32436050472762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6.4406813809295338</v>
      </c>
      <c r="BQ166" s="21">
        <f>EXP(-LN(2)/25)*BQ165+(1-EXP(-LN(2)/25))/(LN(2)/25)*Calculateur!BL166*Calculateur!BN166*VLOOKUP('Données projet'!$B$11,Paramètres!$A$1:$I$89,3,0)*0.475*44/12</f>
        <v>3.8569193443167378</v>
      </c>
      <c r="BR166" s="21">
        <f>EXP(-LN(2)/2)*BR165+(1-EXP(-LN(2)/2))/(LN(2)/2)*BL166*BO166*VLOOKUP('Données projet'!$B$11,Paramètres!$A$1:$I$89,3,0)*0.475*44/12</f>
        <v>4.2341918570897711E-14</v>
      </c>
      <c r="BS166" s="22">
        <f t="shared" si="169"/>
        <v>10.297600725246314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253.79640000000001</v>
      </c>
      <c r="CA166" s="13">
        <f t="shared" si="170"/>
        <v>61.39816832228076</v>
      </c>
      <c r="CB166" s="20">
        <f t="shared" si="171"/>
        <v>548.96387316130563</v>
      </c>
      <c r="CC166" s="59">
        <f t="shared" si="119"/>
        <v>842.29720649463889</v>
      </c>
      <c r="CD166" s="59">
        <f ca="1">AVERAGE(OFFSET($CC$3,0,0,'Données projet'!$E$12+1,1))-AVERAGE(OFFSET($H$3,0,0,'Données projet'!$E$12+1,1))</f>
        <v>353.37479213497227</v>
      </c>
      <c r="CE166" s="59">
        <f t="shared" si="148"/>
        <v>345.4750813433123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7.9048268937411423</v>
      </c>
      <c r="CL166" s="21">
        <f>EXP(-LN(2)/25)*CL165+(1-EXP(-LN(2)/25))/(LN(2)/25)*Calculateur!CG166*Calculateur!CI166*VLOOKUP('Données projet'!$B$12,Paramètres!$A$1:$I$89,3,0)*0.475*44/12</f>
        <v>0.2560140013909028</v>
      </c>
      <c r="CM166" s="21">
        <f>EXP(-LN(2)/2)*CM165+(1-EXP(-LN(2)/2))/(LN(2)/2)*CG166*CJ166*VLOOKUP('Données projet'!$B$12,Paramètres!$A$1:$I$89,3,0)*0.475*44/12</f>
        <v>1.9720750510505263E-13</v>
      </c>
      <c r="CN166" s="22">
        <f t="shared" si="172"/>
        <v>8.1608408951322424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277.99999999999994</v>
      </c>
      <c r="O167" s="13">
        <f>N167*VLOOKUP('Données projet'!$B$9,Paramètres!$A$1:$I$89,3,0)*VLOOKUP('Données projet'!$B$9,Paramètres!$A$1:$I$89,5,0)</f>
        <v>173.47199999999998</v>
      </c>
      <c r="P167" s="13">
        <f t="shared" si="141"/>
        <v>43.866718728383574</v>
      </c>
      <c r="Q167" s="20">
        <f t="shared" si="162"/>
        <v>378.53160178526804</v>
      </c>
      <c r="R167" s="59">
        <f t="shared" si="109"/>
        <v>671.86493511860135</v>
      </c>
      <c r="S167" s="59">
        <f ca="1">AVERAGE(OFFSET($R$3,0,0,'Données projet'!$E$9+1,1))-AVERAGE(OFFSET($H$3,0,0,'Données projet'!$E$9+1,1))</f>
        <v>232.56424130731699</v>
      </c>
      <c r="T167" s="59">
        <f t="shared" si="142"/>
        <v>384.58890620364178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2.2388673190591266</v>
      </c>
      <c r="AA167" s="21">
        <f>EXP(-LN(2)/25)*AA166+(1-EXP(-LN(2)/25))/(LN(2)/25)*Calculateur!V167*Calculateur!X167*VLOOKUP('Données projet'!$B$9,Paramètres!$A$1:$I$89,3,0)*0.475*44/12</f>
        <v>1.9452386109799356</v>
      </c>
      <c r="AB167" s="21">
        <f>EXP(-LN(2)/2)*AB166+(1-EXP(-LN(2)/2))/(LN(2)/2)*V167*Y167*VLOOKUP('Données projet'!$B$9,Paramètres!$A$1:$I$89,3,0)*0.475*44/12</f>
        <v>6.6978100893954822E-19</v>
      </c>
      <c r="AC167" s="22">
        <f t="shared" si="163"/>
        <v>4.1841059300390624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415.99999999999955</v>
      </c>
      <c r="AJ167" s="13">
        <f>AI167*VLOOKUP('Données projet'!$B$10,Paramètres!$A$1:$I$89,3,0)*VLOOKUP('Données projet'!$B$10,Paramètres!$A$1:$I$89,5,0)</f>
        <v>248.76799999999972</v>
      </c>
      <c r="AK167" s="13">
        <f t="shared" si="164"/>
        <v>60.32205079116369</v>
      </c>
      <c r="AL167" s="20">
        <f t="shared" si="165"/>
        <v>538.33183846127633</v>
      </c>
      <c r="AM167" s="59">
        <f t="shared" si="113"/>
        <v>831.66517179460971</v>
      </c>
      <c r="AN167" s="59">
        <f ca="1">AVERAGE(OFFSET($AM$3,0,0,'Données projet'!$E$10+1,1))-AVERAGE(OFFSET($H$3,0,0,'Données projet'!$E$10+1,1))</f>
        <v>279.39350157328471</v>
      </c>
      <c r="AO167" s="59">
        <f t="shared" si="144"/>
        <v>261.55559683031657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4.0281029238616926</v>
      </c>
      <c r="AV167" s="21">
        <f>EXP(-LN(2)/25)*AV166+(1-EXP(-LN(2)/25))/(LN(2)/25)*Calculateur!AQ167*Calculateur!AS167*VLOOKUP('Données projet'!$B$10,Paramètres!$A$1:$I$89,3,0)*0.475*44/12</f>
        <v>2.067151935994588</v>
      </c>
      <c r="AW167" s="21">
        <f>EXP(-LN(2)/2)*AW166+(1-EXP(-LN(2)/2))/(LN(2)/2)*AQ167*AT167*VLOOKUP('Données projet'!$B$10,Paramètres!$A$1:$I$89,3,0)*0.475*44/12</f>
        <v>4.184779652153962E-15</v>
      </c>
      <c r="AX167" s="21">
        <f t="shared" si="166"/>
        <v>6.0952548598562855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475.00000000000011</v>
      </c>
      <c r="BE167" s="13">
        <f>BD167*VLOOKUP('Données projet'!$B$11,Paramètres!$A$1:$I$89,3,0)*VLOOKUP('Données projet'!$B$11,Paramètres!$A$1:$I$89,5,0)</f>
        <v>265.52500000000009</v>
      </c>
      <c r="BF167" s="13">
        <f t="shared" si="167"/>
        <v>63.898639547235177</v>
      </c>
      <c r="BG167" s="20">
        <f t="shared" si="168"/>
        <v>573.74617221143478</v>
      </c>
      <c r="BH167" s="59">
        <f t="shared" si="116"/>
        <v>867.07950554476815</v>
      </c>
      <c r="BI167" s="59">
        <f ca="1">AVERAGE(OFFSET($BH$3,0,0,'Données projet'!$E$11+1,1))-AVERAGE(OFFSET($H$3,0,0,'Données projet'!$E$11+1,1))</f>
        <v>342.37397177572871</v>
      </c>
      <c r="BJ167" s="59">
        <f t="shared" si="146"/>
        <v>331.32436050472762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6.3143835474772478</v>
      </c>
      <c r="BQ167" s="21">
        <f>EXP(-LN(2)/25)*BQ166+(1-EXP(-LN(2)/25))/(LN(2)/25)*Calculateur!BL167*Calculateur!BN167*VLOOKUP('Données projet'!$B$11,Paramètres!$A$1:$I$89,3,0)*0.475*44/12</f>
        <v>3.7514516820198232</v>
      </c>
      <c r="BR167" s="21">
        <f>EXP(-LN(2)/2)*BR166+(1-EXP(-LN(2)/2))/(LN(2)/2)*BL167*BO167*VLOOKUP('Données projet'!$B$11,Paramètres!$A$1:$I$89,3,0)*0.475*44/12</f>
        <v>2.9940257749930381E-14</v>
      </c>
      <c r="BS167" s="22">
        <f t="shared" si="169"/>
        <v>10.065835229497102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253.79640000000001</v>
      </c>
      <c r="CA167" s="13">
        <f t="shared" si="170"/>
        <v>61.39816832228076</v>
      </c>
      <c r="CB167" s="20">
        <f t="shared" si="171"/>
        <v>548.96387316130563</v>
      </c>
      <c r="CC167" s="59">
        <f t="shared" si="119"/>
        <v>842.29720649463889</v>
      </c>
      <c r="CD167" s="59">
        <f ca="1">AVERAGE(OFFSET($CC$3,0,0,'Données projet'!$E$12+1,1))-AVERAGE(OFFSET($H$3,0,0,'Données projet'!$E$12+1,1))</f>
        <v>353.37479213497227</v>
      </c>
      <c r="CE167" s="59">
        <f t="shared" si="148"/>
        <v>345.4750813433123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7.7498180598232036</v>
      </c>
      <c r="CL167" s="21">
        <f>EXP(-LN(2)/25)*CL166+(1-EXP(-LN(2)/25))/(LN(2)/25)*Calculateur!CG167*Calculateur!CI167*VLOOKUP('Données projet'!$B$12,Paramètres!$A$1:$I$89,3,0)*0.475*44/12</f>
        <v>0.24901328505967735</v>
      </c>
      <c r="CM167" s="21">
        <f>EXP(-LN(2)/2)*CM166+(1-EXP(-LN(2)/2))/(LN(2)/2)*CG167*CJ167*VLOOKUP('Données projet'!$B$12,Paramètres!$A$1:$I$89,3,0)*0.475*44/12</f>
        <v>1.394467641606634E-13</v>
      </c>
      <c r="CN167" s="22">
        <f t="shared" si="172"/>
        <v>7.9988313448830199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277.99999999999994</v>
      </c>
      <c r="O168" s="13">
        <f>N168*VLOOKUP('Données projet'!$B$9,Paramètres!$A$1:$I$89,3,0)*VLOOKUP('Données projet'!$B$9,Paramètres!$A$1:$I$89,5,0)</f>
        <v>173.47199999999998</v>
      </c>
      <c r="P168" s="13">
        <f t="shared" si="141"/>
        <v>43.866718728383574</v>
      </c>
      <c r="Q168" s="20">
        <f t="shared" si="162"/>
        <v>378.53160178526804</v>
      </c>
      <c r="R168" s="59">
        <f t="shared" si="109"/>
        <v>671.86493511860135</v>
      </c>
      <c r="S168" s="59">
        <f ca="1">AVERAGE(OFFSET($R$3,0,0,'Données projet'!$E$9+1,1))-AVERAGE(OFFSET($H$3,0,0,'Données projet'!$E$9+1,1))</f>
        <v>232.56424130731699</v>
      </c>
      <c r="T168" s="59">
        <f t="shared" si="142"/>
        <v>384.58890620364178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2.1949644965066026</v>
      </c>
      <c r="AA168" s="21">
        <f>EXP(-LN(2)/25)*AA167+(1-EXP(-LN(2)/25))/(LN(2)/25)*Calculateur!V168*Calculateur!X168*VLOOKUP('Données projet'!$B$9,Paramètres!$A$1:$I$89,3,0)*0.475*44/12</f>
        <v>1.8920459588670366</v>
      </c>
      <c r="AB168" s="21">
        <f>EXP(-LN(2)/2)*AB167+(1-EXP(-LN(2)/2))/(LN(2)/2)*V168*Y168*VLOOKUP('Données projet'!$B$9,Paramètres!$A$1:$I$89,3,0)*0.475*44/12</f>
        <v>4.7360669333112214E-19</v>
      </c>
      <c r="AC168" s="22">
        <f t="shared" si="163"/>
        <v>4.0870104553736395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415.99999999999955</v>
      </c>
      <c r="AJ168" s="13">
        <f>AI168*VLOOKUP('Données projet'!$B$10,Paramètres!$A$1:$I$89,3,0)*VLOOKUP('Données projet'!$B$10,Paramètres!$A$1:$I$89,5,0)</f>
        <v>248.76799999999972</v>
      </c>
      <c r="AK168" s="13">
        <f t="shared" si="164"/>
        <v>60.32205079116369</v>
      </c>
      <c r="AL168" s="20">
        <f t="shared" si="165"/>
        <v>538.33183846127633</v>
      </c>
      <c r="AM168" s="59">
        <f t="shared" si="113"/>
        <v>831.66517179460971</v>
      </c>
      <c r="AN168" s="59">
        <f ca="1">AVERAGE(OFFSET($AM$3,0,0,'Données projet'!$E$10+1,1))-AVERAGE(OFFSET($H$3,0,0,'Données projet'!$E$10+1,1))</f>
        <v>279.39350157328471</v>
      </c>
      <c r="AO168" s="59">
        <f t="shared" si="144"/>
        <v>261.55559683031657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3.9491142824249494</v>
      </c>
      <c r="AV168" s="21">
        <f>EXP(-LN(2)/25)*AV167+(1-EXP(-LN(2)/25))/(LN(2)/25)*Calculateur!AQ168*Calculateur!AS168*VLOOKUP('Données projet'!$B$10,Paramètres!$A$1:$I$89,3,0)*0.475*44/12</f>
        <v>2.0106255575980203</v>
      </c>
      <c r="AW168" s="21">
        <f>EXP(-LN(2)/2)*AW167+(1-EXP(-LN(2)/2))/(LN(2)/2)*AQ168*AT168*VLOOKUP('Données projet'!$B$10,Paramètres!$A$1:$I$89,3,0)*0.475*44/12</f>
        <v>2.9590860698095481E-15</v>
      </c>
      <c r="AX168" s="21">
        <f t="shared" si="166"/>
        <v>5.959739840022972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475.00000000000011</v>
      </c>
      <c r="BE168" s="13">
        <f>BD168*VLOOKUP('Données projet'!$B$11,Paramètres!$A$1:$I$89,3,0)*VLOOKUP('Données projet'!$B$11,Paramètres!$A$1:$I$89,5,0)</f>
        <v>265.52500000000009</v>
      </c>
      <c r="BF168" s="13">
        <f t="shared" si="167"/>
        <v>63.898639547235177</v>
      </c>
      <c r="BG168" s="20">
        <f t="shared" si="168"/>
        <v>573.74617221143478</v>
      </c>
      <c r="BH168" s="59">
        <f t="shared" si="116"/>
        <v>867.07950554476815</v>
      </c>
      <c r="BI168" s="59">
        <f ca="1">AVERAGE(OFFSET($BH$3,0,0,'Données projet'!$E$11+1,1))-AVERAGE(OFFSET($H$3,0,0,'Données projet'!$E$11+1,1))</f>
        <v>342.37397177572871</v>
      </c>
      <c r="BJ168" s="59">
        <f t="shared" si="146"/>
        <v>331.32436050472762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6.1905623375048897</v>
      </c>
      <c r="BQ168" s="21">
        <f>EXP(-LN(2)/25)*BQ167+(1-EXP(-LN(2)/25))/(LN(2)/25)*Calculateur!BL168*Calculateur!BN168*VLOOKUP('Données projet'!$B$11,Paramètres!$A$1:$I$89,3,0)*0.475*44/12</f>
        <v>3.6488680384947214</v>
      </c>
      <c r="BR168" s="21">
        <f>EXP(-LN(2)/2)*BR167+(1-EXP(-LN(2)/2))/(LN(2)/2)*BL168*BO168*VLOOKUP('Données projet'!$B$11,Paramètres!$A$1:$I$89,3,0)*0.475*44/12</f>
        <v>2.1170959285448855E-14</v>
      </c>
      <c r="BS168" s="22">
        <f t="shared" si="169"/>
        <v>9.8394303759996333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253.79640000000001</v>
      </c>
      <c r="CA168" s="13">
        <f t="shared" si="170"/>
        <v>61.39816832228076</v>
      </c>
      <c r="CB168" s="20">
        <f t="shared" si="171"/>
        <v>548.96387316130563</v>
      </c>
      <c r="CC168" s="59">
        <f t="shared" si="119"/>
        <v>842.29720649463889</v>
      </c>
      <c r="CD168" s="59">
        <f ca="1">AVERAGE(OFFSET($CC$3,0,0,'Données projet'!$E$12+1,1))-AVERAGE(OFFSET($H$3,0,0,'Données projet'!$E$12+1,1))</f>
        <v>353.37479213497227</v>
      </c>
      <c r="CE168" s="59">
        <f t="shared" si="148"/>
        <v>345.4750813433123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7.5978488545923426</v>
      </c>
      <c r="CL168" s="21">
        <f>EXP(-LN(2)/25)*CL167+(1-EXP(-LN(2)/25))/(LN(2)/25)*Calculateur!CG168*Calculateur!CI168*VLOOKUP('Données projet'!$B$12,Paramètres!$A$1:$I$89,3,0)*0.475*44/12</f>
        <v>0.24220400368468092</v>
      </c>
      <c r="CM168" s="21">
        <f>EXP(-LN(2)/2)*CM167+(1-EXP(-LN(2)/2))/(LN(2)/2)*CG168*CJ168*VLOOKUP('Données projet'!$B$12,Paramètres!$A$1:$I$89,3,0)*0.475*44/12</f>
        <v>9.8603752552526316E-14</v>
      </c>
      <c r="CN168" s="22">
        <f t="shared" si="172"/>
        <v>7.8400528582771223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277.99999999999994</v>
      </c>
      <c r="O169" s="13">
        <f>N169*VLOOKUP('Données projet'!$B$9,Paramètres!$A$1:$I$89,3,0)*VLOOKUP('Données projet'!$B$9,Paramètres!$A$1:$I$89,5,0)</f>
        <v>173.47199999999998</v>
      </c>
      <c r="P169" s="13">
        <f t="shared" si="141"/>
        <v>43.866718728383574</v>
      </c>
      <c r="Q169" s="20">
        <f t="shared" si="162"/>
        <v>378.53160178526804</v>
      </c>
      <c r="R169" s="59">
        <f t="shared" si="109"/>
        <v>671.86493511860135</v>
      </c>
      <c r="S169" s="59">
        <f ca="1">AVERAGE(OFFSET($R$3,0,0,'Données projet'!$E$9+1,1))-AVERAGE(OFFSET($H$3,0,0,'Données projet'!$E$9+1,1))</f>
        <v>232.56424130731699</v>
      </c>
      <c r="T169" s="59">
        <f t="shared" si="142"/>
        <v>384.58890620364178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2.1519225815262559</v>
      </c>
      <c r="AA169" s="21">
        <f>EXP(-LN(2)/25)*AA168+(1-EXP(-LN(2)/25))/(LN(2)/25)*Calculateur!V169*Calculateur!X169*VLOOKUP('Données projet'!$B$9,Paramètres!$A$1:$I$89,3,0)*0.475*44/12</f>
        <v>1.8403078626234448</v>
      </c>
      <c r="AB169" s="21">
        <f>EXP(-LN(2)/2)*AB168+(1-EXP(-LN(2)/2))/(LN(2)/2)*V169*Y169*VLOOKUP('Données projet'!$B$9,Paramètres!$A$1:$I$89,3,0)*0.475*44/12</f>
        <v>3.3489050446977411E-19</v>
      </c>
      <c r="AC169" s="22">
        <f t="shared" si="163"/>
        <v>3.9922304441497007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415.99999999999955</v>
      </c>
      <c r="AJ169" s="13">
        <f>AI169*VLOOKUP('Données projet'!$B$10,Paramètres!$A$1:$I$89,3,0)*VLOOKUP('Données projet'!$B$10,Paramètres!$A$1:$I$89,5,0)</f>
        <v>248.76799999999972</v>
      </c>
      <c r="AK169" s="13">
        <f t="shared" si="164"/>
        <v>60.32205079116369</v>
      </c>
      <c r="AL169" s="20">
        <f t="shared" si="165"/>
        <v>538.33183846127633</v>
      </c>
      <c r="AM169" s="59">
        <f t="shared" si="113"/>
        <v>831.66517179460971</v>
      </c>
      <c r="AN169" s="59">
        <f ca="1">AVERAGE(OFFSET($AM$3,0,0,'Données projet'!$E$10+1,1))-AVERAGE(OFFSET($H$3,0,0,'Données projet'!$E$10+1,1))</f>
        <v>279.39350157328471</v>
      </c>
      <c r="AO169" s="59">
        <f t="shared" si="144"/>
        <v>261.55559683031657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3.8716745600684668</v>
      </c>
      <c r="AV169" s="21">
        <f>EXP(-LN(2)/25)*AV168+(1-EXP(-LN(2)/25))/(LN(2)/25)*Calculateur!AQ169*Calculateur!AS169*VLOOKUP('Données projet'!$B$10,Paramètres!$A$1:$I$89,3,0)*0.475*44/12</f>
        <v>1.9556448959912998</v>
      </c>
      <c r="AW169" s="21">
        <f>EXP(-LN(2)/2)*AW168+(1-EXP(-LN(2)/2))/(LN(2)/2)*AQ169*AT169*VLOOKUP('Données projet'!$B$10,Paramètres!$A$1:$I$89,3,0)*0.475*44/12</f>
        <v>2.092389826076981E-15</v>
      </c>
      <c r="AX169" s="21">
        <f t="shared" si="166"/>
        <v>5.8273194560597688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475.00000000000011</v>
      </c>
      <c r="BE169" s="13">
        <f>BD169*VLOOKUP('Données projet'!$B$11,Paramètres!$A$1:$I$89,3,0)*VLOOKUP('Données projet'!$B$11,Paramètres!$A$1:$I$89,5,0)</f>
        <v>265.52500000000009</v>
      </c>
      <c r="BF169" s="13">
        <f t="shared" si="167"/>
        <v>63.898639547235177</v>
      </c>
      <c r="BG169" s="20">
        <f t="shared" si="168"/>
        <v>573.74617221143478</v>
      </c>
      <c r="BH169" s="59">
        <f t="shared" si="116"/>
        <v>867.07950554476815</v>
      </c>
      <c r="BI169" s="59">
        <f ca="1">AVERAGE(OFFSET($BH$3,0,0,'Données projet'!$E$11+1,1))-AVERAGE(OFFSET($H$3,0,0,'Données projet'!$E$11+1,1))</f>
        <v>342.37397177572871</v>
      </c>
      <c r="BJ169" s="59">
        <f t="shared" si="146"/>
        <v>331.32436050472762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6.0691691859366088</v>
      </c>
      <c r="BQ169" s="21">
        <f>EXP(-LN(2)/25)*BQ168+(1-EXP(-LN(2)/25))/(LN(2)/25)*Calculateur!BL169*Calculateur!BN169*VLOOKUP('Données projet'!$B$11,Paramètres!$A$1:$I$89,3,0)*0.475*44/12</f>
        <v>3.5490895500964528</v>
      </c>
      <c r="BR169" s="21">
        <f>EXP(-LN(2)/2)*BR168+(1-EXP(-LN(2)/2))/(LN(2)/2)*BL169*BO169*VLOOKUP('Données projet'!$B$11,Paramètres!$A$1:$I$89,3,0)*0.475*44/12</f>
        <v>1.497012887496519E-14</v>
      </c>
      <c r="BS169" s="22">
        <f t="shared" si="169"/>
        <v>9.6182587360330754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253.79640000000001</v>
      </c>
      <c r="CA169" s="13">
        <f t="shared" si="170"/>
        <v>61.39816832228076</v>
      </c>
      <c r="CB169" s="20">
        <f t="shared" si="171"/>
        <v>548.96387316130563</v>
      </c>
      <c r="CC169" s="59">
        <f t="shared" si="119"/>
        <v>842.29720649463889</v>
      </c>
      <c r="CD169" s="59">
        <f ca="1">AVERAGE(OFFSET($CC$3,0,0,'Données projet'!$E$12+1,1))-AVERAGE(OFFSET($H$3,0,0,'Données projet'!$E$12+1,1))</f>
        <v>353.37479213497227</v>
      </c>
      <c r="CE169" s="59">
        <f t="shared" si="148"/>
        <v>345.4750813433123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7.4488596727839962</v>
      </c>
      <c r="CL169" s="21">
        <f>EXP(-LN(2)/25)*CL168+(1-EXP(-LN(2)/25))/(LN(2)/25)*Calculateur!CG169*Calculateur!CI169*VLOOKUP('Données projet'!$B$12,Paramètres!$A$1:$I$89,3,0)*0.475*44/12</f>
        <v>0.23558092246696832</v>
      </c>
      <c r="CM169" s="21">
        <f>EXP(-LN(2)/2)*CM168+(1-EXP(-LN(2)/2))/(LN(2)/2)*CG169*CJ169*VLOOKUP('Données projet'!$B$12,Paramètres!$A$1:$I$89,3,0)*0.475*44/12</f>
        <v>6.9723382080331702E-14</v>
      </c>
      <c r="CN169" s="22">
        <f t="shared" si="172"/>
        <v>7.6844405952510346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277.99999999999994</v>
      </c>
      <c r="O170" s="13">
        <f>N170*VLOOKUP('Données projet'!$B$9,Paramètres!$A$1:$I$89,3,0)*VLOOKUP('Données projet'!$B$9,Paramètres!$A$1:$I$89,5,0)</f>
        <v>173.47199999999998</v>
      </c>
      <c r="P170" s="13">
        <f t="shared" si="141"/>
        <v>43.866718728383574</v>
      </c>
      <c r="Q170" s="20">
        <f t="shared" si="162"/>
        <v>378.53160178526804</v>
      </c>
      <c r="R170" s="59">
        <f t="shared" si="109"/>
        <v>671.86493511860135</v>
      </c>
      <c r="S170" s="59">
        <f ca="1">AVERAGE(OFFSET($R$3,0,0,'Données projet'!$E$9+1,1))-AVERAGE(OFFSET($H$3,0,0,'Données projet'!$E$9+1,1))</f>
        <v>232.56424130731699</v>
      </c>
      <c r="T170" s="59">
        <f t="shared" si="142"/>
        <v>384.58890620364178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2.109724692245698</v>
      </c>
      <c r="AA170" s="21">
        <f>EXP(-LN(2)/25)*AA169+(1-EXP(-LN(2)/25))/(LN(2)/25)*Calculateur!V170*Calculateur!X170*VLOOKUP('Données projet'!$B$9,Paramètres!$A$1:$I$89,3,0)*0.475*44/12</f>
        <v>1.7899845473424223</v>
      </c>
      <c r="AB170" s="21">
        <f>EXP(-LN(2)/2)*AB169+(1-EXP(-LN(2)/2))/(LN(2)/2)*V170*Y170*VLOOKUP('Données projet'!$B$9,Paramètres!$A$1:$I$89,3,0)*0.475*44/12</f>
        <v>2.3680334666556107E-19</v>
      </c>
      <c r="AC170" s="22">
        <f t="shared" si="163"/>
        <v>3.8997092395881205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415.99999999999955</v>
      </c>
      <c r="AJ170" s="13">
        <f>AI170*VLOOKUP('Données projet'!$B$10,Paramètres!$A$1:$I$89,3,0)*VLOOKUP('Données projet'!$B$10,Paramètres!$A$1:$I$89,5,0)</f>
        <v>248.76799999999972</v>
      </c>
      <c r="AK170" s="13">
        <f t="shared" si="164"/>
        <v>60.32205079116369</v>
      </c>
      <c r="AL170" s="20">
        <f t="shared" si="165"/>
        <v>538.33183846127633</v>
      </c>
      <c r="AM170" s="59">
        <f t="shared" si="113"/>
        <v>831.66517179460971</v>
      </c>
      <c r="AN170" s="59">
        <f ca="1">AVERAGE(OFFSET($AM$3,0,0,'Données projet'!$E$10+1,1))-AVERAGE(OFFSET($H$3,0,0,'Données projet'!$E$10+1,1))</f>
        <v>279.39350157328471</v>
      </c>
      <c r="AO170" s="59">
        <f t="shared" si="144"/>
        <v>261.55559683031657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3.7957533834338282</v>
      </c>
      <c r="AV170" s="21">
        <f>EXP(-LN(2)/25)*AV169+(1-EXP(-LN(2)/25))/(LN(2)/25)*Calculateur!AQ170*Calculateur!AS170*VLOOKUP('Données projet'!$B$10,Paramètres!$A$1:$I$89,3,0)*0.475*44/12</f>
        <v>1.9021676834675223</v>
      </c>
      <c r="AW170" s="21">
        <f>EXP(-LN(2)/2)*AW169+(1-EXP(-LN(2)/2))/(LN(2)/2)*AQ170*AT170*VLOOKUP('Données projet'!$B$10,Paramètres!$A$1:$I$89,3,0)*0.475*44/12</f>
        <v>1.4795430349047741E-15</v>
      </c>
      <c r="AX170" s="21">
        <f t="shared" si="166"/>
        <v>5.697921066901352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475.00000000000011</v>
      </c>
      <c r="BE170" s="13">
        <f>BD170*VLOOKUP('Données projet'!$B$11,Paramètres!$A$1:$I$89,3,0)*VLOOKUP('Données projet'!$B$11,Paramètres!$A$1:$I$89,5,0)</f>
        <v>265.52500000000009</v>
      </c>
      <c r="BF170" s="13">
        <f t="shared" si="167"/>
        <v>63.898639547235177</v>
      </c>
      <c r="BG170" s="20">
        <f t="shared" si="168"/>
        <v>573.74617221143478</v>
      </c>
      <c r="BH170" s="59">
        <f t="shared" si="116"/>
        <v>867.07950554476815</v>
      </c>
      <c r="BI170" s="59">
        <f ca="1">AVERAGE(OFFSET($BH$3,0,0,'Données projet'!$E$11+1,1))-AVERAGE(OFFSET($H$3,0,0,'Données projet'!$E$11+1,1))</f>
        <v>342.37397177572871</v>
      </c>
      <c r="BJ170" s="59">
        <f t="shared" si="146"/>
        <v>331.32436050472762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5.9501564800280704</v>
      </c>
      <c r="BQ170" s="21">
        <f>EXP(-LN(2)/25)*BQ169+(1-EXP(-LN(2)/25))/(LN(2)/25)*Calculateur!BL170*Calculateur!BN170*VLOOKUP('Données projet'!$B$11,Paramètres!$A$1:$I$89,3,0)*0.475*44/12</f>
        <v>3.4520395097105574</v>
      </c>
      <c r="BR170" s="21">
        <f>EXP(-LN(2)/2)*BR169+(1-EXP(-LN(2)/2))/(LN(2)/2)*BL170*BO170*VLOOKUP('Données projet'!$B$11,Paramètres!$A$1:$I$89,3,0)*0.475*44/12</f>
        <v>1.0585479642724428E-14</v>
      </c>
      <c r="BS170" s="22">
        <f t="shared" si="169"/>
        <v>9.4021959897386385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253.79640000000001</v>
      </c>
      <c r="CA170" s="13">
        <f t="shared" si="170"/>
        <v>61.39816832228076</v>
      </c>
      <c r="CB170" s="20">
        <f t="shared" si="171"/>
        <v>548.96387316130563</v>
      </c>
      <c r="CC170" s="59">
        <f t="shared" si="119"/>
        <v>842.29720649463889</v>
      </c>
      <c r="CD170" s="59">
        <f ca="1">AVERAGE(OFFSET($CC$3,0,0,'Données projet'!$E$12+1,1))-AVERAGE(OFFSET($H$3,0,0,'Données projet'!$E$12+1,1))</f>
        <v>353.37479213497227</v>
      </c>
      <c r="CE170" s="59">
        <f t="shared" si="148"/>
        <v>345.4750813433123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7.3027920779564832</v>
      </c>
      <c r="CL170" s="21">
        <f>EXP(-LN(2)/25)*CL169+(1-EXP(-LN(2)/25))/(LN(2)/25)*Calculateur!CG170*Calculateur!CI170*VLOOKUP('Données projet'!$B$12,Paramètres!$A$1:$I$89,3,0)*0.475*44/12</f>
        <v>0.22913894975344679</v>
      </c>
      <c r="CM170" s="21">
        <f>EXP(-LN(2)/2)*CM169+(1-EXP(-LN(2)/2))/(LN(2)/2)*CG170*CJ170*VLOOKUP('Données projet'!$B$12,Paramètres!$A$1:$I$89,3,0)*0.475*44/12</f>
        <v>4.9301876276263158E-14</v>
      </c>
      <c r="CN170" s="22">
        <f t="shared" si="172"/>
        <v>7.5319310277099794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277.99999999999994</v>
      </c>
      <c r="O171" s="13">
        <f>N171*VLOOKUP('Données projet'!$B$9,Paramètres!$A$1:$I$89,3,0)*VLOOKUP('Données projet'!$B$9,Paramètres!$A$1:$I$89,5,0)</f>
        <v>173.47199999999998</v>
      </c>
      <c r="P171" s="13">
        <f t="shared" si="141"/>
        <v>43.866718728383574</v>
      </c>
      <c r="Q171" s="20">
        <f t="shared" si="162"/>
        <v>378.53160178526804</v>
      </c>
      <c r="R171" s="59">
        <f t="shared" si="109"/>
        <v>671.86493511860135</v>
      </c>
      <c r="S171" s="59">
        <f ca="1">AVERAGE(OFFSET($R$3,0,0,'Données projet'!$E$9+1,1))-AVERAGE(OFFSET($H$3,0,0,'Données projet'!$E$9+1,1))</f>
        <v>232.56424130731699</v>
      </c>
      <c r="T171" s="59">
        <f t="shared" si="142"/>
        <v>384.58890620364178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2.0683542778357609</v>
      </c>
      <c r="AA171" s="21">
        <f>EXP(-LN(2)/25)*AA170+(1-EXP(-LN(2)/25))/(LN(2)/25)*Calculateur!V171*Calculateur!X171*VLOOKUP('Données projet'!$B$9,Paramètres!$A$1:$I$89,3,0)*0.475*44/12</f>
        <v>1.7410373257641474</v>
      </c>
      <c r="AB171" s="21">
        <f>EXP(-LN(2)/2)*AB170+(1-EXP(-LN(2)/2))/(LN(2)/2)*V171*Y171*VLOOKUP('Données projet'!$B$9,Paramètres!$A$1:$I$89,3,0)*0.475*44/12</f>
        <v>1.6744525223488705E-19</v>
      </c>
      <c r="AC171" s="22">
        <f t="shared" si="163"/>
        <v>3.8093916035999085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415.99999999999955</v>
      </c>
      <c r="AJ171" s="13">
        <f>AI171*VLOOKUP('Données projet'!$B$10,Paramètres!$A$1:$I$89,3,0)*VLOOKUP('Données projet'!$B$10,Paramètres!$A$1:$I$89,5,0)</f>
        <v>248.76799999999972</v>
      </c>
      <c r="AK171" s="13">
        <f t="shared" si="164"/>
        <v>60.32205079116369</v>
      </c>
      <c r="AL171" s="20">
        <f t="shared" si="165"/>
        <v>538.33183846127633</v>
      </c>
      <c r="AM171" s="59">
        <f t="shared" si="113"/>
        <v>831.66517179460971</v>
      </c>
      <c r="AN171" s="59">
        <f ca="1">AVERAGE(OFFSET($AM$3,0,0,'Données projet'!$E$10+1,1))-AVERAGE(OFFSET($H$3,0,0,'Données projet'!$E$10+1,1))</f>
        <v>279.39350157328471</v>
      </c>
      <c r="AO171" s="59">
        <f t="shared" si="144"/>
        <v>261.55559683031657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3.7213209747656495</v>
      </c>
      <c r="AV171" s="21">
        <f>EXP(-LN(2)/25)*AV170+(1-EXP(-LN(2)/25))/(LN(2)/25)*Calculateur!AQ171*Calculateur!AS171*VLOOKUP('Données projet'!$B$10,Paramètres!$A$1:$I$89,3,0)*0.475*44/12</f>
        <v>1.8501528081324519</v>
      </c>
      <c r="AW171" s="21">
        <f>EXP(-LN(2)/2)*AW170+(1-EXP(-LN(2)/2))/(LN(2)/2)*AQ171*AT171*VLOOKUP('Données projet'!$B$10,Paramètres!$A$1:$I$89,3,0)*0.475*44/12</f>
        <v>1.0461949130384905E-15</v>
      </c>
      <c r="AX171" s="21">
        <f t="shared" si="166"/>
        <v>5.571473782898102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475.00000000000011</v>
      </c>
      <c r="BE171" s="13">
        <f>BD171*VLOOKUP('Données projet'!$B$11,Paramètres!$A$1:$I$89,3,0)*VLOOKUP('Données projet'!$B$11,Paramètres!$A$1:$I$89,5,0)</f>
        <v>265.52500000000009</v>
      </c>
      <c r="BF171" s="13">
        <f t="shared" si="167"/>
        <v>63.898639547235177</v>
      </c>
      <c r="BG171" s="20">
        <f t="shared" si="168"/>
        <v>573.74617221143478</v>
      </c>
      <c r="BH171" s="59">
        <f t="shared" si="116"/>
        <v>867.07950554476815</v>
      </c>
      <c r="BI171" s="59">
        <f ca="1">AVERAGE(OFFSET($BH$3,0,0,'Données projet'!$E$11+1,1))-AVERAGE(OFFSET($H$3,0,0,'Données projet'!$E$11+1,1))</f>
        <v>342.37397177572871</v>
      </c>
      <c r="BJ171" s="59">
        <f t="shared" si="146"/>
        <v>331.32436050472762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5.8334775406918151</v>
      </c>
      <c r="BQ171" s="21">
        <f>EXP(-LN(2)/25)*BQ170+(1-EXP(-LN(2)/25))/(LN(2)/25)*Calculateur!BL171*Calculateur!BN171*VLOOKUP('Données projet'!$B$11,Paramètres!$A$1:$I$89,3,0)*0.475*44/12</f>
        <v>3.357643307782654</v>
      </c>
      <c r="BR171" s="21">
        <f>EXP(-LN(2)/2)*BR170+(1-EXP(-LN(2)/2))/(LN(2)/2)*BL171*BO171*VLOOKUP('Données projet'!$B$11,Paramètres!$A$1:$I$89,3,0)*0.475*44/12</f>
        <v>7.4850644374825951E-15</v>
      </c>
      <c r="BS171" s="22">
        <f t="shared" si="169"/>
        <v>9.1911208484744762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253.79640000000001</v>
      </c>
      <c r="CA171" s="13">
        <f t="shared" si="170"/>
        <v>61.39816832228076</v>
      </c>
      <c r="CB171" s="20">
        <f t="shared" si="171"/>
        <v>548.96387316130563</v>
      </c>
      <c r="CC171" s="59">
        <f t="shared" si="119"/>
        <v>842.29720649463889</v>
      </c>
      <c r="CD171" s="59">
        <f ca="1">AVERAGE(OFFSET($CC$3,0,0,'Données projet'!$E$12+1,1))-AVERAGE(OFFSET($H$3,0,0,'Données projet'!$E$12+1,1))</f>
        <v>353.37479213497227</v>
      </c>
      <c r="CE171" s="59">
        <f t="shared" si="148"/>
        <v>345.4750813433123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7.1595887795711022</v>
      </c>
      <c r="CL171" s="21">
        <f>EXP(-LN(2)/25)*CL170+(1-EXP(-LN(2)/25))/(LN(2)/25)*Calculateur!CG171*Calculateur!CI171*VLOOKUP('Données projet'!$B$12,Paramètres!$A$1:$I$89,3,0)*0.475*44/12</f>
        <v>0.22287313312254511</v>
      </c>
      <c r="CM171" s="21">
        <f>EXP(-LN(2)/2)*CM170+(1-EXP(-LN(2)/2))/(LN(2)/2)*CG171*CJ171*VLOOKUP('Données projet'!$B$12,Paramètres!$A$1:$I$89,3,0)*0.475*44/12</f>
        <v>3.4861691040165851E-14</v>
      </c>
      <c r="CN171" s="22">
        <f t="shared" si="172"/>
        <v>7.3824619126936817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277.99999999999994</v>
      </c>
      <c r="O172" s="13">
        <f>N172*VLOOKUP('Données projet'!$B$9,Paramètres!$A$1:$I$89,3,0)*VLOOKUP('Données projet'!$B$9,Paramètres!$A$1:$I$89,5,0)</f>
        <v>173.47199999999998</v>
      </c>
      <c r="P172" s="13">
        <f t="shared" si="141"/>
        <v>43.866718728383574</v>
      </c>
      <c r="Q172" s="20">
        <f t="shared" si="162"/>
        <v>378.53160178526804</v>
      </c>
      <c r="R172" s="59">
        <f t="shared" si="109"/>
        <v>671.86493511860135</v>
      </c>
      <c r="S172" s="59">
        <f ca="1">AVERAGE(OFFSET($R$3,0,0,'Données projet'!$E$9+1,1))-AVERAGE(OFFSET($H$3,0,0,'Données projet'!$E$9+1,1))</f>
        <v>232.56424130731699</v>
      </c>
      <c r="T172" s="59">
        <f t="shared" si="142"/>
        <v>384.58890620364178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2.027795112018941</v>
      </c>
      <c r="AA172" s="21">
        <f>EXP(-LN(2)/25)*AA171+(1-EXP(-LN(2)/25))/(LN(2)/25)*Calculateur!V172*Calculateur!X172*VLOOKUP('Données projet'!$B$9,Paramètres!$A$1:$I$89,3,0)*0.475*44/12</f>
        <v>1.693428568533953</v>
      </c>
      <c r="AB172" s="21">
        <f>EXP(-LN(2)/2)*AB171+(1-EXP(-LN(2)/2))/(LN(2)/2)*V172*Y172*VLOOKUP('Données projet'!$B$9,Paramètres!$A$1:$I$89,3,0)*0.475*44/12</f>
        <v>1.1840167333278054E-19</v>
      </c>
      <c r="AC172" s="22">
        <f t="shared" si="163"/>
        <v>3.7212236805528942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415.99999999999955</v>
      </c>
      <c r="AJ172" s="13">
        <f>AI172*VLOOKUP('Données projet'!$B$10,Paramètres!$A$1:$I$89,3,0)*VLOOKUP('Données projet'!$B$10,Paramètres!$A$1:$I$89,5,0)</f>
        <v>248.76799999999972</v>
      </c>
      <c r="AK172" s="13">
        <f t="shared" si="164"/>
        <v>60.32205079116369</v>
      </c>
      <c r="AL172" s="20">
        <f t="shared" si="165"/>
        <v>538.33183846127633</v>
      </c>
      <c r="AM172" s="59">
        <f t="shared" si="113"/>
        <v>831.66517179460971</v>
      </c>
      <c r="AN172" s="59">
        <f ca="1">AVERAGE(OFFSET($AM$3,0,0,'Données projet'!$E$10+1,1))-AVERAGE(OFFSET($H$3,0,0,'Données projet'!$E$10+1,1))</f>
        <v>279.39350157328471</v>
      </c>
      <c r="AO172" s="59">
        <f t="shared" si="144"/>
        <v>261.55559683031657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3.6483481402321676</v>
      </c>
      <c r="AV172" s="21">
        <f>EXP(-LN(2)/25)*AV171+(1-EXP(-LN(2)/25))/(LN(2)/25)*Calculateur!AQ172*Calculateur!AS172*VLOOKUP('Données projet'!$B$10,Paramètres!$A$1:$I$89,3,0)*0.475*44/12</f>
        <v>1.7995602822987624</v>
      </c>
      <c r="AW172" s="21">
        <f>EXP(-LN(2)/2)*AW171+(1-EXP(-LN(2)/2))/(LN(2)/2)*AQ172*AT172*VLOOKUP('Données projet'!$B$10,Paramètres!$A$1:$I$89,3,0)*0.475*44/12</f>
        <v>7.3977151745238703E-16</v>
      </c>
      <c r="AX172" s="21">
        <f t="shared" si="166"/>
        <v>5.4479084225309311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475.00000000000011</v>
      </c>
      <c r="BE172" s="13">
        <f>BD172*VLOOKUP('Données projet'!$B$11,Paramètres!$A$1:$I$89,3,0)*VLOOKUP('Données projet'!$B$11,Paramètres!$A$1:$I$89,5,0)</f>
        <v>265.52500000000009</v>
      </c>
      <c r="BF172" s="13">
        <f t="shared" si="167"/>
        <v>63.898639547235177</v>
      </c>
      <c r="BG172" s="20">
        <f t="shared" si="168"/>
        <v>573.74617221143478</v>
      </c>
      <c r="BH172" s="59">
        <f t="shared" si="116"/>
        <v>867.07950554476815</v>
      </c>
      <c r="BI172" s="59">
        <f ca="1">AVERAGE(OFFSET($BH$3,0,0,'Données projet'!$E$11+1,1))-AVERAGE(OFFSET($H$3,0,0,'Données projet'!$E$11+1,1))</f>
        <v>342.37397177572871</v>
      </c>
      <c r="BJ172" s="59">
        <f t="shared" si="146"/>
        <v>331.32436050472762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5.719086604188818</v>
      </c>
      <c r="BQ172" s="21">
        <f>EXP(-LN(2)/25)*BQ171+(1-EXP(-LN(2)/25))/(LN(2)/25)*Calculateur!BL172*Calculateur!BN172*VLOOKUP('Données projet'!$B$11,Paramètres!$A$1:$I$89,3,0)*0.475*44/12</f>
        <v>3.2658283749605497</v>
      </c>
      <c r="BR172" s="21">
        <f>EXP(-LN(2)/2)*BR171+(1-EXP(-LN(2)/2))/(LN(2)/2)*BL172*BO172*VLOOKUP('Données projet'!$B$11,Paramètres!$A$1:$I$89,3,0)*0.475*44/12</f>
        <v>5.2927398213622138E-15</v>
      </c>
      <c r="BS172" s="22">
        <f t="shared" si="169"/>
        <v>8.984914979149373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253.79640000000001</v>
      </c>
      <c r="CA172" s="13">
        <f t="shared" si="170"/>
        <v>61.39816832228076</v>
      </c>
      <c r="CB172" s="20">
        <f t="shared" si="171"/>
        <v>548.96387316130563</v>
      </c>
      <c r="CC172" s="59">
        <f t="shared" si="119"/>
        <v>842.29720649463889</v>
      </c>
      <c r="CD172" s="59">
        <f ca="1">AVERAGE(OFFSET($CC$3,0,0,'Données projet'!$E$12+1,1))-AVERAGE(OFFSET($H$3,0,0,'Données projet'!$E$12+1,1))</f>
        <v>353.37479213497227</v>
      </c>
      <c r="CE172" s="59">
        <f t="shared" si="148"/>
        <v>345.4750813433123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7.019193610521671</v>
      </c>
      <c r="CL172" s="21">
        <f>EXP(-LN(2)/25)*CL171+(1-EXP(-LN(2)/25))/(LN(2)/25)*Calculateur!CG172*Calculateur!CI172*VLOOKUP('Données projet'!$B$12,Paramètres!$A$1:$I$89,3,0)*0.475*44/12</f>
        <v>0.21677865557692044</v>
      </c>
      <c r="CM172" s="21">
        <f>EXP(-LN(2)/2)*CM171+(1-EXP(-LN(2)/2))/(LN(2)/2)*CG172*CJ172*VLOOKUP('Données projet'!$B$12,Paramètres!$A$1:$I$89,3,0)*0.475*44/12</f>
        <v>2.4650938138131579E-14</v>
      </c>
      <c r="CN172" s="22">
        <f t="shared" si="172"/>
        <v>7.2359722660986163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277.99999999999994</v>
      </c>
      <c r="O173" s="13">
        <f>N173*VLOOKUP('Données projet'!$B$9,Paramètres!$A$1:$I$89,3,0)*VLOOKUP('Données projet'!$B$9,Paramètres!$A$1:$I$89,5,0)</f>
        <v>173.47199999999998</v>
      </c>
      <c r="P173" s="13">
        <f t="shared" si="141"/>
        <v>43.866718728383574</v>
      </c>
      <c r="Q173" s="20">
        <f t="shared" si="162"/>
        <v>378.53160178526804</v>
      </c>
      <c r="R173" s="59">
        <f t="shared" si="109"/>
        <v>671.86493511860135</v>
      </c>
      <c r="S173" s="59">
        <f ca="1">AVERAGE(OFFSET($R$3,0,0,'Données projet'!$E$9+1,1))-AVERAGE(OFFSET($H$3,0,0,'Données projet'!$E$9+1,1))</f>
        <v>232.56424130731699</v>
      </c>
      <c r="T173" s="59">
        <f t="shared" si="142"/>
        <v>384.58890620364178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1.9880312867051408</v>
      </c>
      <c r="AA173" s="21">
        <f>EXP(-LN(2)/25)*AA172+(1-EXP(-LN(2)/25))/(LN(2)/25)*Calculateur!V173*Calculateur!X173*VLOOKUP('Données projet'!$B$9,Paramètres!$A$1:$I$89,3,0)*0.475*44/12</f>
        <v>1.647121675273854</v>
      </c>
      <c r="AB173" s="21">
        <f>EXP(-LN(2)/2)*AB172+(1-EXP(-LN(2)/2))/(LN(2)/2)*V173*Y173*VLOOKUP('Données projet'!$B$9,Paramètres!$A$1:$I$89,3,0)*0.475*44/12</f>
        <v>8.3722626117443527E-20</v>
      </c>
      <c r="AC173" s="22">
        <f t="shared" si="163"/>
        <v>3.6351529619789948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415.99999999999955</v>
      </c>
      <c r="AJ173" s="13">
        <f>AI173*VLOOKUP('Données projet'!$B$10,Paramètres!$A$1:$I$89,3,0)*VLOOKUP('Données projet'!$B$10,Paramètres!$A$1:$I$89,5,0)</f>
        <v>248.76799999999972</v>
      </c>
      <c r="AK173" s="13">
        <f t="shared" si="164"/>
        <v>60.32205079116369</v>
      </c>
      <c r="AL173" s="20">
        <f t="shared" si="165"/>
        <v>538.33183846127633</v>
      </c>
      <c r="AM173" s="59">
        <f t="shared" si="113"/>
        <v>831.66517179460971</v>
      </c>
      <c r="AN173" s="59">
        <f ca="1">AVERAGE(OFFSET($AM$3,0,0,'Données projet'!$E$10+1,1))-AVERAGE(OFFSET($H$3,0,0,'Données projet'!$E$10+1,1))</f>
        <v>279.39350157328471</v>
      </c>
      <c r="AO173" s="59">
        <f t="shared" si="144"/>
        <v>261.55559683031657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3.576806258474853</v>
      </c>
      <c r="AV173" s="21">
        <f>EXP(-LN(2)/25)*AV172+(1-EXP(-LN(2)/25))/(LN(2)/25)*Calculateur!AQ173*Calculateur!AS173*VLOOKUP('Données projet'!$B$10,Paramètres!$A$1:$I$89,3,0)*0.475*44/12</f>
        <v>1.7503512117445406</v>
      </c>
      <c r="AW173" s="21">
        <f>EXP(-LN(2)/2)*AW172+(1-EXP(-LN(2)/2))/(LN(2)/2)*AQ173*AT173*VLOOKUP('Données projet'!$B$10,Paramètres!$A$1:$I$89,3,0)*0.475*44/12</f>
        <v>5.2309745651924525E-16</v>
      </c>
      <c r="AX173" s="21">
        <f t="shared" si="166"/>
        <v>5.3271574702193947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475.00000000000011</v>
      </c>
      <c r="BE173" s="13">
        <f>BD173*VLOOKUP('Données projet'!$B$11,Paramètres!$A$1:$I$89,3,0)*VLOOKUP('Données projet'!$B$11,Paramètres!$A$1:$I$89,5,0)</f>
        <v>265.52500000000009</v>
      </c>
      <c r="BF173" s="13">
        <f t="shared" si="167"/>
        <v>63.898639547235177</v>
      </c>
      <c r="BG173" s="20">
        <f t="shared" si="168"/>
        <v>573.74617221143478</v>
      </c>
      <c r="BH173" s="59">
        <f t="shared" si="116"/>
        <v>867.07950554476815</v>
      </c>
      <c r="BI173" s="59">
        <f ca="1">AVERAGE(OFFSET($BH$3,0,0,'Données projet'!$E$11+1,1))-AVERAGE(OFFSET($H$3,0,0,'Données projet'!$E$11+1,1))</f>
        <v>342.37397177572871</v>
      </c>
      <c r="BJ173" s="59">
        <f t="shared" si="146"/>
        <v>331.32436050472762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5.6069388041790633</v>
      </c>
      <c r="BQ173" s="21">
        <f>EXP(-LN(2)/25)*BQ172+(1-EXP(-LN(2)/25))/(LN(2)/25)*Calculateur!BL173*Calculateur!BN173*VLOOKUP('Données projet'!$B$11,Paramètres!$A$1:$I$89,3,0)*0.475*44/12</f>
        <v>3.1765241263048032</v>
      </c>
      <c r="BR173" s="21">
        <f>EXP(-LN(2)/2)*BR172+(1-EXP(-LN(2)/2))/(LN(2)/2)*BL173*BO173*VLOOKUP('Données projet'!$B$11,Paramètres!$A$1:$I$89,3,0)*0.475*44/12</f>
        <v>3.7425322187412976E-15</v>
      </c>
      <c r="BS173" s="22">
        <f t="shared" si="169"/>
        <v>8.7834629304838696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253.79640000000001</v>
      </c>
      <c r="CA173" s="13">
        <f t="shared" si="170"/>
        <v>61.39816832228076</v>
      </c>
      <c r="CB173" s="20">
        <f t="shared" si="171"/>
        <v>548.96387316130563</v>
      </c>
      <c r="CC173" s="59">
        <f t="shared" si="119"/>
        <v>842.29720649463889</v>
      </c>
      <c r="CD173" s="59">
        <f ca="1">AVERAGE(OFFSET($CC$3,0,0,'Données projet'!$E$12+1,1))-AVERAGE(OFFSET($H$3,0,0,'Données projet'!$E$12+1,1))</f>
        <v>353.37479213497227</v>
      </c>
      <c r="CE173" s="59">
        <f t="shared" si="148"/>
        <v>345.4750813433123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6.881551505104702</v>
      </c>
      <c r="CL173" s="21">
        <f>EXP(-LN(2)/25)*CL172+(1-EXP(-LN(2)/25))/(LN(2)/25)*Calculateur!CG173*Calculateur!CI173*VLOOKUP('Données projet'!$B$12,Paramètres!$A$1:$I$89,3,0)*0.475*44/12</f>
        <v>0.2108508318402755</v>
      </c>
      <c r="CM173" s="21">
        <f>EXP(-LN(2)/2)*CM172+(1-EXP(-LN(2)/2))/(LN(2)/2)*CG173*CJ173*VLOOKUP('Données projet'!$B$12,Paramètres!$A$1:$I$89,3,0)*0.475*44/12</f>
        <v>1.7430845520082925E-14</v>
      </c>
      <c r="CN173" s="22">
        <f t="shared" si="172"/>
        <v>7.0924023369449953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277.99999999999994</v>
      </c>
      <c r="O174" s="13">
        <f>N174*VLOOKUP('Données projet'!$B$9,Paramètres!$A$1:$I$89,3,0)*VLOOKUP('Données projet'!$B$9,Paramètres!$A$1:$I$89,5,0)</f>
        <v>173.47199999999998</v>
      </c>
      <c r="P174" s="13">
        <f t="shared" si="141"/>
        <v>43.866718728383574</v>
      </c>
      <c r="Q174" s="20">
        <f t="shared" si="162"/>
        <v>378.53160178526804</v>
      </c>
      <c r="R174" s="59">
        <f t="shared" si="109"/>
        <v>671.86493511860135</v>
      </c>
      <c r="S174" s="59">
        <f ca="1">AVERAGE(OFFSET($R$3,0,0,'Données projet'!$E$9+1,1))-AVERAGE(OFFSET($H$3,0,0,'Données projet'!$E$9+1,1))</f>
        <v>232.56424130731699</v>
      </c>
      <c r="T174" s="59">
        <f t="shared" si="142"/>
        <v>384.58890620364178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1.9490472057522057</v>
      </c>
      <c r="AA174" s="21">
        <f>EXP(-LN(2)/25)*AA173+(1-EXP(-LN(2)/25))/(LN(2)/25)*Calculateur!V174*Calculateur!X174*VLOOKUP('Données projet'!$B$9,Paramètres!$A$1:$I$89,3,0)*0.475*44/12</f>
        <v>1.6020810464451261</v>
      </c>
      <c r="AB174" s="21">
        <f>EXP(-LN(2)/2)*AB173+(1-EXP(-LN(2)/2))/(LN(2)/2)*V174*Y174*VLOOKUP('Données projet'!$B$9,Paramètres!$A$1:$I$89,3,0)*0.475*44/12</f>
        <v>5.9200836666390268E-20</v>
      </c>
      <c r="AC174" s="22">
        <f t="shared" si="163"/>
        <v>3.5511282521973317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415.99999999999955</v>
      </c>
      <c r="AJ174" s="13">
        <f>AI174*VLOOKUP('Données projet'!$B$10,Paramètres!$A$1:$I$89,3,0)*VLOOKUP('Données projet'!$B$10,Paramètres!$A$1:$I$89,5,0)</f>
        <v>248.76799999999972</v>
      </c>
      <c r="AK174" s="13">
        <f t="shared" si="164"/>
        <v>60.32205079116369</v>
      </c>
      <c r="AL174" s="20">
        <f t="shared" si="165"/>
        <v>538.33183846127633</v>
      </c>
      <c r="AM174" s="59">
        <f t="shared" si="113"/>
        <v>831.66517179460971</v>
      </c>
      <c r="AN174" s="59">
        <f ca="1">AVERAGE(OFFSET($AM$3,0,0,'Données projet'!$E$10+1,1))-AVERAGE(OFFSET($H$3,0,0,'Données projet'!$E$10+1,1))</f>
        <v>279.39350157328471</v>
      </c>
      <c r="AO174" s="59">
        <f t="shared" si="144"/>
        <v>261.55559683031657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3.50666726938256</v>
      </c>
      <c r="AV174" s="21">
        <f>EXP(-LN(2)/25)*AV173+(1-EXP(-LN(2)/25))/(LN(2)/25)*Calculateur!AQ174*Calculateur!AS174*VLOOKUP('Données projet'!$B$10,Paramètres!$A$1:$I$89,3,0)*0.475*44/12</f>
        <v>1.7024877658124165</v>
      </c>
      <c r="AW174" s="21">
        <f>EXP(-LN(2)/2)*AW173+(1-EXP(-LN(2)/2))/(LN(2)/2)*AQ174*AT174*VLOOKUP('Données projet'!$B$10,Paramètres!$A$1:$I$89,3,0)*0.475*44/12</f>
        <v>3.6988575872619351E-16</v>
      </c>
      <c r="AX174" s="21">
        <f t="shared" si="166"/>
        <v>5.2091550351949767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475.00000000000011</v>
      </c>
      <c r="BE174" s="13">
        <f>BD174*VLOOKUP('Données projet'!$B$11,Paramètres!$A$1:$I$89,3,0)*VLOOKUP('Données projet'!$B$11,Paramètres!$A$1:$I$89,5,0)</f>
        <v>265.52500000000009</v>
      </c>
      <c r="BF174" s="13">
        <f t="shared" si="167"/>
        <v>63.898639547235177</v>
      </c>
      <c r="BG174" s="20">
        <f t="shared" si="168"/>
        <v>573.74617221143478</v>
      </c>
      <c r="BH174" s="59">
        <f t="shared" si="116"/>
        <v>867.07950554476815</v>
      </c>
      <c r="BI174" s="59">
        <f ca="1">AVERAGE(OFFSET($BH$3,0,0,'Données projet'!$E$11+1,1))-AVERAGE(OFFSET($H$3,0,0,'Données projet'!$E$11+1,1))</f>
        <v>342.37397177572871</v>
      </c>
      <c r="BJ174" s="59">
        <f t="shared" si="146"/>
        <v>331.32436050472762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5.496990154124096</v>
      </c>
      <c r="BQ174" s="21">
        <f>EXP(-LN(2)/25)*BQ173+(1-EXP(-LN(2)/25))/(LN(2)/25)*Calculateur!BL174*Calculateur!BN174*VLOOKUP('Données projet'!$B$11,Paramètres!$A$1:$I$89,3,0)*0.475*44/12</f>
        <v>3.0896619070248548</v>
      </c>
      <c r="BR174" s="21">
        <f>EXP(-LN(2)/2)*BR173+(1-EXP(-LN(2)/2))/(LN(2)/2)*BL174*BO174*VLOOKUP('Données projet'!$B$11,Paramètres!$A$1:$I$89,3,0)*0.475*44/12</f>
        <v>2.6463699106811069E-15</v>
      </c>
      <c r="BS174" s="22">
        <f t="shared" si="169"/>
        <v>8.5866520611489516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253.79640000000001</v>
      </c>
      <c r="CA174" s="13">
        <f t="shared" si="170"/>
        <v>61.39816832228076</v>
      </c>
      <c r="CB174" s="20">
        <f t="shared" si="171"/>
        <v>548.96387316130563</v>
      </c>
      <c r="CC174" s="59">
        <f t="shared" si="119"/>
        <v>842.29720649463889</v>
      </c>
      <c r="CD174" s="59">
        <f ca="1">AVERAGE(OFFSET($CC$3,0,0,'Données projet'!$E$12+1,1))-AVERAGE(OFFSET($H$3,0,0,'Données projet'!$E$12+1,1))</f>
        <v>353.37479213497227</v>
      </c>
      <c r="CE174" s="59">
        <f t="shared" si="148"/>
        <v>345.4750813433123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6.7466084774215647</v>
      </c>
      <c r="CL174" s="21">
        <f>EXP(-LN(2)/25)*CL173+(1-EXP(-LN(2)/25))/(LN(2)/25)*Calculateur!CG174*Calculateur!CI174*VLOOKUP('Données projet'!$B$12,Paramètres!$A$1:$I$89,3,0)*0.475*44/12</f>
        <v>0.20508510475543984</v>
      </c>
      <c r="CM174" s="21">
        <f>EXP(-LN(2)/2)*CM173+(1-EXP(-LN(2)/2))/(LN(2)/2)*CG174*CJ174*VLOOKUP('Données projet'!$B$12,Paramètres!$A$1:$I$89,3,0)*0.475*44/12</f>
        <v>1.232546906906579E-14</v>
      </c>
      <c r="CN174" s="22">
        <f t="shared" si="172"/>
        <v>6.9516935821770165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277.99999999999994</v>
      </c>
      <c r="O175" s="13">
        <f>N175*VLOOKUP('Données projet'!$B$9,Paramètres!$A$1:$I$89,3,0)*VLOOKUP('Données projet'!$B$9,Paramètres!$A$1:$I$89,5,0)</f>
        <v>173.47199999999998</v>
      </c>
      <c r="P175" s="13">
        <f t="shared" si="141"/>
        <v>43.866718728383574</v>
      </c>
      <c r="Q175" s="20">
        <f t="shared" si="162"/>
        <v>378.53160178526804</v>
      </c>
      <c r="R175" s="59">
        <f t="shared" si="109"/>
        <v>671.86493511860135</v>
      </c>
      <c r="S175" s="59">
        <f ca="1">AVERAGE(OFFSET($R$3,0,0,'Données projet'!$E$9+1,1))-AVERAGE(OFFSET($H$3,0,0,'Données projet'!$E$9+1,1))</f>
        <v>232.56424130731699</v>
      </c>
      <c r="T175" s="59">
        <f t="shared" si="142"/>
        <v>384.58890620364178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1.910827578848816</v>
      </c>
      <c r="AA175" s="21">
        <f>EXP(-LN(2)/25)*AA174+(1-EXP(-LN(2)/25))/(LN(2)/25)*Calculateur!V175*Calculateur!X175*VLOOKUP('Données projet'!$B$9,Paramètres!$A$1:$I$89,3,0)*0.475*44/12</f>
        <v>1.5582720559803034</v>
      </c>
      <c r="AB175" s="21">
        <f>EXP(-LN(2)/2)*AB174+(1-EXP(-LN(2)/2))/(LN(2)/2)*V175*Y175*VLOOKUP('Données projet'!$B$9,Paramètres!$A$1:$I$89,3,0)*0.475*44/12</f>
        <v>4.1861313058721763E-20</v>
      </c>
      <c r="AC175" s="22">
        <f t="shared" si="163"/>
        <v>3.4690996348291194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415.99999999999955</v>
      </c>
      <c r="AJ175" s="13">
        <f>AI175*VLOOKUP('Données projet'!$B$10,Paramètres!$A$1:$I$89,3,0)*VLOOKUP('Données projet'!$B$10,Paramètres!$A$1:$I$89,5,0)</f>
        <v>248.76799999999972</v>
      </c>
      <c r="AK175" s="13">
        <f t="shared" si="164"/>
        <v>60.32205079116369</v>
      </c>
      <c r="AL175" s="20">
        <f t="shared" si="165"/>
        <v>538.33183846127633</v>
      </c>
      <c r="AM175" s="59">
        <f t="shared" si="113"/>
        <v>831.66517179460971</v>
      </c>
      <c r="AN175" s="59">
        <f ca="1">AVERAGE(OFFSET($AM$3,0,0,'Données projet'!$E$10+1,1))-AVERAGE(OFFSET($H$3,0,0,'Données projet'!$E$10+1,1))</f>
        <v>279.39350157328471</v>
      </c>
      <c r="AO175" s="59">
        <f t="shared" si="144"/>
        <v>261.55559683031657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3.437903663085808</v>
      </c>
      <c r="AV175" s="21">
        <f>EXP(-LN(2)/25)*AV174+(1-EXP(-LN(2)/25))/(LN(2)/25)*Calculateur!AQ175*Calculateur!AS175*VLOOKUP('Données projet'!$B$10,Paramètres!$A$1:$I$89,3,0)*0.475*44/12</f>
        <v>1.6559331483263353</v>
      </c>
      <c r="AW175" s="21">
        <f>EXP(-LN(2)/2)*AW174+(1-EXP(-LN(2)/2))/(LN(2)/2)*AQ175*AT175*VLOOKUP('Données projet'!$B$10,Paramètres!$A$1:$I$89,3,0)*0.475*44/12</f>
        <v>2.6154872825962263E-16</v>
      </c>
      <c r="AX175" s="21">
        <f t="shared" si="166"/>
        <v>5.0938368114121433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475.00000000000011</v>
      </c>
      <c r="BE175" s="13">
        <f>BD175*VLOOKUP('Données projet'!$B$11,Paramètres!$A$1:$I$89,3,0)*VLOOKUP('Données projet'!$B$11,Paramètres!$A$1:$I$89,5,0)</f>
        <v>265.52500000000009</v>
      </c>
      <c r="BF175" s="13">
        <f t="shared" si="167"/>
        <v>63.898639547235177</v>
      </c>
      <c r="BG175" s="20">
        <f t="shared" si="168"/>
        <v>573.74617221143478</v>
      </c>
      <c r="BH175" s="59">
        <f t="shared" si="116"/>
        <v>867.07950554476815</v>
      </c>
      <c r="BI175" s="59">
        <f ca="1">AVERAGE(OFFSET($BH$3,0,0,'Données projet'!$E$11+1,1))-AVERAGE(OFFSET($H$3,0,0,'Données projet'!$E$11+1,1))</f>
        <v>342.37397177572871</v>
      </c>
      <c r="BJ175" s="59">
        <f t="shared" si="146"/>
        <v>331.32436050472762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5.389197530034652</v>
      </c>
      <c r="BQ175" s="21">
        <f>EXP(-LN(2)/25)*BQ174+(1-EXP(-LN(2)/25))/(LN(2)/25)*Calculateur!BL175*Calculateur!BN175*VLOOKUP('Données projet'!$B$11,Paramètres!$A$1:$I$89,3,0)*0.475*44/12</f>
        <v>3.005174939699002</v>
      </c>
      <c r="BR175" s="21">
        <f>EXP(-LN(2)/2)*BR174+(1-EXP(-LN(2)/2))/(LN(2)/2)*BL175*BO175*VLOOKUP('Données projet'!$B$11,Paramètres!$A$1:$I$89,3,0)*0.475*44/12</f>
        <v>1.8712661093706488E-15</v>
      </c>
      <c r="BS175" s="22">
        <f t="shared" si="169"/>
        <v>8.3943724697336553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253.79640000000001</v>
      </c>
      <c r="CA175" s="13">
        <f t="shared" si="170"/>
        <v>61.39816832228076</v>
      </c>
      <c r="CB175" s="20">
        <f t="shared" si="171"/>
        <v>548.96387316130563</v>
      </c>
      <c r="CC175" s="59">
        <f t="shared" si="119"/>
        <v>842.29720649463889</v>
      </c>
      <c r="CD175" s="59">
        <f ca="1">AVERAGE(OFFSET($CC$3,0,0,'Données projet'!$E$12+1,1))-AVERAGE(OFFSET($H$3,0,0,'Données projet'!$E$12+1,1))</f>
        <v>353.37479213497227</v>
      </c>
      <c r="CE175" s="59">
        <f t="shared" si="148"/>
        <v>345.4750813433123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6.6143116002041742</v>
      </c>
      <c r="CL175" s="21">
        <f>EXP(-LN(2)/25)*CL174+(1-EXP(-LN(2)/25))/(LN(2)/25)*Calculateur!CG175*Calculateur!CI175*VLOOKUP('Données projet'!$B$12,Paramètres!$A$1:$I$89,3,0)*0.475*44/12</f>
        <v>0.19947704178094541</v>
      </c>
      <c r="CM175" s="21">
        <f>EXP(-LN(2)/2)*CM174+(1-EXP(-LN(2)/2))/(LN(2)/2)*CG175*CJ175*VLOOKUP('Données projet'!$B$12,Paramètres!$A$1:$I$89,3,0)*0.475*44/12</f>
        <v>8.7154227600414627E-15</v>
      </c>
      <c r="CN175" s="22">
        <f t="shared" si="172"/>
        <v>6.8137886419851288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277.99999999999994</v>
      </c>
      <c r="O176" s="13">
        <f>N176*VLOOKUP('Données projet'!$B$9,Paramètres!$A$1:$I$89,3,0)*VLOOKUP('Données projet'!$B$9,Paramètres!$A$1:$I$89,5,0)</f>
        <v>173.47199999999998</v>
      </c>
      <c r="P176" s="13">
        <f t="shared" si="141"/>
        <v>43.866718728383574</v>
      </c>
      <c r="Q176" s="20">
        <f t="shared" si="162"/>
        <v>378.53160178526804</v>
      </c>
      <c r="R176" s="59">
        <f t="shared" si="109"/>
        <v>671.86493511860135</v>
      </c>
      <c r="S176" s="59">
        <f ca="1">AVERAGE(OFFSET($R$3,0,0,'Données projet'!$E$9+1,1))-AVERAGE(OFFSET($H$3,0,0,'Données projet'!$E$9+1,1))</f>
        <v>232.56424130731699</v>
      </c>
      <c r="T176" s="59">
        <f t="shared" si="142"/>
        <v>384.58890620364178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1.8733574155173314</v>
      </c>
      <c r="AA176" s="21">
        <f>EXP(-LN(2)/25)*AA175+(1-EXP(-LN(2)/25))/(LN(2)/25)*Calculateur!V176*Calculateur!X176*VLOOKUP('Données projet'!$B$9,Paramètres!$A$1:$I$89,3,0)*0.475*44/12</f>
        <v>1.515661024663556</v>
      </c>
      <c r="AB176" s="21">
        <f>EXP(-LN(2)/2)*AB175+(1-EXP(-LN(2)/2))/(LN(2)/2)*V176*Y176*VLOOKUP('Données projet'!$B$9,Paramètres!$A$1:$I$89,3,0)*0.475*44/12</f>
        <v>2.9600418333195134E-20</v>
      </c>
      <c r="AC176" s="22">
        <f t="shared" si="163"/>
        <v>3.3890184401808874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415.99999999999955</v>
      </c>
      <c r="AJ176" s="13">
        <f>AI176*VLOOKUP('Données projet'!$B$10,Paramètres!$A$1:$I$89,3,0)*VLOOKUP('Données projet'!$B$10,Paramètres!$A$1:$I$89,5,0)</f>
        <v>248.76799999999972</v>
      </c>
      <c r="AK176" s="13">
        <f t="shared" si="164"/>
        <v>60.32205079116369</v>
      </c>
      <c r="AL176" s="20">
        <f t="shared" si="165"/>
        <v>538.33183846127633</v>
      </c>
      <c r="AM176" s="59">
        <f t="shared" si="113"/>
        <v>831.66517179460971</v>
      </c>
      <c r="AN176" s="59">
        <f ca="1">AVERAGE(OFFSET($AM$3,0,0,'Données projet'!$E$10+1,1))-AVERAGE(OFFSET($H$3,0,0,'Données projet'!$E$10+1,1))</f>
        <v>279.39350157328471</v>
      </c>
      <c r="AO176" s="59">
        <f t="shared" si="144"/>
        <v>261.55559683031657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3.3704884691668768</v>
      </c>
      <c r="AV176" s="21">
        <f>EXP(-LN(2)/25)*AV175+(1-EXP(-LN(2)/25))/(LN(2)/25)*Calculateur!AQ176*Calculateur!AS176*VLOOKUP('Données projet'!$B$10,Paramètres!$A$1:$I$89,3,0)*0.475*44/12</f>
        <v>1.6106515693036121</v>
      </c>
      <c r="AW176" s="21">
        <f>EXP(-LN(2)/2)*AW175+(1-EXP(-LN(2)/2))/(LN(2)/2)*AQ176*AT176*VLOOKUP('Données projet'!$B$10,Paramètres!$A$1:$I$89,3,0)*0.475*44/12</f>
        <v>1.8494287936309676E-16</v>
      </c>
      <c r="AX176" s="21">
        <f t="shared" si="166"/>
        <v>4.9811400384704889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475.00000000000011</v>
      </c>
      <c r="BE176" s="13">
        <f>BD176*VLOOKUP('Données projet'!$B$11,Paramètres!$A$1:$I$89,3,0)*VLOOKUP('Données projet'!$B$11,Paramètres!$A$1:$I$89,5,0)</f>
        <v>265.52500000000009</v>
      </c>
      <c r="BF176" s="13">
        <f t="shared" si="167"/>
        <v>63.898639547235177</v>
      </c>
      <c r="BG176" s="20">
        <f t="shared" si="168"/>
        <v>573.74617221143478</v>
      </c>
      <c r="BH176" s="59">
        <f t="shared" si="116"/>
        <v>867.07950554476815</v>
      </c>
      <c r="BI176" s="59">
        <f ca="1">AVERAGE(OFFSET($BH$3,0,0,'Données projet'!$E$11+1,1))-AVERAGE(OFFSET($H$3,0,0,'Données projet'!$E$11+1,1))</f>
        <v>342.37397177572871</v>
      </c>
      <c r="BJ176" s="59">
        <f t="shared" si="146"/>
        <v>331.32436050472762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5.2835186535565928</v>
      </c>
      <c r="BQ176" s="21">
        <f>EXP(-LN(2)/25)*BQ175+(1-EXP(-LN(2)/25))/(LN(2)/25)*Calculateur!BL176*Calculateur!BN176*VLOOKUP('Données projet'!$B$11,Paramètres!$A$1:$I$89,3,0)*0.475*44/12</f>
        <v>2.9229982729376509</v>
      </c>
      <c r="BR176" s="21">
        <f>EXP(-LN(2)/2)*BR175+(1-EXP(-LN(2)/2))/(LN(2)/2)*BL176*BO176*VLOOKUP('Données projet'!$B$11,Paramètres!$A$1:$I$89,3,0)*0.475*44/12</f>
        <v>1.3231849553405535E-15</v>
      </c>
      <c r="BS176" s="22">
        <f t="shared" si="169"/>
        <v>8.2065169264942455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253.79640000000001</v>
      </c>
      <c r="CA176" s="13">
        <f t="shared" si="170"/>
        <v>61.39816832228076</v>
      </c>
      <c r="CB176" s="20">
        <f t="shared" si="171"/>
        <v>548.96387316130563</v>
      </c>
      <c r="CC176" s="59">
        <f t="shared" si="119"/>
        <v>842.29720649463889</v>
      </c>
      <c r="CD176" s="59">
        <f ca="1">AVERAGE(OFFSET($CC$3,0,0,'Données projet'!$E$12+1,1))-AVERAGE(OFFSET($H$3,0,0,'Données projet'!$E$12+1,1))</f>
        <v>353.37479213497227</v>
      </c>
      <c r="CE176" s="59">
        <f t="shared" si="148"/>
        <v>345.4750813433123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6.4846089840558889</v>
      </c>
      <c r="CL176" s="21">
        <f>EXP(-LN(2)/25)*CL175+(1-EXP(-LN(2)/25))/(LN(2)/25)*Calculateur!CG176*Calculateur!CI176*VLOOKUP('Données projet'!$B$12,Paramètres!$A$1:$I$89,3,0)*0.475*44/12</f>
        <v>0.19402233158340373</v>
      </c>
      <c r="CM176" s="21">
        <f>EXP(-LN(2)/2)*CM175+(1-EXP(-LN(2)/2))/(LN(2)/2)*CG176*CJ176*VLOOKUP('Données projet'!$B$12,Paramètres!$A$1:$I$89,3,0)*0.475*44/12</f>
        <v>6.1627345345328948E-15</v>
      </c>
      <c r="CN176" s="22">
        <f t="shared" si="172"/>
        <v>6.6786313156392989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277.99999999999994</v>
      </c>
      <c r="O177" s="13">
        <f>N177*VLOOKUP('Données projet'!$B$9,Paramètres!$A$1:$I$89,3,0)*VLOOKUP('Données projet'!$B$9,Paramètres!$A$1:$I$89,5,0)</f>
        <v>173.47199999999998</v>
      </c>
      <c r="P177" s="13">
        <f t="shared" si="141"/>
        <v>43.866718728383574</v>
      </c>
      <c r="Q177" s="20">
        <f t="shared" si="162"/>
        <v>378.53160178526804</v>
      </c>
      <c r="R177" s="59">
        <f t="shared" si="109"/>
        <v>671.86493511860135</v>
      </c>
      <c r="S177" s="59">
        <f ca="1">AVERAGE(OFFSET($R$3,0,0,'Données projet'!$E$9+1,1))-AVERAGE(OFFSET($H$3,0,0,'Données projet'!$E$9+1,1))</f>
        <v>232.56424130731699</v>
      </c>
      <c r="T177" s="59">
        <f t="shared" si="142"/>
        <v>384.58890620364178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1.8366220192342342</v>
      </c>
      <c r="AA177" s="21">
        <f>EXP(-LN(2)/25)*AA176+(1-EXP(-LN(2)/25))/(LN(2)/25)*Calculateur!V177*Calculateur!X177*VLOOKUP('Données projet'!$B$9,Paramètres!$A$1:$I$89,3,0)*0.475*44/12</f>
        <v>1.4742151942389818</v>
      </c>
      <c r="AB177" s="21">
        <f>EXP(-LN(2)/2)*AB176+(1-EXP(-LN(2)/2))/(LN(2)/2)*V177*Y177*VLOOKUP('Données projet'!$B$9,Paramètres!$A$1:$I$89,3,0)*0.475*44/12</f>
        <v>2.0930656529360882E-20</v>
      </c>
      <c r="AC177" s="22">
        <f t="shared" si="163"/>
        <v>3.3108372134732162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415.99999999999955</v>
      </c>
      <c r="AJ177" s="13">
        <f>AI177*VLOOKUP('Données projet'!$B$10,Paramètres!$A$1:$I$89,3,0)*VLOOKUP('Données projet'!$B$10,Paramètres!$A$1:$I$89,5,0)</f>
        <v>248.76799999999972</v>
      </c>
      <c r="AK177" s="13">
        <f t="shared" si="164"/>
        <v>60.32205079116369</v>
      </c>
      <c r="AL177" s="20">
        <f t="shared" si="165"/>
        <v>538.33183846127633</v>
      </c>
      <c r="AM177" s="59">
        <f t="shared" si="113"/>
        <v>831.66517179460971</v>
      </c>
      <c r="AN177" s="59">
        <f ca="1">AVERAGE(OFFSET($AM$3,0,0,'Données projet'!$E$10+1,1))-AVERAGE(OFFSET($H$3,0,0,'Données projet'!$E$10+1,1))</f>
        <v>279.39350157328471</v>
      </c>
      <c r="AO177" s="59">
        <f t="shared" si="144"/>
        <v>261.55559683031657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3.3043952460814876</v>
      </c>
      <c r="AV177" s="21">
        <f>EXP(-LN(2)/25)*AV176+(1-EXP(-LN(2)/25))/(LN(2)/25)*Calculateur!AQ177*Calculateur!AS177*VLOOKUP('Données projet'!$B$10,Paramètres!$A$1:$I$89,3,0)*0.475*44/12</f>
        <v>1.56660821744052</v>
      </c>
      <c r="AW177" s="21">
        <f>EXP(-LN(2)/2)*AW176+(1-EXP(-LN(2)/2))/(LN(2)/2)*AQ177*AT177*VLOOKUP('Données projet'!$B$10,Paramètres!$A$1:$I$89,3,0)*0.475*44/12</f>
        <v>1.3077436412981131E-16</v>
      </c>
      <c r="AX177" s="21">
        <f t="shared" si="166"/>
        <v>4.8710034635220074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475.00000000000011</v>
      </c>
      <c r="BE177" s="13">
        <f>BD177*VLOOKUP('Données projet'!$B$11,Paramètres!$A$1:$I$89,3,0)*VLOOKUP('Données projet'!$B$11,Paramètres!$A$1:$I$89,5,0)</f>
        <v>265.52500000000009</v>
      </c>
      <c r="BF177" s="13">
        <f t="shared" si="167"/>
        <v>63.898639547235177</v>
      </c>
      <c r="BG177" s="20">
        <f t="shared" si="168"/>
        <v>573.74617221143478</v>
      </c>
      <c r="BH177" s="59">
        <f t="shared" si="116"/>
        <v>867.07950554476815</v>
      </c>
      <c r="BI177" s="59">
        <f ca="1">AVERAGE(OFFSET($BH$3,0,0,'Données projet'!$E$11+1,1))-AVERAGE(OFFSET($H$3,0,0,'Données projet'!$E$11+1,1))</f>
        <v>342.37397177572871</v>
      </c>
      <c r="BJ177" s="59">
        <f t="shared" si="146"/>
        <v>331.32436050472762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5.1799120753885184</v>
      </c>
      <c r="BQ177" s="21">
        <f>EXP(-LN(2)/25)*BQ176+(1-EXP(-LN(2)/25))/(LN(2)/25)*Calculateur!BL177*Calculateur!BN177*VLOOKUP('Données projet'!$B$11,Paramètres!$A$1:$I$89,3,0)*0.475*44/12</f>
        <v>2.8430687314503724</v>
      </c>
      <c r="BR177" s="21">
        <f>EXP(-LN(2)/2)*BR176+(1-EXP(-LN(2)/2))/(LN(2)/2)*BL177*BO177*VLOOKUP('Données projet'!$B$11,Paramètres!$A$1:$I$89,3,0)*0.475*44/12</f>
        <v>9.3563305468532439E-16</v>
      </c>
      <c r="BS177" s="22">
        <f t="shared" si="169"/>
        <v>8.022980806838893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253.79640000000001</v>
      </c>
      <c r="CA177" s="13">
        <f t="shared" si="170"/>
        <v>61.39816832228076</v>
      </c>
      <c r="CB177" s="20">
        <f t="shared" si="171"/>
        <v>548.96387316130563</v>
      </c>
      <c r="CC177" s="59">
        <f t="shared" si="119"/>
        <v>842.29720649463889</v>
      </c>
      <c r="CD177" s="59">
        <f ca="1">AVERAGE(OFFSET($CC$3,0,0,'Données projet'!$E$12+1,1))-AVERAGE(OFFSET($H$3,0,0,'Données projet'!$E$12+1,1))</f>
        <v>353.37479213497227</v>
      </c>
      <c r="CE177" s="59">
        <f t="shared" si="148"/>
        <v>345.4750813433123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6.3574497570994879</v>
      </c>
      <c r="CL177" s="21">
        <f>EXP(-LN(2)/25)*CL176+(1-EXP(-LN(2)/25))/(LN(2)/25)*Calculateur!CG177*Calculateur!CI177*VLOOKUP('Données projet'!$B$12,Paramètres!$A$1:$I$89,3,0)*0.475*44/12</f>
        <v>0.18871678072306458</v>
      </c>
      <c r="CM177" s="21">
        <f>EXP(-LN(2)/2)*CM176+(1-EXP(-LN(2)/2))/(LN(2)/2)*CG177*CJ177*VLOOKUP('Données projet'!$B$12,Paramètres!$A$1:$I$89,3,0)*0.475*44/12</f>
        <v>4.3577113800207314E-15</v>
      </c>
      <c r="CN177" s="22">
        <f t="shared" si="172"/>
        <v>6.5461665378225566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277.99999999999994</v>
      </c>
      <c r="O178" s="13">
        <f>N178*VLOOKUP('Données projet'!$B$9,Paramètres!$A$1:$I$89,3,0)*VLOOKUP('Données projet'!$B$9,Paramètres!$A$1:$I$89,5,0)</f>
        <v>173.47199999999998</v>
      </c>
      <c r="P178" s="13">
        <f t="shared" si="141"/>
        <v>43.866718728383574</v>
      </c>
      <c r="Q178" s="20">
        <f t="shared" si="162"/>
        <v>378.53160178526804</v>
      </c>
      <c r="R178" s="59">
        <f t="shared" si="109"/>
        <v>671.86493511860135</v>
      </c>
      <c r="S178" s="59">
        <f ca="1">AVERAGE(OFFSET($R$3,0,0,'Données projet'!$E$9+1,1))-AVERAGE(OFFSET($H$3,0,0,'Données projet'!$E$9+1,1))</f>
        <v>232.56424130731699</v>
      </c>
      <c r="T178" s="59">
        <f t="shared" si="142"/>
        <v>384.58890620364178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1.8006069816658692</v>
      </c>
      <c r="AA178" s="21">
        <f>EXP(-LN(2)/25)*AA177+(1-EXP(-LN(2)/25))/(LN(2)/25)*Calculateur!V178*Calculateur!X178*VLOOKUP('Données projet'!$B$9,Paramètres!$A$1:$I$89,3,0)*0.475*44/12</f>
        <v>1.4339027022269091</v>
      </c>
      <c r="AB178" s="21">
        <f>EXP(-LN(2)/2)*AB177+(1-EXP(-LN(2)/2))/(LN(2)/2)*V178*Y178*VLOOKUP('Données projet'!$B$9,Paramètres!$A$1:$I$89,3,0)*0.475*44/12</f>
        <v>1.4800209166597567E-20</v>
      </c>
      <c r="AC178" s="22">
        <f t="shared" si="163"/>
        <v>3.234509683892778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415.99999999999955</v>
      </c>
      <c r="AJ178" s="13">
        <f>AI178*VLOOKUP('Données projet'!$B$10,Paramètres!$A$1:$I$89,3,0)*VLOOKUP('Données projet'!$B$10,Paramètres!$A$1:$I$89,5,0)</f>
        <v>248.76799999999972</v>
      </c>
      <c r="AK178" s="13">
        <f t="shared" si="164"/>
        <v>60.32205079116369</v>
      </c>
      <c r="AL178" s="20">
        <f t="shared" si="165"/>
        <v>538.33183846127633</v>
      </c>
      <c r="AM178" s="59">
        <f t="shared" si="113"/>
        <v>831.66517179460971</v>
      </c>
      <c r="AN178" s="59">
        <f ca="1">AVERAGE(OFFSET($AM$3,0,0,'Données projet'!$E$10+1,1))-AVERAGE(OFFSET($H$3,0,0,'Données projet'!$E$10+1,1))</f>
        <v>279.39350157328471</v>
      </c>
      <c r="AO178" s="59">
        <f t="shared" si="144"/>
        <v>261.55559683031657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3.2395980707879173</v>
      </c>
      <c r="AV178" s="21">
        <f>EXP(-LN(2)/25)*AV177+(1-EXP(-LN(2)/25))/(LN(2)/25)*Calculateur!AQ178*Calculateur!AS178*VLOOKUP('Données projet'!$B$10,Paramètres!$A$1:$I$89,3,0)*0.475*44/12</f>
        <v>1.5237692333502635</v>
      </c>
      <c r="AW178" s="21">
        <f>EXP(-LN(2)/2)*AW177+(1-EXP(-LN(2)/2))/(LN(2)/2)*AQ178*AT178*VLOOKUP('Données projet'!$B$10,Paramètres!$A$1:$I$89,3,0)*0.475*44/12</f>
        <v>9.2471439681548379E-17</v>
      </c>
      <c r="AX178" s="21">
        <f t="shared" si="166"/>
        <v>4.763367304138181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475.00000000000011</v>
      </c>
      <c r="BE178" s="13">
        <f>BD178*VLOOKUP('Données projet'!$B$11,Paramètres!$A$1:$I$89,3,0)*VLOOKUP('Données projet'!$B$11,Paramètres!$A$1:$I$89,5,0)</f>
        <v>265.52500000000009</v>
      </c>
      <c r="BF178" s="13">
        <f t="shared" si="167"/>
        <v>63.898639547235177</v>
      </c>
      <c r="BG178" s="20">
        <f t="shared" si="168"/>
        <v>573.74617221143478</v>
      </c>
      <c r="BH178" s="59">
        <f t="shared" si="116"/>
        <v>867.07950554476815</v>
      </c>
      <c r="BI178" s="59">
        <f ca="1">AVERAGE(OFFSET($BH$3,0,0,'Données projet'!$E$11+1,1))-AVERAGE(OFFSET($H$3,0,0,'Données projet'!$E$11+1,1))</f>
        <v>342.37397177572871</v>
      </c>
      <c r="BJ178" s="59">
        <f t="shared" si="146"/>
        <v>331.32436050472762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5.0783371590245476</v>
      </c>
      <c r="BQ178" s="21">
        <f>EXP(-LN(2)/25)*BQ177+(1-EXP(-LN(2)/25))/(LN(2)/25)*Calculateur!BL178*Calculateur!BN178*VLOOKUP('Données projet'!$B$11,Paramètres!$A$1:$I$89,3,0)*0.475*44/12</f>
        <v>2.7653248674783755</v>
      </c>
      <c r="BR178" s="21">
        <f>EXP(-LN(2)/2)*BR177+(1-EXP(-LN(2)/2))/(LN(2)/2)*BL178*BO178*VLOOKUP('Données projet'!$B$11,Paramètres!$A$1:$I$89,3,0)*0.475*44/12</f>
        <v>6.6159247767027673E-16</v>
      </c>
      <c r="BS178" s="22">
        <f t="shared" si="169"/>
        <v>7.8436620265029235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253.79640000000001</v>
      </c>
      <c r="CA178" s="13">
        <f t="shared" si="170"/>
        <v>61.39816832228076</v>
      </c>
      <c r="CB178" s="20">
        <f t="shared" si="171"/>
        <v>548.96387316130563</v>
      </c>
      <c r="CC178" s="59">
        <f t="shared" si="119"/>
        <v>842.29720649463889</v>
      </c>
      <c r="CD178" s="59">
        <f ca="1">AVERAGE(OFFSET($CC$3,0,0,'Données projet'!$E$12+1,1))-AVERAGE(OFFSET($H$3,0,0,'Données projet'!$E$12+1,1))</f>
        <v>353.37479213497227</v>
      </c>
      <c r="CE178" s="59">
        <f t="shared" si="148"/>
        <v>345.4750813433123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6.2327840450242311</v>
      </c>
      <c r="CL178" s="21">
        <f>EXP(-LN(2)/25)*CL177+(1-EXP(-LN(2)/25))/(LN(2)/25)*Calculateur!CG178*Calculateur!CI178*VLOOKUP('Données projet'!$B$12,Paramètres!$A$1:$I$89,3,0)*0.475*44/12</f>
        <v>0.1835563104300082</v>
      </c>
      <c r="CM178" s="21">
        <f>EXP(-LN(2)/2)*CM177+(1-EXP(-LN(2)/2))/(LN(2)/2)*CG178*CJ178*VLOOKUP('Données projet'!$B$12,Paramètres!$A$1:$I$89,3,0)*0.475*44/12</f>
        <v>3.0813672672664474E-15</v>
      </c>
      <c r="CN178" s="22">
        <f t="shared" si="172"/>
        <v>6.416340355454242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277.99999999999994</v>
      </c>
      <c r="O179" s="13">
        <f>N179*VLOOKUP('Données projet'!$B$9,Paramètres!$A$1:$I$89,3,0)*VLOOKUP('Données projet'!$B$9,Paramètres!$A$1:$I$89,5,0)</f>
        <v>173.47199999999998</v>
      </c>
      <c r="P179" s="13">
        <f t="shared" si="141"/>
        <v>43.866718728383574</v>
      </c>
      <c r="Q179" s="20">
        <f t="shared" si="162"/>
        <v>378.53160178526804</v>
      </c>
      <c r="R179" s="59">
        <f t="shared" si="109"/>
        <v>671.86493511860135</v>
      </c>
      <c r="S179" s="59">
        <f ca="1">AVERAGE(OFFSET($R$3,0,0,'Données projet'!$E$9+1,1))-AVERAGE(OFFSET($H$3,0,0,'Données projet'!$E$9+1,1))</f>
        <v>232.56424130731699</v>
      </c>
      <c r="T179" s="59">
        <f t="shared" si="142"/>
        <v>384.58890620364178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1.765298177017216</v>
      </c>
      <c r="AA179" s="21">
        <f>EXP(-LN(2)/25)*AA178+(1-EXP(-LN(2)/25))/(LN(2)/25)*Calculateur!V179*Calculateur!X179*VLOOKUP('Données projet'!$B$9,Paramètres!$A$1:$I$89,3,0)*0.475*44/12</f>
        <v>1.3946925574288485</v>
      </c>
      <c r="AB179" s="21">
        <f>EXP(-LN(2)/2)*AB178+(1-EXP(-LN(2)/2))/(LN(2)/2)*V179*Y179*VLOOKUP('Données projet'!$B$9,Paramètres!$A$1:$I$89,3,0)*0.475*44/12</f>
        <v>1.0465328264680441E-20</v>
      </c>
      <c r="AC179" s="22">
        <f t="shared" si="163"/>
        <v>3.1599907344460645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415.99999999999955</v>
      </c>
      <c r="AJ179" s="13">
        <f>AI179*VLOOKUP('Données projet'!$B$10,Paramètres!$A$1:$I$89,3,0)*VLOOKUP('Données projet'!$B$10,Paramètres!$A$1:$I$89,5,0)</f>
        <v>248.76799999999972</v>
      </c>
      <c r="AK179" s="13">
        <f t="shared" si="164"/>
        <v>60.32205079116369</v>
      </c>
      <c r="AL179" s="20">
        <f t="shared" si="165"/>
        <v>538.33183846127633</v>
      </c>
      <c r="AM179" s="59">
        <f t="shared" si="113"/>
        <v>831.66517179460971</v>
      </c>
      <c r="AN179" s="59">
        <f ca="1">AVERAGE(OFFSET($AM$3,0,0,'Données projet'!$E$10+1,1))-AVERAGE(OFFSET($H$3,0,0,'Données projet'!$E$10+1,1))</f>
        <v>279.39350157328471</v>
      </c>
      <c r="AO179" s="59">
        <f t="shared" si="144"/>
        <v>261.55559683031657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3.1760715285794796</v>
      </c>
      <c r="AV179" s="21">
        <f>EXP(-LN(2)/25)*AV178+(1-EXP(-LN(2)/25))/(LN(2)/25)*Calculateur!AQ179*Calculateur!AS179*VLOOKUP('Données projet'!$B$10,Paramètres!$A$1:$I$89,3,0)*0.475*44/12</f>
        <v>1.4821016835327592</v>
      </c>
      <c r="AW179" s="21">
        <f>EXP(-LN(2)/2)*AW178+(1-EXP(-LN(2)/2))/(LN(2)/2)*AQ179*AT179*VLOOKUP('Données projet'!$B$10,Paramètres!$A$1:$I$89,3,0)*0.475*44/12</f>
        <v>6.5387182064905657E-17</v>
      </c>
      <c r="AX179" s="21">
        <f t="shared" si="166"/>
        <v>4.6581732121122386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475.00000000000011</v>
      </c>
      <c r="BE179" s="13">
        <f>BD179*VLOOKUP('Données projet'!$B$11,Paramètres!$A$1:$I$89,3,0)*VLOOKUP('Données projet'!$B$11,Paramètres!$A$1:$I$89,5,0)</f>
        <v>265.52500000000009</v>
      </c>
      <c r="BF179" s="13">
        <f t="shared" si="167"/>
        <v>63.898639547235177</v>
      </c>
      <c r="BG179" s="20">
        <f t="shared" si="168"/>
        <v>573.74617221143478</v>
      </c>
      <c r="BH179" s="59">
        <f t="shared" si="116"/>
        <v>867.07950554476815</v>
      </c>
      <c r="BI179" s="59">
        <f ca="1">AVERAGE(OFFSET($BH$3,0,0,'Données projet'!$E$11+1,1))-AVERAGE(OFFSET($H$3,0,0,'Données projet'!$E$11+1,1))</f>
        <v>342.37397177572871</v>
      </c>
      <c r="BJ179" s="59">
        <f t="shared" si="146"/>
        <v>331.32436050472762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4.9787540648158926</v>
      </c>
      <c r="BQ179" s="21">
        <f>EXP(-LN(2)/25)*BQ178+(1-EXP(-LN(2)/25))/(LN(2)/25)*Calculateur!BL179*Calculateur!BN179*VLOOKUP('Données projet'!$B$11,Paramètres!$A$1:$I$89,3,0)*0.475*44/12</f>
        <v>2.6897069135550646</v>
      </c>
      <c r="BR179" s="21">
        <f>EXP(-LN(2)/2)*BR178+(1-EXP(-LN(2)/2))/(LN(2)/2)*BL179*BO179*VLOOKUP('Données projet'!$B$11,Paramètres!$A$1:$I$89,3,0)*0.475*44/12</f>
        <v>4.678165273426622E-16</v>
      </c>
      <c r="BS179" s="22">
        <f t="shared" si="169"/>
        <v>7.6684609783709581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253.79640000000001</v>
      </c>
      <c r="CA179" s="13">
        <f t="shared" si="170"/>
        <v>61.39816832228076</v>
      </c>
      <c r="CB179" s="20">
        <f t="shared" si="171"/>
        <v>548.96387316130563</v>
      </c>
      <c r="CC179" s="59">
        <f t="shared" si="119"/>
        <v>842.29720649463889</v>
      </c>
      <c r="CD179" s="59">
        <f ca="1">AVERAGE(OFFSET($CC$3,0,0,'Données projet'!$E$12+1,1))-AVERAGE(OFFSET($H$3,0,0,'Données projet'!$E$12+1,1))</f>
        <v>353.37479213497227</v>
      </c>
      <c r="CE179" s="59">
        <f t="shared" si="148"/>
        <v>345.4750813433123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6.1105629515241944</v>
      </c>
      <c r="CL179" s="21">
        <f>EXP(-LN(2)/25)*CL178+(1-EXP(-LN(2)/25))/(LN(2)/25)*Calculateur!CG179*Calculateur!CI179*VLOOKUP('Données projet'!$B$12,Paramètres!$A$1:$I$89,3,0)*0.475*44/12</f>
        <v>0.17853695346849277</v>
      </c>
      <c r="CM179" s="21">
        <f>EXP(-LN(2)/2)*CM178+(1-EXP(-LN(2)/2))/(LN(2)/2)*CG179*CJ179*VLOOKUP('Données projet'!$B$12,Paramètres!$A$1:$I$89,3,0)*0.475*44/12</f>
        <v>2.1788556900103657E-15</v>
      </c>
      <c r="CN179" s="22">
        <f t="shared" si="172"/>
        <v>6.289099904992689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277.99999999999994</v>
      </c>
      <c r="O180" s="13">
        <f>N180*VLOOKUP('Données projet'!$B$9,Paramètres!$A$1:$I$89,3,0)*VLOOKUP('Données projet'!$B$9,Paramètres!$A$1:$I$89,5,0)</f>
        <v>173.47199999999998</v>
      </c>
      <c r="P180" s="13">
        <f t="shared" si="141"/>
        <v>43.866718728383574</v>
      </c>
      <c r="Q180" s="20">
        <f t="shared" si="162"/>
        <v>378.53160178526804</v>
      </c>
      <c r="R180" s="59">
        <f t="shared" si="109"/>
        <v>671.86493511860135</v>
      </c>
      <c r="S180" s="59">
        <f ca="1">AVERAGE(OFFSET($R$3,0,0,'Données projet'!$E$9+1,1))-AVERAGE(OFFSET($H$3,0,0,'Données projet'!$E$9+1,1))</f>
        <v>232.56424130731699</v>
      </c>
      <c r="T180" s="59">
        <f t="shared" si="142"/>
        <v>384.58890620364178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1.7306817564914785</v>
      </c>
      <c r="AA180" s="21">
        <f>EXP(-LN(2)/25)*AA179+(1-EXP(-LN(2)/25))/(LN(2)/25)*Calculateur!V180*Calculateur!X180*VLOOKUP('Données projet'!$B$9,Paramètres!$A$1:$I$89,3,0)*0.475*44/12</f>
        <v>1.3565546161022626</v>
      </c>
      <c r="AB180" s="21">
        <f>EXP(-LN(2)/2)*AB179+(1-EXP(-LN(2)/2))/(LN(2)/2)*V180*Y180*VLOOKUP('Données projet'!$B$9,Paramètres!$A$1:$I$89,3,0)*0.475*44/12</f>
        <v>7.4001045832987835E-21</v>
      </c>
      <c r="AC180" s="22">
        <f t="shared" si="163"/>
        <v>3.0872363725937411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415.99999999999955</v>
      </c>
      <c r="AJ180" s="13">
        <f>AI180*VLOOKUP('Données projet'!$B$10,Paramètres!$A$1:$I$89,3,0)*VLOOKUP('Données projet'!$B$10,Paramètres!$A$1:$I$89,5,0)</f>
        <v>248.76799999999972</v>
      </c>
      <c r="AK180" s="13">
        <f t="shared" si="164"/>
        <v>60.32205079116369</v>
      </c>
      <c r="AL180" s="20">
        <f t="shared" si="165"/>
        <v>538.33183846127633</v>
      </c>
      <c r="AM180" s="59">
        <f t="shared" si="113"/>
        <v>831.66517179460971</v>
      </c>
      <c r="AN180" s="59">
        <f ca="1">AVERAGE(OFFSET($AM$3,0,0,'Données projet'!$E$10+1,1))-AVERAGE(OFFSET($H$3,0,0,'Données projet'!$E$10+1,1))</f>
        <v>279.39350157328471</v>
      </c>
      <c r="AO180" s="59">
        <f t="shared" si="144"/>
        <v>261.55559683031657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3.1137907031163845</v>
      </c>
      <c r="AV180" s="21">
        <f>EXP(-LN(2)/25)*AV179+(1-EXP(-LN(2)/25))/(LN(2)/25)*Calculateur!AQ180*Calculateur!AS180*VLOOKUP('Données projet'!$B$10,Paramètres!$A$1:$I$89,3,0)*0.475*44/12</f>
        <v>1.4415735350562158</v>
      </c>
      <c r="AW180" s="21">
        <f>EXP(-LN(2)/2)*AW179+(1-EXP(-LN(2)/2))/(LN(2)/2)*AQ180*AT180*VLOOKUP('Données projet'!$B$10,Paramètres!$A$1:$I$89,3,0)*0.475*44/12</f>
        <v>4.6235719840774189E-17</v>
      </c>
      <c r="AX180" s="21">
        <f t="shared" si="166"/>
        <v>4.5553642381726007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475.00000000000011</v>
      </c>
      <c r="BE180" s="13">
        <f>BD180*VLOOKUP('Données projet'!$B$11,Paramètres!$A$1:$I$89,3,0)*VLOOKUP('Données projet'!$B$11,Paramètres!$A$1:$I$89,5,0)</f>
        <v>265.52500000000009</v>
      </c>
      <c r="BF180" s="13">
        <f t="shared" si="167"/>
        <v>63.898639547235177</v>
      </c>
      <c r="BG180" s="20">
        <f t="shared" si="168"/>
        <v>573.74617221143478</v>
      </c>
      <c r="BH180" s="59">
        <f t="shared" si="116"/>
        <v>867.07950554476815</v>
      </c>
      <c r="BI180" s="59">
        <f ca="1">AVERAGE(OFFSET($BH$3,0,0,'Données projet'!$E$11+1,1))-AVERAGE(OFFSET($H$3,0,0,'Données projet'!$E$11+1,1))</f>
        <v>342.37397177572871</v>
      </c>
      <c r="BJ180" s="59">
        <f t="shared" si="146"/>
        <v>331.32436050472762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4.8811237343449791</v>
      </c>
      <c r="BQ180" s="21">
        <f>EXP(-LN(2)/25)*BQ179+(1-EXP(-LN(2)/25))/(LN(2)/25)*Calculateur!BL180*Calculateur!BN180*VLOOKUP('Données projet'!$B$11,Paramètres!$A$1:$I$89,3,0)*0.475*44/12</f>
        <v>2.616156736558362</v>
      </c>
      <c r="BR180" s="21">
        <f>EXP(-LN(2)/2)*BR179+(1-EXP(-LN(2)/2))/(LN(2)/2)*BL180*BO180*VLOOKUP('Données projet'!$B$11,Paramètres!$A$1:$I$89,3,0)*0.475*44/12</f>
        <v>3.3079623883513836E-16</v>
      </c>
      <c r="BS180" s="22">
        <f t="shared" si="169"/>
        <v>7.4972804709033412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253.79640000000001</v>
      </c>
      <c r="CA180" s="13">
        <f t="shared" si="170"/>
        <v>61.39816832228076</v>
      </c>
      <c r="CB180" s="20">
        <f t="shared" si="171"/>
        <v>548.96387316130563</v>
      </c>
      <c r="CC180" s="59">
        <f t="shared" si="119"/>
        <v>842.29720649463889</v>
      </c>
      <c r="CD180" s="59">
        <f ca="1">AVERAGE(OFFSET($CC$3,0,0,'Données projet'!$E$12+1,1))-AVERAGE(OFFSET($H$3,0,0,'Données projet'!$E$12+1,1))</f>
        <v>353.37479213497227</v>
      </c>
      <c r="CE180" s="59">
        <f t="shared" si="148"/>
        <v>345.4750813433123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5.9907385391201871</v>
      </c>
      <c r="CL180" s="21">
        <f>EXP(-LN(2)/25)*CL179+(1-EXP(-LN(2)/25))/(LN(2)/25)*Calculateur!CG180*Calculateur!CI180*VLOOKUP('Données projet'!$B$12,Paramètres!$A$1:$I$89,3,0)*0.475*44/12</f>
        <v>0.17365485108704651</v>
      </c>
      <c r="CM180" s="21">
        <f>EXP(-LN(2)/2)*CM179+(1-EXP(-LN(2)/2))/(LN(2)/2)*CG180*CJ180*VLOOKUP('Données projet'!$B$12,Paramètres!$A$1:$I$89,3,0)*0.475*44/12</f>
        <v>1.5406836336332237E-15</v>
      </c>
      <c r="CN180" s="22">
        <f t="shared" si="172"/>
        <v>6.164393390207235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277.99999999999994</v>
      </c>
      <c r="O181" s="13">
        <f>N181*VLOOKUP('Données projet'!$B$9,Paramètres!$A$1:$I$89,3,0)*VLOOKUP('Données projet'!$B$9,Paramètres!$A$1:$I$89,5,0)</f>
        <v>173.47199999999998</v>
      </c>
      <c r="P181" s="13">
        <f t="shared" si="141"/>
        <v>43.866718728383574</v>
      </c>
      <c r="Q181" s="20">
        <f t="shared" si="162"/>
        <v>378.53160178526804</v>
      </c>
      <c r="R181" s="59">
        <f t="shared" si="109"/>
        <v>671.86493511860135</v>
      </c>
      <c r="S181" s="59">
        <f ca="1">AVERAGE(OFFSET($R$3,0,0,'Données projet'!$E$9+1,1))-AVERAGE(OFFSET($H$3,0,0,'Données projet'!$E$9+1,1))</f>
        <v>232.56424130731699</v>
      </c>
      <c r="T181" s="59">
        <f t="shared" si="142"/>
        <v>384.58890620364178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1.696744142858319</v>
      </c>
      <c r="AA181" s="21">
        <f>EXP(-LN(2)/25)*AA180+(1-EXP(-LN(2)/25))/(LN(2)/25)*Calculateur!V181*Calculateur!X181*VLOOKUP('Données projet'!$B$9,Paramètres!$A$1:$I$89,3,0)*0.475*44/12</f>
        <v>1.3194595587868394</v>
      </c>
      <c r="AB181" s="21">
        <f>EXP(-LN(2)/2)*AB180+(1-EXP(-LN(2)/2))/(LN(2)/2)*V181*Y181*VLOOKUP('Données projet'!$B$9,Paramètres!$A$1:$I$89,3,0)*0.475*44/12</f>
        <v>5.2326641323402204E-21</v>
      </c>
      <c r="AC181" s="22">
        <f t="shared" si="163"/>
        <v>3.0162037016451584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415.99999999999955</v>
      </c>
      <c r="AJ181" s="13">
        <f>AI181*VLOOKUP('Données projet'!$B$10,Paramètres!$A$1:$I$89,3,0)*VLOOKUP('Données projet'!$B$10,Paramètres!$A$1:$I$89,5,0)</f>
        <v>248.76799999999972</v>
      </c>
      <c r="AK181" s="13">
        <f t="shared" si="164"/>
        <v>60.32205079116369</v>
      </c>
      <c r="AL181" s="20">
        <f t="shared" si="165"/>
        <v>538.33183846127633</v>
      </c>
      <c r="AM181" s="59">
        <f t="shared" si="113"/>
        <v>831.66517179460971</v>
      </c>
      <c r="AN181" s="59">
        <f ca="1">AVERAGE(OFFSET($AM$3,0,0,'Données projet'!$E$10+1,1))-AVERAGE(OFFSET($H$3,0,0,'Données projet'!$E$10+1,1))</f>
        <v>279.39350157328471</v>
      </c>
      <c r="AO181" s="59">
        <f t="shared" si="144"/>
        <v>261.55559683031657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3.0527311666530683</v>
      </c>
      <c r="AV181" s="21">
        <f>EXP(-LN(2)/25)*AV180+(1-EXP(-LN(2)/25))/(LN(2)/25)*Calculateur!AQ181*Calculateur!AS181*VLOOKUP('Données projet'!$B$10,Paramètres!$A$1:$I$89,3,0)*0.475*44/12</f>
        <v>1.4021536309310461</v>
      </c>
      <c r="AW181" s="21">
        <f>EXP(-LN(2)/2)*AW180+(1-EXP(-LN(2)/2))/(LN(2)/2)*AQ181*AT181*VLOOKUP('Données projet'!$B$10,Paramètres!$A$1:$I$89,3,0)*0.475*44/12</f>
        <v>3.2693591032452828E-17</v>
      </c>
      <c r="AX181" s="21">
        <f t="shared" si="166"/>
        <v>4.4548847975841142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475.00000000000011</v>
      </c>
      <c r="BE181" s="13">
        <f>BD181*VLOOKUP('Données projet'!$B$11,Paramètres!$A$1:$I$89,3,0)*VLOOKUP('Données projet'!$B$11,Paramètres!$A$1:$I$89,5,0)</f>
        <v>265.52500000000009</v>
      </c>
      <c r="BF181" s="13">
        <f t="shared" si="167"/>
        <v>63.898639547235177</v>
      </c>
      <c r="BG181" s="20">
        <f t="shared" si="168"/>
        <v>573.74617221143478</v>
      </c>
      <c r="BH181" s="59">
        <f t="shared" si="116"/>
        <v>867.07950554476815</v>
      </c>
      <c r="BI181" s="59">
        <f ca="1">AVERAGE(OFFSET($BH$3,0,0,'Données projet'!$E$11+1,1))-AVERAGE(OFFSET($H$3,0,0,'Données projet'!$E$11+1,1))</f>
        <v>342.37397177572871</v>
      </c>
      <c r="BJ181" s="59">
        <f t="shared" si="146"/>
        <v>331.32436050472762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4.785407875105979</v>
      </c>
      <c r="BQ181" s="21">
        <f>EXP(-LN(2)/25)*BQ180+(1-EXP(-LN(2)/25))/(LN(2)/25)*Calculateur!BL181*Calculateur!BN181*VLOOKUP('Données projet'!$B$11,Paramètres!$A$1:$I$89,3,0)*0.475*44/12</f>
        <v>2.5446177930194702</v>
      </c>
      <c r="BR181" s="21">
        <f>EXP(-LN(2)/2)*BR180+(1-EXP(-LN(2)/2))/(LN(2)/2)*BL181*BO181*VLOOKUP('Données projet'!$B$11,Paramètres!$A$1:$I$89,3,0)*0.475*44/12</f>
        <v>2.339082636713311E-16</v>
      </c>
      <c r="BS181" s="22">
        <f t="shared" si="169"/>
        <v>7.3300256681254492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253.79640000000001</v>
      </c>
      <c r="CA181" s="13">
        <f t="shared" si="170"/>
        <v>61.39816832228076</v>
      </c>
      <c r="CB181" s="20">
        <f t="shared" si="171"/>
        <v>548.96387316130563</v>
      </c>
      <c r="CC181" s="59">
        <f t="shared" si="119"/>
        <v>842.29720649463889</v>
      </c>
      <c r="CD181" s="59">
        <f ca="1">AVERAGE(OFFSET($CC$3,0,0,'Données projet'!$E$12+1,1))-AVERAGE(OFFSET($H$3,0,0,'Données projet'!$E$12+1,1))</f>
        <v>353.37479213497227</v>
      </c>
      <c r="CE181" s="59">
        <f t="shared" si="148"/>
        <v>345.4750813433123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5.8732638103577477</v>
      </c>
      <c r="CL181" s="21">
        <f>EXP(-LN(2)/25)*CL180+(1-EXP(-LN(2)/25))/(LN(2)/25)*Calculateur!CG181*Calculateur!CI181*VLOOKUP('Données projet'!$B$12,Paramètres!$A$1:$I$89,3,0)*0.475*44/12</f>
        <v>0.1689062500519595</v>
      </c>
      <c r="CM181" s="21">
        <f>EXP(-LN(2)/2)*CM180+(1-EXP(-LN(2)/2))/(LN(2)/2)*CG181*CJ181*VLOOKUP('Données projet'!$B$12,Paramètres!$A$1:$I$89,3,0)*0.475*44/12</f>
        <v>1.0894278450051828E-15</v>
      </c>
      <c r="CN181" s="22">
        <f t="shared" si="172"/>
        <v>6.0421700604097079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277.99999999999994</v>
      </c>
      <c r="O182" s="13">
        <f>N182*VLOOKUP('Données projet'!$B$9,Paramètres!$A$1:$I$89,3,0)*VLOOKUP('Données projet'!$B$9,Paramètres!$A$1:$I$89,5,0)</f>
        <v>173.47199999999998</v>
      </c>
      <c r="P182" s="13">
        <f t="shared" si="141"/>
        <v>43.866718728383574</v>
      </c>
      <c r="Q182" s="20">
        <f t="shared" si="162"/>
        <v>378.53160178526804</v>
      </c>
      <c r="R182" s="59">
        <f t="shared" si="109"/>
        <v>671.86493511860135</v>
      </c>
      <c r="S182" s="59">
        <f ca="1">AVERAGE(OFFSET($R$3,0,0,'Données projet'!$E$9+1,1))-AVERAGE(OFFSET($H$3,0,0,'Données projet'!$E$9+1,1))</f>
        <v>232.56424130731699</v>
      </c>
      <c r="T182" s="59">
        <f t="shared" si="142"/>
        <v>384.58890620364178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1.6634720251286055</v>
      </c>
      <c r="AA182" s="21">
        <f>EXP(-LN(2)/25)*AA181+(1-EXP(-LN(2)/25))/(LN(2)/25)*Calculateur!V182*Calculateur!X182*VLOOKUP('Données projet'!$B$9,Paramètres!$A$1:$I$89,3,0)*0.475*44/12</f>
        <v>1.2833788677644506</v>
      </c>
      <c r="AB182" s="21">
        <f>EXP(-LN(2)/2)*AB181+(1-EXP(-LN(2)/2))/(LN(2)/2)*V182*Y182*VLOOKUP('Données projet'!$B$9,Paramètres!$A$1:$I$89,3,0)*0.475*44/12</f>
        <v>3.7000522916493917E-21</v>
      </c>
      <c r="AC182" s="22">
        <f t="shared" si="163"/>
        <v>2.9468508928930559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415.99999999999955</v>
      </c>
      <c r="AJ182" s="13">
        <f>AI182*VLOOKUP('Données projet'!$B$10,Paramètres!$A$1:$I$89,3,0)*VLOOKUP('Données projet'!$B$10,Paramètres!$A$1:$I$89,5,0)</f>
        <v>248.76799999999972</v>
      </c>
      <c r="AK182" s="13">
        <f t="shared" si="164"/>
        <v>60.32205079116369</v>
      </c>
      <c r="AL182" s="20">
        <f t="shared" si="165"/>
        <v>538.33183846127633</v>
      </c>
      <c r="AM182" s="59">
        <f t="shared" si="113"/>
        <v>831.66517179460971</v>
      </c>
      <c r="AN182" s="59">
        <f ca="1">AVERAGE(OFFSET($AM$3,0,0,'Données projet'!$E$10+1,1))-AVERAGE(OFFSET($H$3,0,0,'Données projet'!$E$10+1,1))</f>
        <v>279.39350157328471</v>
      </c>
      <c r="AO182" s="59">
        <f t="shared" si="144"/>
        <v>261.55559683031657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2.9928689704571578</v>
      </c>
      <c r="AV182" s="21">
        <f>EXP(-LN(2)/25)*AV181+(1-EXP(-LN(2)/25))/(LN(2)/25)*Calculateur!AQ182*Calculateur!AS182*VLOOKUP('Données projet'!$B$10,Paramètres!$A$1:$I$89,3,0)*0.475*44/12</f>
        <v>1.3638116661571817</v>
      </c>
      <c r="AW182" s="21">
        <f>EXP(-LN(2)/2)*AW181+(1-EXP(-LN(2)/2))/(LN(2)/2)*AQ182*AT182*VLOOKUP('Données projet'!$B$10,Paramètres!$A$1:$I$89,3,0)*0.475*44/12</f>
        <v>2.3117859920387095E-17</v>
      </c>
      <c r="AX182" s="21">
        <f t="shared" si="166"/>
        <v>4.3566806366143398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475.00000000000011</v>
      </c>
      <c r="BE182" s="13">
        <f>BD182*VLOOKUP('Données projet'!$B$11,Paramètres!$A$1:$I$89,3,0)*VLOOKUP('Données projet'!$B$11,Paramètres!$A$1:$I$89,5,0)</f>
        <v>265.52500000000009</v>
      </c>
      <c r="BF182" s="13">
        <f t="shared" si="167"/>
        <v>63.898639547235177</v>
      </c>
      <c r="BG182" s="20">
        <f t="shared" si="168"/>
        <v>573.74617221143478</v>
      </c>
      <c r="BH182" s="59">
        <f t="shared" si="116"/>
        <v>867.07950554476815</v>
      </c>
      <c r="BI182" s="59">
        <f ca="1">AVERAGE(OFFSET($BH$3,0,0,'Données projet'!$E$11+1,1))-AVERAGE(OFFSET($H$3,0,0,'Données projet'!$E$11+1,1))</f>
        <v>342.37397177572871</v>
      </c>
      <c r="BJ182" s="59">
        <f t="shared" si="146"/>
        <v>331.32436050472762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4.6915689454857459</v>
      </c>
      <c r="BQ182" s="21">
        <f>EXP(-LN(2)/25)*BQ181+(1-EXP(-LN(2)/25))/(LN(2)/25)*Calculateur!BL182*Calculateur!BN182*VLOOKUP('Données projet'!$B$11,Paramètres!$A$1:$I$89,3,0)*0.475*44/12</f>
        <v>2.4750350856537189</v>
      </c>
      <c r="BR182" s="21">
        <f>EXP(-LN(2)/2)*BR181+(1-EXP(-LN(2)/2))/(LN(2)/2)*BL182*BO182*VLOOKUP('Données projet'!$B$11,Paramètres!$A$1:$I$89,3,0)*0.475*44/12</f>
        <v>1.6539811941756918E-16</v>
      </c>
      <c r="BS182" s="22">
        <f t="shared" si="169"/>
        <v>7.1666040311394648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253.79640000000001</v>
      </c>
      <c r="CA182" s="13">
        <f t="shared" si="170"/>
        <v>61.39816832228076</v>
      </c>
      <c r="CB182" s="20">
        <f t="shared" si="171"/>
        <v>548.96387316130563</v>
      </c>
      <c r="CC182" s="59">
        <f t="shared" si="119"/>
        <v>842.29720649463889</v>
      </c>
      <c r="CD182" s="59">
        <f ca="1">AVERAGE(OFFSET($CC$3,0,0,'Données projet'!$E$12+1,1))-AVERAGE(OFFSET($H$3,0,0,'Données projet'!$E$12+1,1))</f>
        <v>353.37479213497227</v>
      </c>
      <c r="CE182" s="59">
        <f t="shared" si="148"/>
        <v>345.4750813433123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5.7580926893738305</v>
      </c>
      <c r="CL182" s="21">
        <f>EXP(-LN(2)/25)*CL181+(1-EXP(-LN(2)/25))/(LN(2)/25)*Calculateur!CG182*Calculateur!CI182*VLOOKUP('Données projet'!$B$12,Paramètres!$A$1:$I$89,3,0)*0.475*44/12</f>
        <v>0.16428749976189502</v>
      </c>
      <c r="CM182" s="21">
        <f>EXP(-LN(2)/2)*CM181+(1-EXP(-LN(2)/2))/(LN(2)/2)*CG182*CJ182*VLOOKUP('Données projet'!$B$12,Paramètres!$A$1:$I$89,3,0)*0.475*44/12</f>
        <v>7.7034181681661185E-16</v>
      </c>
      <c r="CN182" s="22">
        <f t="shared" si="172"/>
        <v>5.9223801891357262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277.99999999999994</v>
      </c>
      <c r="O183" s="13">
        <f>N183*VLOOKUP('Données projet'!$B$9,Paramètres!$A$1:$I$89,3,0)*VLOOKUP('Données projet'!$B$9,Paramètres!$A$1:$I$89,5,0)</f>
        <v>173.47199999999998</v>
      </c>
      <c r="P183" s="13">
        <f t="shared" si="141"/>
        <v>43.866718728383574</v>
      </c>
      <c r="Q183" s="20">
        <f t="shared" si="162"/>
        <v>378.53160178526804</v>
      </c>
      <c r="R183" s="59">
        <f t="shared" si="109"/>
        <v>671.86493511860135</v>
      </c>
      <c r="S183" s="59">
        <f ca="1">AVERAGE(OFFSET($R$3,0,0,'Données projet'!$E$9+1,1))-AVERAGE(OFFSET($H$3,0,0,'Données projet'!$E$9+1,1))</f>
        <v>232.56424130731699</v>
      </c>
      <c r="T183" s="59">
        <f t="shared" si="142"/>
        <v>384.58890620364178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1.6308523533335837</v>
      </c>
      <c r="AA183" s="21">
        <f>EXP(-LN(2)/25)*AA182+(1-EXP(-LN(2)/25))/(LN(2)/25)*Calculateur!V183*Calculateur!X183*VLOOKUP('Données projet'!$B$9,Paramètres!$A$1:$I$89,3,0)*0.475*44/12</f>
        <v>1.2482848051354702</v>
      </c>
      <c r="AB183" s="21">
        <f>EXP(-LN(2)/2)*AB182+(1-EXP(-LN(2)/2))/(LN(2)/2)*V183*Y183*VLOOKUP('Données projet'!$B$9,Paramètres!$A$1:$I$89,3,0)*0.475*44/12</f>
        <v>2.6163320661701102E-21</v>
      </c>
      <c r="AC183" s="22">
        <f t="shared" si="163"/>
        <v>2.8791371584690539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415.99999999999955</v>
      </c>
      <c r="AJ183" s="13">
        <f>AI183*VLOOKUP('Données projet'!$B$10,Paramètres!$A$1:$I$89,3,0)*VLOOKUP('Données projet'!$B$10,Paramètres!$A$1:$I$89,5,0)</f>
        <v>248.76799999999972</v>
      </c>
      <c r="AK183" s="13">
        <f t="shared" si="164"/>
        <v>60.32205079116369</v>
      </c>
      <c r="AL183" s="20">
        <f t="shared" si="165"/>
        <v>538.33183846127633</v>
      </c>
      <c r="AM183" s="59">
        <f t="shared" si="113"/>
        <v>831.66517179460971</v>
      </c>
      <c r="AN183" s="59">
        <f ca="1">AVERAGE(OFFSET($AM$3,0,0,'Données projet'!$E$10+1,1))-AVERAGE(OFFSET($H$3,0,0,'Données projet'!$E$10+1,1))</f>
        <v>279.39350157328471</v>
      </c>
      <c r="AO183" s="59">
        <f t="shared" si="144"/>
        <v>261.55559683031657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2.9341806354163147</v>
      </c>
      <c r="AV183" s="21">
        <f>EXP(-LN(2)/25)*AV182+(1-EXP(-LN(2)/25))/(LN(2)/25)*Calculateur!AQ183*Calculateur!AS183*VLOOKUP('Données projet'!$B$10,Paramètres!$A$1:$I$89,3,0)*0.475*44/12</f>
        <v>1.326518164426375</v>
      </c>
      <c r="AW183" s="21">
        <f>EXP(-LN(2)/2)*AW182+(1-EXP(-LN(2)/2))/(LN(2)/2)*AQ183*AT183*VLOOKUP('Données projet'!$B$10,Paramètres!$A$1:$I$89,3,0)*0.475*44/12</f>
        <v>1.6346795516226414E-17</v>
      </c>
      <c r="AX183" s="21">
        <f t="shared" si="166"/>
        <v>4.2606987998426895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475.00000000000011</v>
      </c>
      <c r="BE183" s="13">
        <f>BD183*VLOOKUP('Données projet'!$B$11,Paramètres!$A$1:$I$89,3,0)*VLOOKUP('Données projet'!$B$11,Paramètres!$A$1:$I$89,5,0)</f>
        <v>265.52500000000009</v>
      </c>
      <c r="BF183" s="13">
        <f t="shared" si="167"/>
        <v>63.898639547235177</v>
      </c>
      <c r="BG183" s="20">
        <f t="shared" si="168"/>
        <v>573.74617221143478</v>
      </c>
      <c r="BH183" s="59">
        <f t="shared" si="116"/>
        <v>867.07950554476815</v>
      </c>
      <c r="BI183" s="59">
        <f ca="1">AVERAGE(OFFSET($BH$3,0,0,'Données projet'!$E$11+1,1))-AVERAGE(OFFSET($H$3,0,0,'Données projet'!$E$11+1,1))</f>
        <v>342.37397177572871</v>
      </c>
      <c r="BJ183" s="59">
        <f t="shared" si="146"/>
        <v>331.32436050472762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4.5995701400392699</v>
      </c>
      <c r="BQ183" s="21">
        <f>EXP(-LN(2)/25)*BQ182+(1-EXP(-LN(2)/25))/(LN(2)/25)*Calculateur!BL183*Calculateur!BN183*VLOOKUP('Données projet'!$B$11,Paramètres!$A$1:$I$89,3,0)*0.475*44/12</f>
        <v>2.4073551210800797</v>
      </c>
      <c r="BR183" s="21">
        <f>EXP(-LN(2)/2)*BR182+(1-EXP(-LN(2)/2))/(LN(2)/2)*BL183*BO183*VLOOKUP('Données projet'!$B$11,Paramètres!$A$1:$I$89,3,0)*0.475*44/12</f>
        <v>1.1695413183566555E-16</v>
      </c>
      <c r="BS183" s="22">
        <f t="shared" si="169"/>
        <v>7.0069252611193491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253.79640000000001</v>
      </c>
      <c r="CA183" s="13">
        <f t="shared" si="170"/>
        <v>61.39816832228076</v>
      </c>
      <c r="CB183" s="20">
        <f t="shared" si="171"/>
        <v>548.96387316130563</v>
      </c>
      <c r="CC183" s="59">
        <f t="shared" si="119"/>
        <v>842.29720649463889</v>
      </c>
      <c r="CD183" s="59">
        <f ca="1">AVERAGE(OFFSET($CC$3,0,0,'Données projet'!$E$12+1,1))-AVERAGE(OFFSET($H$3,0,0,'Données projet'!$E$12+1,1))</f>
        <v>353.37479213497227</v>
      </c>
      <c r="CE183" s="59">
        <f t="shared" si="148"/>
        <v>345.4750813433123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5.6451800038249598</v>
      </c>
      <c r="CL183" s="21">
        <f>EXP(-LN(2)/25)*CL182+(1-EXP(-LN(2)/25))/(LN(2)/25)*Calculateur!CG183*Calculateur!CI183*VLOOKUP('Données projet'!$B$12,Paramètres!$A$1:$I$89,3,0)*0.475*44/12</f>
        <v>0.15979504944140188</v>
      </c>
      <c r="CM183" s="21">
        <f>EXP(-LN(2)/2)*CM182+(1-EXP(-LN(2)/2))/(LN(2)/2)*CG183*CJ183*VLOOKUP('Données projet'!$B$12,Paramètres!$A$1:$I$89,3,0)*0.475*44/12</f>
        <v>5.4471392250259142E-16</v>
      </c>
      <c r="CN183" s="22">
        <f t="shared" si="172"/>
        <v>5.8049750532663627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277.99999999999994</v>
      </c>
      <c r="O184" s="13">
        <f>N184*VLOOKUP('Données projet'!$B$9,Paramètres!$A$1:$I$89,3,0)*VLOOKUP('Données projet'!$B$9,Paramètres!$A$1:$I$89,5,0)</f>
        <v>173.47199999999998</v>
      </c>
      <c r="P184" s="13">
        <f t="shared" si="141"/>
        <v>43.866718728383574</v>
      </c>
      <c r="Q184" s="20">
        <f t="shared" si="162"/>
        <v>378.53160178526804</v>
      </c>
      <c r="R184" s="59">
        <f t="shared" si="109"/>
        <v>671.86493511860135</v>
      </c>
      <c r="S184" s="59">
        <f ca="1">AVERAGE(OFFSET($R$3,0,0,'Données projet'!$E$9+1,1))-AVERAGE(OFFSET($H$3,0,0,'Données projet'!$E$9+1,1))</f>
        <v>232.56424130731699</v>
      </c>
      <c r="T184" s="59">
        <f t="shared" si="142"/>
        <v>384.58890620364178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1.598872333406427</v>
      </c>
      <c r="AA184" s="21">
        <f>EXP(-LN(2)/25)*AA183+(1-EXP(-LN(2)/25))/(LN(2)/25)*Calculateur!V184*Calculateur!X184*VLOOKUP('Données projet'!$B$9,Paramètres!$A$1:$I$89,3,0)*0.475*44/12</f>
        <v>1.2141503914945959</v>
      </c>
      <c r="AB184" s="21">
        <f>EXP(-LN(2)/2)*AB183+(1-EXP(-LN(2)/2))/(LN(2)/2)*V184*Y184*VLOOKUP('Données projet'!$B$9,Paramètres!$A$1:$I$89,3,0)*0.475*44/12</f>
        <v>1.8500261458246959E-21</v>
      </c>
      <c r="AC184" s="22">
        <f t="shared" si="163"/>
        <v>2.8130227249010229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415.99999999999955</v>
      </c>
      <c r="AJ184" s="13">
        <f>AI184*VLOOKUP('Données projet'!$B$10,Paramètres!$A$1:$I$89,3,0)*VLOOKUP('Données projet'!$B$10,Paramètres!$A$1:$I$89,5,0)</f>
        <v>248.76799999999972</v>
      </c>
      <c r="AK184" s="13">
        <f t="shared" si="164"/>
        <v>60.32205079116369</v>
      </c>
      <c r="AL184" s="20">
        <f t="shared" si="165"/>
        <v>538.33183846127633</v>
      </c>
      <c r="AM184" s="59">
        <f t="shared" si="113"/>
        <v>831.66517179460971</v>
      </c>
      <c r="AN184" s="59">
        <f ca="1">AVERAGE(OFFSET($AM$3,0,0,'Données projet'!$E$10+1,1))-AVERAGE(OFFSET($H$3,0,0,'Données projet'!$E$10+1,1))</f>
        <v>279.39350157328471</v>
      </c>
      <c r="AO184" s="59">
        <f t="shared" si="144"/>
        <v>261.55559683031657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2.8766431428292729</v>
      </c>
      <c r="AV184" s="21">
        <f>EXP(-LN(2)/25)*AV183+(1-EXP(-LN(2)/25))/(LN(2)/25)*Calculateur!AQ184*Calculateur!AS184*VLOOKUP('Données projet'!$B$10,Paramètres!$A$1:$I$89,3,0)*0.475*44/12</f>
        <v>1.2902444554615773</v>
      </c>
      <c r="AW184" s="21">
        <f>EXP(-LN(2)/2)*AW183+(1-EXP(-LN(2)/2))/(LN(2)/2)*AQ184*AT184*VLOOKUP('Données projet'!$B$10,Paramètres!$A$1:$I$89,3,0)*0.475*44/12</f>
        <v>1.1558929960193547E-17</v>
      </c>
      <c r="AX184" s="21">
        <f t="shared" si="166"/>
        <v>4.1668875982908506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475.00000000000011</v>
      </c>
      <c r="BE184" s="13">
        <f>BD184*VLOOKUP('Données projet'!$B$11,Paramètres!$A$1:$I$89,3,0)*VLOOKUP('Données projet'!$B$11,Paramètres!$A$1:$I$89,5,0)</f>
        <v>265.52500000000009</v>
      </c>
      <c r="BF184" s="13">
        <f t="shared" si="167"/>
        <v>63.898639547235177</v>
      </c>
      <c r="BG184" s="20">
        <f t="shared" si="168"/>
        <v>573.74617221143478</v>
      </c>
      <c r="BH184" s="59">
        <f t="shared" si="116"/>
        <v>867.07950554476815</v>
      </c>
      <c r="BI184" s="59">
        <f ca="1">AVERAGE(OFFSET($BH$3,0,0,'Données projet'!$E$11+1,1))-AVERAGE(OFFSET($H$3,0,0,'Données projet'!$E$11+1,1))</f>
        <v>342.37397177572871</v>
      </c>
      <c r="BJ184" s="59">
        <f t="shared" si="146"/>
        <v>331.32436050472762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4.5093753750538692</v>
      </c>
      <c r="BQ184" s="21">
        <f>EXP(-LN(2)/25)*BQ183+(1-EXP(-LN(2)/25))/(LN(2)/25)*Calculateur!BL184*Calculateur!BN184*VLOOKUP('Données projet'!$B$11,Paramètres!$A$1:$I$89,3,0)*0.475*44/12</f>
        <v>2.341525868696841</v>
      </c>
      <c r="BR184" s="21">
        <f>EXP(-LN(2)/2)*BR183+(1-EXP(-LN(2)/2))/(LN(2)/2)*BL184*BO184*VLOOKUP('Données projet'!$B$11,Paramètres!$A$1:$I$89,3,0)*0.475*44/12</f>
        <v>8.2699059708784591E-17</v>
      </c>
      <c r="BS184" s="22">
        <f t="shared" si="169"/>
        <v>6.8509012437507106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253.79640000000001</v>
      </c>
      <c r="CA184" s="13">
        <f t="shared" si="170"/>
        <v>61.39816832228076</v>
      </c>
      <c r="CB184" s="20">
        <f t="shared" si="171"/>
        <v>548.96387316130563</v>
      </c>
      <c r="CC184" s="59">
        <f t="shared" si="119"/>
        <v>842.29720649463889</v>
      </c>
      <c r="CD184" s="59">
        <f ca="1">AVERAGE(OFFSET($CC$3,0,0,'Données projet'!$E$12+1,1))-AVERAGE(OFFSET($H$3,0,0,'Données projet'!$E$12+1,1))</f>
        <v>353.37479213497227</v>
      </c>
      <c r="CE184" s="59">
        <f t="shared" si="148"/>
        <v>345.4750813433123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5.5344814671697646</v>
      </c>
      <c r="CL184" s="21">
        <f>EXP(-LN(2)/25)*CL183+(1-EXP(-LN(2)/25))/(LN(2)/25)*Calculateur!CG184*Calculateur!CI184*VLOOKUP('Données projet'!$B$12,Paramètres!$A$1:$I$89,3,0)*0.475*44/12</f>
        <v>0.15542544541117032</v>
      </c>
      <c r="CM184" s="21">
        <f>EXP(-LN(2)/2)*CM183+(1-EXP(-LN(2)/2))/(LN(2)/2)*CG184*CJ184*VLOOKUP('Données projet'!$B$12,Paramètres!$A$1:$I$89,3,0)*0.475*44/12</f>
        <v>3.8517090840830592E-16</v>
      </c>
      <c r="CN184" s="22">
        <f t="shared" si="172"/>
        <v>5.689906912580935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277.99999999999994</v>
      </c>
      <c r="O185" s="13">
        <f>N185*VLOOKUP('Données projet'!$B$9,Paramètres!$A$1:$I$89,3,0)*VLOOKUP('Données projet'!$B$9,Paramètres!$A$1:$I$89,5,0)</f>
        <v>173.47199999999998</v>
      </c>
      <c r="P185" s="13">
        <f t="shared" si="141"/>
        <v>43.866718728383574</v>
      </c>
      <c r="Q185" s="20">
        <f t="shared" si="162"/>
        <v>378.53160178526804</v>
      </c>
      <c r="R185" s="59">
        <f t="shared" si="109"/>
        <v>671.86493511860135</v>
      </c>
      <c r="S185" s="59">
        <f ca="1">AVERAGE(OFFSET($R$3,0,0,'Données projet'!$E$9+1,1))-AVERAGE(OFFSET($H$3,0,0,'Données projet'!$E$9+1,1))</f>
        <v>232.56424130731699</v>
      </c>
      <c r="T185" s="59">
        <f t="shared" si="142"/>
        <v>384.58890620364178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1.5675194221641557</v>
      </c>
      <c r="AA185" s="21">
        <f>EXP(-LN(2)/25)*AA184+(1-EXP(-LN(2)/25))/(LN(2)/25)*Calculateur!V185*Calculateur!X185*VLOOKUP('Données projet'!$B$9,Paramètres!$A$1:$I$89,3,0)*0.475*44/12</f>
        <v>1.1809493851897821</v>
      </c>
      <c r="AB185" s="21">
        <f>EXP(-LN(2)/2)*AB184+(1-EXP(-LN(2)/2))/(LN(2)/2)*V185*Y185*VLOOKUP('Données projet'!$B$9,Paramètres!$A$1:$I$89,3,0)*0.475*44/12</f>
        <v>1.3081660330850551E-21</v>
      </c>
      <c r="AC185" s="22">
        <f t="shared" si="163"/>
        <v>2.7484688073539378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415.99999999999955</v>
      </c>
      <c r="AJ185" s="13">
        <f>AI185*VLOOKUP('Données projet'!$B$10,Paramètres!$A$1:$I$89,3,0)*VLOOKUP('Données projet'!$B$10,Paramètres!$A$1:$I$89,5,0)</f>
        <v>248.76799999999972</v>
      </c>
      <c r="AK185" s="13">
        <f t="shared" si="164"/>
        <v>60.32205079116369</v>
      </c>
      <c r="AL185" s="20">
        <f t="shared" si="165"/>
        <v>538.33183846127633</v>
      </c>
      <c r="AM185" s="59">
        <f t="shared" si="113"/>
        <v>831.66517179460971</v>
      </c>
      <c r="AN185" s="59">
        <f ca="1">AVERAGE(OFFSET($AM$3,0,0,'Données projet'!$E$10+1,1))-AVERAGE(OFFSET($H$3,0,0,'Données projet'!$E$10+1,1))</f>
        <v>279.39350157328471</v>
      </c>
      <c r="AO185" s="59">
        <f t="shared" si="144"/>
        <v>261.55559683031657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2.8202339253774578</v>
      </c>
      <c r="AV185" s="21">
        <f>EXP(-LN(2)/25)*AV184+(1-EXP(-LN(2)/25))/(LN(2)/25)*Calculateur!AQ185*Calculateur!AS185*VLOOKUP('Données projet'!$B$10,Paramètres!$A$1:$I$89,3,0)*0.475*44/12</f>
        <v>1.2549626529759734</v>
      </c>
      <c r="AW185" s="21">
        <f>EXP(-LN(2)/2)*AW184+(1-EXP(-LN(2)/2))/(LN(2)/2)*AQ185*AT185*VLOOKUP('Données projet'!$B$10,Paramètres!$A$1:$I$89,3,0)*0.475*44/12</f>
        <v>8.1733977581132071E-18</v>
      </c>
      <c r="AX185" s="21">
        <f t="shared" si="166"/>
        <v>4.075196578353431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475.00000000000011</v>
      </c>
      <c r="BE185" s="13">
        <f>BD185*VLOOKUP('Données projet'!$B$11,Paramètres!$A$1:$I$89,3,0)*VLOOKUP('Données projet'!$B$11,Paramètres!$A$1:$I$89,5,0)</f>
        <v>265.52500000000009</v>
      </c>
      <c r="BF185" s="13">
        <f t="shared" si="167"/>
        <v>63.898639547235177</v>
      </c>
      <c r="BG185" s="20">
        <f t="shared" si="168"/>
        <v>573.74617221143478</v>
      </c>
      <c r="BH185" s="59">
        <f t="shared" si="116"/>
        <v>867.07950554476815</v>
      </c>
      <c r="BI185" s="59">
        <f ca="1">AVERAGE(OFFSET($BH$3,0,0,'Données projet'!$E$11+1,1))-AVERAGE(OFFSET($H$3,0,0,'Données projet'!$E$11+1,1))</f>
        <v>342.37397177572871</v>
      </c>
      <c r="BJ185" s="59">
        <f t="shared" si="146"/>
        <v>331.32436050472762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4.4209492743964578</v>
      </c>
      <c r="BQ185" s="21">
        <f>EXP(-LN(2)/25)*BQ184+(1-EXP(-LN(2)/25))/(LN(2)/25)*Calculateur!BL185*Calculateur!BN185*VLOOKUP('Données projet'!$B$11,Paramètres!$A$1:$I$89,3,0)*0.475*44/12</f>
        <v>2.2774967206818322</v>
      </c>
      <c r="BR185" s="21">
        <f>EXP(-LN(2)/2)*BR184+(1-EXP(-LN(2)/2))/(LN(2)/2)*BL185*BO185*VLOOKUP('Données projet'!$B$11,Paramètres!$A$1:$I$89,3,0)*0.475*44/12</f>
        <v>5.8477065917832775E-17</v>
      </c>
      <c r="BS185" s="22">
        <f t="shared" si="169"/>
        <v>6.6984459950782895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253.79640000000001</v>
      </c>
      <c r="CA185" s="13">
        <f t="shared" si="170"/>
        <v>61.39816832228076</v>
      </c>
      <c r="CB185" s="20">
        <f t="shared" si="171"/>
        <v>548.96387316130563</v>
      </c>
      <c r="CC185" s="59">
        <f t="shared" si="119"/>
        <v>842.29720649463889</v>
      </c>
      <c r="CD185" s="59">
        <f ca="1">AVERAGE(OFFSET($CC$3,0,0,'Données projet'!$E$12+1,1))-AVERAGE(OFFSET($H$3,0,0,'Données projet'!$E$12+1,1))</f>
        <v>353.37479213497227</v>
      </c>
      <c r="CE185" s="59">
        <f t="shared" si="148"/>
        <v>345.4750813433123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5.4259536612989381</v>
      </c>
      <c r="CL185" s="21">
        <f>EXP(-LN(2)/25)*CL184+(1-EXP(-LN(2)/25))/(LN(2)/25)*Calculateur!CG185*Calculateur!CI185*VLOOKUP('Données projet'!$B$12,Paramètres!$A$1:$I$89,3,0)*0.475*44/12</f>
        <v>0.15117532843293291</v>
      </c>
      <c r="CM185" s="21">
        <f>EXP(-LN(2)/2)*CM184+(1-EXP(-LN(2)/2))/(LN(2)/2)*CG185*CJ185*VLOOKUP('Données projet'!$B$12,Paramètres!$A$1:$I$89,3,0)*0.475*44/12</f>
        <v>2.7235696125129571E-16</v>
      </c>
      <c r="CN185" s="22">
        <f t="shared" si="172"/>
        <v>5.5771289897318708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277.99999999999994</v>
      </c>
      <c r="O186" s="13">
        <f>N186*VLOOKUP('Données projet'!$B$9,Paramètres!$A$1:$I$89,3,0)*VLOOKUP('Données projet'!$B$9,Paramètres!$A$1:$I$89,5,0)</f>
        <v>173.47199999999998</v>
      </c>
      <c r="P186" s="13">
        <f t="shared" si="141"/>
        <v>43.866718728383574</v>
      </c>
      <c r="Q186" s="20">
        <f t="shared" si="162"/>
        <v>378.53160178526804</v>
      </c>
      <c r="R186" s="59">
        <f t="shared" si="109"/>
        <v>671.86493511860135</v>
      </c>
      <c r="S186" s="59">
        <f ca="1">AVERAGE(OFFSET($R$3,0,0,'Données projet'!$E$9+1,1))-AVERAGE(OFFSET($H$3,0,0,'Données projet'!$E$9+1,1))</f>
        <v>232.56424130731699</v>
      </c>
      <c r="T186" s="59">
        <f t="shared" si="142"/>
        <v>384.58890620364178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1.5367813223879578</v>
      </c>
      <c r="AA186" s="21">
        <f>EXP(-LN(2)/25)*AA185+(1-EXP(-LN(2)/25))/(LN(2)/25)*Calculateur!V186*Calculateur!X186*VLOOKUP('Données projet'!$B$9,Paramètres!$A$1:$I$89,3,0)*0.475*44/12</f>
        <v>1.1486562621483385</v>
      </c>
      <c r="AB186" s="21">
        <f>EXP(-LN(2)/2)*AB185+(1-EXP(-LN(2)/2))/(LN(2)/2)*V186*Y186*VLOOKUP('Données projet'!$B$9,Paramètres!$A$1:$I$89,3,0)*0.475*44/12</f>
        <v>9.2501307291234794E-22</v>
      </c>
      <c r="AC186" s="22">
        <f t="shared" si="163"/>
        <v>2.6854375845362961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415.99999999999955</v>
      </c>
      <c r="AJ186" s="13">
        <f>AI186*VLOOKUP('Données projet'!$B$10,Paramètres!$A$1:$I$89,3,0)*VLOOKUP('Données projet'!$B$10,Paramètres!$A$1:$I$89,5,0)</f>
        <v>248.76799999999972</v>
      </c>
      <c r="AK186" s="13">
        <f t="shared" si="164"/>
        <v>60.32205079116369</v>
      </c>
      <c r="AL186" s="20">
        <f t="shared" si="165"/>
        <v>538.33183846127633</v>
      </c>
      <c r="AM186" s="59">
        <f t="shared" si="113"/>
        <v>831.66517179460971</v>
      </c>
      <c r="AN186" s="59">
        <f ca="1">AVERAGE(OFFSET($AM$3,0,0,'Données projet'!$E$10+1,1))-AVERAGE(OFFSET($H$3,0,0,'Données projet'!$E$10+1,1))</f>
        <v>279.39350157328471</v>
      </c>
      <c r="AO186" s="59">
        <f t="shared" si="144"/>
        <v>261.55559683031657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2.7649308582736474</v>
      </c>
      <c r="AV186" s="21">
        <f>EXP(-LN(2)/25)*AV185+(1-EXP(-LN(2)/25))/(LN(2)/25)*Calculateur!AQ186*Calculateur!AS186*VLOOKUP('Données projet'!$B$10,Paramètres!$A$1:$I$89,3,0)*0.475*44/12</f>
        <v>1.2206456332347277</v>
      </c>
      <c r="AW186" s="21">
        <f>EXP(-LN(2)/2)*AW185+(1-EXP(-LN(2)/2))/(LN(2)/2)*AQ186*AT186*VLOOKUP('Données projet'!$B$10,Paramètres!$A$1:$I$89,3,0)*0.475*44/12</f>
        <v>5.7794649800967737E-18</v>
      </c>
      <c r="AX186" s="21">
        <f t="shared" si="166"/>
        <v>3.9855764915083753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475.00000000000011</v>
      </c>
      <c r="BE186" s="13">
        <f>BD186*VLOOKUP('Données projet'!$B$11,Paramètres!$A$1:$I$89,3,0)*VLOOKUP('Données projet'!$B$11,Paramètres!$A$1:$I$89,5,0)</f>
        <v>265.52500000000009</v>
      </c>
      <c r="BF186" s="13">
        <f t="shared" si="167"/>
        <v>63.898639547235177</v>
      </c>
      <c r="BG186" s="20">
        <f t="shared" si="168"/>
        <v>573.74617221143478</v>
      </c>
      <c r="BH186" s="59">
        <f t="shared" si="116"/>
        <v>867.07950554476815</v>
      </c>
      <c r="BI186" s="59">
        <f ca="1">AVERAGE(OFFSET($BH$3,0,0,'Données projet'!$E$11+1,1))-AVERAGE(OFFSET($H$3,0,0,'Données projet'!$E$11+1,1))</f>
        <v>342.37397177572871</v>
      </c>
      <c r="BJ186" s="59">
        <f t="shared" si="146"/>
        <v>331.32436050472762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4.3342571556383422</v>
      </c>
      <c r="BQ186" s="21">
        <f>EXP(-LN(2)/25)*BQ185+(1-EXP(-LN(2)/25))/(LN(2)/25)*Calculateur!BL186*Calculateur!BN186*VLOOKUP('Données projet'!$B$11,Paramètres!$A$1:$I$89,3,0)*0.475*44/12</f>
        <v>2.2152184530864401</v>
      </c>
      <c r="BR186" s="21">
        <f>EXP(-LN(2)/2)*BR185+(1-EXP(-LN(2)/2))/(LN(2)/2)*BL186*BO186*VLOOKUP('Données projet'!$B$11,Paramètres!$A$1:$I$89,3,0)*0.475*44/12</f>
        <v>4.1349529854392295E-17</v>
      </c>
      <c r="BS186" s="22">
        <f t="shared" si="169"/>
        <v>6.5494756087247818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253.79640000000001</v>
      </c>
      <c r="CA186" s="13">
        <f t="shared" si="170"/>
        <v>61.39816832228076</v>
      </c>
      <c r="CB186" s="20">
        <f t="shared" si="171"/>
        <v>548.96387316130563</v>
      </c>
      <c r="CC186" s="59">
        <f t="shared" si="119"/>
        <v>842.29720649463889</v>
      </c>
      <c r="CD186" s="59">
        <f ca="1">AVERAGE(OFFSET($CC$3,0,0,'Données projet'!$E$12+1,1))-AVERAGE(OFFSET($H$3,0,0,'Données projet'!$E$12+1,1))</f>
        <v>353.37479213497227</v>
      </c>
      <c r="CE186" s="59">
        <f t="shared" si="148"/>
        <v>345.4750813433123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5.3195540195058131</v>
      </c>
      <c r="CL186" s="21">
        <f>EXP(-LN(2)/25)*CL185+(1-EXP(-LN(2)/25))/(LN(2)/25)*Calculateur!CG186*Calculateur!CI186*VLOOKUP('Données projet'!$B$12,Paramètres!$A$1:$I$89,3,0)*0.475*44/12</f>
        <v>0.14704143112696935</v>
      </c>
      <c r="CM186" s="21">
        <f>EXP(-LN(2)/2)*CM185+(1-EXP(-LN(2)/2))/(LN(2)/2)*CG186*CJ186*VLOOKUP('Données projet'!$B$12,Paramètres!$A$1:$I$89,3,0)*0.475*44/12</f>
        <v>1.9258545420415296E-16</v>
      </c>
      <c r="CN186" s="22">
        <f t="shared" si="172"/>
        <v>5.4665954506327825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277.99999999999994</v>
      </c>
      <c r="O187" s="13">
        <f>N187*VLOOKUP('Données projet'!$B$9,Paramètres!$A$1:$I$89,3,0)*VLOOKUP('Données projet'!$B$9,Paramètres!$A$1:$I$89,5,0)</f>
        <v>173.47199999999998</v>
      </c>
      <c r="P187" s="13">
        <f t="shared" si="141"/>
        <v>43.866718728383574</v>
      </c>
      <c r="Q187" s="20">
        <f t="shared" si="162"/>
        <v>378.53160178526804</v>
      </c>
      <c r="R187" s="59">
        <f t="shared" si="109"/>
        <v>671.86493511860135</v>
      </c>
      <c r="S187" s="59">
        <f ca="1">AVERAGE(OFFSET($R$3,0,0,'Données projet'!$E$9+1,1))-AVERAGE(OFFSET($H$3,0,0,'Données projet'!$E$9+1,1))</f>
        <v>232.56424130731699</v>
      </c>
      <c r="T187" s="59">
        <f t="shared" si="142"/>
        <v>384.58890620364178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1.5066459779999817</v>
      </c>
      <c r="AA187" s="21">
        <f>EXP(-LN(2)/25)*AA186+(1-EXP(-LN(2)/25))/(LN(2)/25)*Calculateur!V187*Calculateur!X187*VLOOKUP('Données projet'!$B$9,Paramètres!$A$1:$I$89,3,0)*0.475*44/12</f>
        <v>1.1172461962546847</v>
      </c>
      <c r="AB187" s="21">
        <f>EXP(-LN(2)/2)*AB186+(1-EXP(-LN(2)/2))/(LN(2)/2)*V187*Y187*VLOOKUP('Données projet'!$B$9,Paramètres!$A$1:$I$89,3,0)*0.475*44/12</f>
        <v>6.5408301654252755E-22</v>
      </c>
      <c r="AC187" s="22">
        <f t="shared" si="163"/>
        <v>2.6238921742546664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415.99999999999955</v>
      </c>
      <c r="AJ187" s="13">
        <f>AI187*VLOOKUP('Données projet'!$B$10,Paramètres!$A$1:$I$89,3,0)*VLOOKUP('Données projet'!$B$10,Paramètres!$A$1:$I$89,5,0)</f>
        <v>248.76799999999972</v>
      </c>
      <c r="AK187" s="13">
        <f t="shared" si="164"/>
        <v>60.32205079116369</v>
      </c>
      <c r="AL187" s="20">
        <f t="shared" si="165"/>
        <v>538.33183846127633</v>
      </c>
      <c r="AM187" s="59">
        <f t="shared" si="113"/>
        <v>831.66517179460971</v>
      </c>
      <c r="AN187" s="59">
        <f ca="1">AVERAGE(OFFSET($AM$3,0,0,'Données projet'!$E$10+1,1))-AVERAGE(OFFSET($H$3,0,0,'Données projet'!$E$10+1,1))</f>
        <v>279.39350157328471</v>
      </c>
      <c r="AO187" s="59">
        <f t="shared" si="144"/>
        <v>261.55559683031657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2.7107122505842023</v>
      </c>
      <c r="AV187" s="21">
        <f>EXP(-LN(2)/25)*AV186+(1-EXP(-LN(2)/25))/(LN(2)/25)*Calculateur!AQ187*Calculateur!AS187*VLOOKUP('Données projet'!$B$10,Paramètres!$A$1:$I$89,3,0)*0.475*44/12</f>
        <v>1.18726701420296</v>
      </c>
      <c r="AW187" s="21">
        <f>EXP(-LN(2)/2)*AW186+(1-EXP(-LN(2)/2))/(LN(2)/2)*AQ187*AT187*VLOOKUP('Données projet'!$B$10,Paramètres!$A$1:$I$89,3,0)*0.475*44/12</f>
        <v>4.0866988790566035E-18</v>
      </c>
      <c r="AX187" s="21">
        <f t="shared" si="166"/>
        <v>3.8979792647871623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475.00000000000011</v>
      </c>
      <c r="BE187" s="13">
        <f>BD187*VLOOKUP('Données projet'!$B$11,Paramètres!$A$1:$I$89,3,0)*VLOOKUP('Données projet'!$B$11,Paramètres!$A$1:$I$89,5,0)</f>
        <v>265.52500000000009</v>
      </c>
      <c r="BF187" s="13">
        <f t="shared" si="167"/>
        <v>63.898639547235177</v>
      </c>
      <c r="BG187" s="20">
        <f t="shared" si="168"/>
        <v>573.74617221143478</v>
      </c>
      <c r="BH187" s="59">
        <f t="shared" si="116"/>
        <v>867.07950554476815</v>
      </c>
      <c r="BI187" s="59">
        <f ca="1">AVERAGE(OFFSET($BH$3,0,0,'Données projet'!$E$11+1,1))-AVERAGE(OFFSET($H$3,0,0,'Données projet'!$E$11+1,1))</f>
        <v>342.37397177572871</v>
      </c>
      <c r="BJ187" s="59">
        <f t="shared" si="146"/>
        <v>331.32436050472762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4.2492650164521022</v>
      </c>
      <c r="BQ187" s="21">
        <f>EXP(-LN(2)/25)*BQ186+(1-EXP(-LN(2)/25))/(LN(2)/25)*Calculateur!BL187*Calculateur!BN187*VLOOKUP('Données projet'!$B$11,Paramètres!$A$1:$I$89,3,0)*0.475*44/12</f>
        <v>2.154643187993516</v>
      </c>
      <c r="BR187" s="21">
        <f>EXP(-LN(2)/2)*BR186+(1-EXP(-LN(2)/2))/(LN(2)/2)*BL187*BO187*VLOOKUP('Données projet'!$B$11,Paramètres!$A$1:$I$89,3,0)*0.475*44/12</f>
        <v>2.9238532958916387E-17</v>
      </c>
      <c r="BS187" s="22">
        <f t="shared" si="169"/>
        <v>6.4039082044456181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253.79640000000001</v>
      </c>
      <c r="CA187" s="13">
        <f t="shared" si="170"/>
        <v>61.39816832228076</v>
      </c>
      <c r="CB187" s="20">
        <f t="shared" si="171"/>
        <v>548.96387316130563</v>
      </c>
      <c r="CC187" s="59">
        <f t="shared" si="119"/>
        <v>842.29720649463889</v>
      </c>
      <c r="CD187" s="59">
        <f ca="1">AVERAGE(OFFSET($CC$3,0,0,'Données projet'!$E$12+1,1))-AVERAGE(OFFSET($H$3,0,0,'Données projet'!$E$12+1,1))</f>
        <v>353.37479213497227</v>
      </c>
      <c r="CE187" s="59">
        <f t="shared" si="148"/>
        <v>345.4750813433123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5.2152408097908776</v>
      </c>
      <c r="CL187" s="21">
        <f>EXP(-LN(2)/25)*CL186+(1-EXP(-LN(2)/25))/(LN(2)/25)*Calculateur!CG187*Calculateur!CI187*VLOOKUP('Données projet'!$B$12,Paramètres!$A$1:$I$89,3,0)*0.475*44/12</f>
        <v>0.14302057546022959</v>
      </c>
      <c r="CM187" s="21">
        <f>EXP(-LN(2)/2)*CM186+(1-EXP(-LN(2)/2))/(LN(2)/2)*CG187*CJ187*VLOOKUP('Données projet'!$B$12,Paramètres!$A$1:$I$89,3,0)*0.475*44/12</f>
        <v>1.3617848062564786E-16</v>
      </c>
      <c r="CN187" s="22">
        <f t="shared" si="172"/>
        <v>5.3582613852511072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277.99999999999994</v>
      </c>
      <c r="O188" s="13">
        <f>N188*VLOOKUP('Données projet'!$B$9,Paramètres!$A$1:$I$89,3,0)*VLOOKUP('Données projet'!$B$9,Paramètres!$A$1:$I$89,5,0)</f>
        <v>173.47199999999998</v>
      </c>
      <c r="P188" s="13">
        <f t="shared" si="141"/>
        <v>43.866718728383574</v>
      </c>
      <c r="Q188" s="20">
        <f t="shared" si="162"/>
        <v>378.53160178526804</v>
      </c>
      <c r="R188" s="59">
        <f t="shared" si="109"/>
        <v>671.86493511860135</v>
      </c>
      <c r="S188" s="59">
        <f ca="1">AVERAGE(OFFSET($R$3,0,0,'Données projet'!$E$9+1,1))-AVERAGE(OFFSET($H$3,0,0,'Données projet'!$E$9+1,1))</f>
        <v>232.56424130731699</v>
      </c>
      <c r="T188" s="59">
        <f t="shared" si="142"/>
        <v>384.58890620364178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1.4771015693347085</v>
      </c>
      <c r="AA188" s="21">
        <f>EXP(-LN(2)/25)*AA187+(1-EXP(-LN(2)/25))/(LN(2)/25)*Calculateur!V188*Calculateur!X188*VLOOKUP('Données projet'!$B$9,Paramètres!$A$1:$I$89,3,0)*0.475*44/12</f>
        <v>1.0866950402646764</v>
      </c>
      <c r="AB188" s="21">
        <f>EXP(-LN(2)/2)*AB187+(1-EXP(-LN(2)/2))/(LN(2)/2)*V188*Y188*VLOOKUP('Données projet'!$B$9,Paramètres!$A$1:$I$89,3,0)*0.475*44/12</f>
        <v>4.6250653645617397E-22</v>
      </c>
      <c r="AC188" s="22">
        <f t="shared" si="163"/>
        <v>2.5637966095993852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415.99999999999955</v>
      </c>
      <c r="AJ188" s="13">
        <f>AI188*VLOOKUP('Données projet'!$B$10,Paramètres!$A$1:$I$89,3,0)*VLOOKUP('Données projet'!$B$10,Paramètres!$A$1:$I$89,5,0)</f>
        <v>248.76799999999972</v>
      </c>
      <c r="AK188" s="13">
        <f t="shared" si="164"/>
        <v>60.32205079116369</v>
      </c>
      <c r="AL188" s="20">
        <f t="shared" si="165"/>
        <v>538.33183846127633</v>
      </c>
      <c r="AM188" s="59">
        <f t="shared" si="113"/>
        <v>831.66517179460971</v>
      </c>
      <c r="AN188" s="59">
        <f ca="1">AVERAGE(OFFSET($AM$3,0,0,'Données projet'!$E$10+1,1))-AVERAGE(OFFSET($H$3,0,0,'Données projet'!$E$10+1,1))</f>
        <v>279.39350157328471</v>
      </c>
      <c r="AO188" s="59">
        <f t="shared" si="144"/>
        <v>261.55559683031657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2.6575568367214619</v>
      </c>
      <c r="AV188" s="21">
        <f>EXP(-LN(2)/25)*AV187+(1-EXP(-LN(2)/25))/(LN(2)/25)*Calculateur!AQ188*Calculateur!AS188*VLOOKUP('Données projet'!$B$10,Paramètres!$A$1:$I$89,3,0)*0.475*44/12</f>
        <v>1.1548011352639214</v>
      </c>
      <c r="AW188" s="21">
        <f>EXP(-LN(2)/2)*AW187+(1-EXP(-LN(2)/2))/(LN(2)/2)*AQ188*AT188*VLOOKUP('Données projet'!$B$10,Paramètres!$A$1:$I$89,3,0)*0.475*44/12</f>
        <v>2.8897324900483868E-18</v>
      </c>
      <c r="AX188" s="21">
        <f t="shared" si="166"/>
        <v>3.8123579719853833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475.00000000000011</v>
      </c>
      <c r="BE188" s="13">
        <f>BD188*VLOOKUP('Données projet'!$B$11,Paramètres!$A$1:$I$89,3,0)*VLOOKUP('Données projet'!$B$11,Paramètres!$A$1:$I$89,5,0)</f>
        <v>265.52500000000009</v>
      </c>
      <c r="BF188" s="13">
        <f t="shared" si="167"/>
        <v>63.898639547235177</v>
      </c>
      <c r="BG188" s="20">
        <f t="shared" si="168"/>
        <v>573.74617221143478</v>
      </c>
      <c r="BH188" s="59">
        <f t="shared" si="116"/>
        <v>867.07950554476815</v>
      </c>
      <c r="BI188" s="59">
        <f ca="1">AVERAGE(OFFSET($BH$3,0,0,'Données projet'!$E$11+1,1))-AVERAGE(OFFSET($H$3,0,0,'Données projet'!$E$11+1,1))</f>
        <v>342.37397177572871</v>
      </c>
      <c r="BJ188" s="59">
        <f t="shared" si="146"/>
        <v>331.32436050472762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4.1659395212752175</v>
      </c>
      <c r="BQ188" s="21">
        <f>EXP(-LN(2)/25)*BQ187+(1-EXP(-LN(2)/25))/(LN(2)/25)*Calculateur!BL188*Calculateur!BN188*VLOOKUP('Données projet'!$B$11,Paramètres!$A$1:$I$89,3,0)*0.475*44/12</f>
        <v>2.0957243567100723</v>
      </c>
      <c r="BR188" s="21">
        <f>EXP(-LN(2)/2)*BR187+(1-EXP(-LN(2)/2))/(LN(2)/2)*BL188*BO188*VLOOKUP('Données projet'!$B$11,Paramètres!$A$1:$I$89,3,0)*0.475*44/12</f>
        <v>2.0674764927196148E-17</v>
      </c>
      <c r="BS188" s="22">
        <f t="shared" si="169"/>
        <v>6.2616638779852902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253.79640000000001</v>
      </c>
      <c r="CA188" s="13">
        <f t="shared" si="170"/>
        <v>61.39816832228076</v>
      </c>
      <c r="CB188" s="20">
        <f t="shared" si="171"/>
        <v>548.96387316130563</v>
      </c>
      <c r="CC188" s="59">
        <f t="shared" si="119"/>
        <v>842.29720649463889</v>
      </c>
      <c r="CD188" s="59">
        <f ca="1">AVERAGE(OFFSET($CC$3,0,0,'Données projet'!$E$12+1,1))-AVERAGE(OFFSET($H$3,0,0,'Données projet'!$E$12+1,1))</f>
        <v>353.37479213497227</v>
      </c>
      <c r="CE188" s="59">
        <f t="shared" si="148"/>
        <v>345.4750813433123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5.1129731184936764</v>
      </c>
      <c r="CL188" s="21">
        <f>EXP(-LN(2)/25)*CL187+(1-EXP(-LN(2)/25))/(LN(2)/25)*Calculateur!CG188*Calculateur!CI188*VLOOKUP('Données projet'!$B$12,Paramètres!$A$1:$I$89,3,0)*0.475*44/12</f>
        <v>0.13910967030314442</v>
      </c>
      <c r="CM188" s="21">
        <f>EXP(-LN(2)/2)*CM187+(1-EXP(-LN(2)/2))/(LN(2)/2)*CG188*CJ188*VLOOKUP('Données projet'!$B$12,Paramètres!$A$1:$I$89,3,0)*0.475*44/12</f>
        <v>9.6292727102076481E-17</v>
      </c>
      <c r="CN188" s="22">
        <f t="shared" si="172"/>
        <v>5.2520827887968204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277.99999999999994</v>
      </c>
      <c r="O189" s="13">
        <f>N189*VLOOKUP('Données projet'!$B$9,Paramètres!$A$1:$I$89,3,0)*VLOOKUP('Données projet'!$B$9,Paramètres!$A$1:$I$89,5,0)</f>
        <v>173.47199999999998</v>
      </c>
      <c r="P189" s="13">
        <f t="shared" si="141"/>
        <v>43.866718728383574</v>
      </c>
      <c r="Q189" s="20">
        <f t="shared" si="162"/>
        <v>378.53160178526804</v>
      </c>
      <c r="R189" s="59">
        <f t="shared" si="109"/>
        <v>671.86493511860135</v>
      </c>
      <c r="S189" s="59">
        <f ca="1">AVERAGE(OFFSET($R$3,0,0,'Données projet'!$E$9+1,1))-AVERAGE(OFFSET($H$3,0,0,'Données projet'!$E$9+1,1))</f>
        <v>232.56424130731699</v>
      </c>
      <c r="T189" s="59">
        <f t="shared" si="142"/>
        <v>384.58890620364178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1.4481365085030513</v>
      </c>
      <c r="AA189" s="21">
        <f>EXP(-LN(2)/25)*AA188+(1-EXP(-LN(2)/25))/(LN(2)/25)*Calculateur!V189*Calculateur!X189*VLOOKUP('Données projet'!$B$9,Paramètres!$A$1:$I$89,3,0)*0.475*44/12</f>
        <v>1.0569793072418303</v>
      </c>
      <c r="AB189" s="21">
        <f>EXP(-LN(2)/2)*AB188+(1-EXP(-LN(2)/2))/(LN(2)/2)*V189*Y189*VLOOKUP('Données projet'!$B$9,Paramètres!$A$1:$I$89,3,0)*0.475*44/12</f>
        <v>3.2704150827126378E-22</v>
      </c>
      <c r="AC189" s="22">
        <f t="shared" si="163"/>
        <v>2.5051158157448814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415.99999999999955</v>
      </c>
      <c r="AJ189" s="13">
        <f>AI189*VLOOKUP('Données projet'!$B$10,Paramètres!$A$1:$I$89,3,0)*VLOOKUP('Données projet'!$B$10,Paramètres!$A$1:$I$89,5,0)</f>
        <v>248.76799999999972</v>
      </c>
      <c r="AK189" s="13">
        <f t="shared" si="164"/>
        <v>60.32205079116369</v>
      </c>
      <c r="AL189" s="20">
        <f t="shared" si="165"/>
        <v>538.33183846127633</v>
      </c>
      <c r="AM189" s="59">
        <f t="shared" si="113"/>
        <v>831.66517179460971</v>
      </c>
      <c r="AN189" s="59">
        <f ca="1">AVERAGE(OFFSET($AM$3,0,0,'Données projet'!$E$10+1,1))-AVERAGE(OFFSET($H$3,0,0,'Données projet'!$E$10+1,1))</f>
        <v>279.39350157328471</v>
      </c>
      <c r="AO189" s="59">
        <f t="shared" si="144"/>
        <v>261.55559683031657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2.605443768102969</v>
      </c>
      <c r="AV189" s="21">
        <f>EXP(-LN(2)/25)*AV188+(1-EXP(-LN(2)/25))/(LN(2)/25)*Calculateur!AQ189*Calculateur!AS189*VLOOKUP('Données projet'!$B$10,Paramètres!$A$1:$I$89,3,0)*0.475*44/12</f>
        <v>1.1232230374917771</v>
      </c>
      <c r="AW189" s="21">
        <f>EXP(-LN(2)/2)*AW188+(1-EXP(-LN(2)/2))/(LN(2)/2)*AQ189*AT189*VLOOKUP('Données projet'!$B$10,Paramètres!$A$1:$I$89,3,0)*0.475*44/12</f>
        <v>2.0433494395283018E-18</v>
      </c>
      <c r="AX189" s="21">
        <f t="shared" si="166"/>
        <v>3.7286668055947461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475.00000000000011</v>
      </c>
      <c r="BE189" s="13">
        <f>BD189*VLOOKUP('Données projet'!$B$11,Paramètres!$A$1:$I$89,3,0)*VLOOKUP('Données projet'!$B$11,Paramètres!$A$1:$I$89,5,0)</f>
        <v>265.52500000000009</v>
      </c>
      <c r="BF189" s="13">
        <f t="shared" si="167"/>
        <v>63.898639547235177</v>
      </c>
      <c r="BG189" s="20">
        <f t="shared" si="168"/>
        <v>573.74617221143478</v>
      </c>
      <c r="BH189" s="59">
        <f t="shared" si="116"/>
        <v>867.07950554476815</v>
      </c>
      <c r="BI189" s="59">
        <f ca="1">AVERAGE(OFFSET($BH$3,0,0,'Données projet'!$E$11+1,1))-AVERAGE(OFFSET($H$3,0,0,'Données projet'!$E$11+1,1))</f>
        <v>342.37397177572871</v>
      </c>
      <c r="BJ189" s="59">
        <f t="shared" si="146"/>
        <v>331.32436050472762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4.0842479882352185</v>
      </c>
      <c r="BQ189" s="21">
        <f>EXP(-LN(2)/25)*BQ188+(1-EXP(-LN(2)/25))/(LN(2)/25)*Calculateur!BL189*Calculateur!BN189*VLOOKUP('Données projet'!$B$11,Paramètres!$A$1:$I$89,3,0)*0.475*44/12</f>
        <v>2.0384166639664811</v>
      </c>
      <c r="BR189" s="21">
        <f>EXP(-LN(2)/2)*BR188+(1-EXP(-LN(2)/2))/(LN(2)/2)*BL189*BO189*VLOOKUP('Données projet'!$B$11,Paramètres!$A$1:$I$89,3,0)*0.475*44/12</f>
        <v>1.4619266479458194E-17</v>
      </c>
      <c r="BS189" s="22">
        <f t="shared" si="169"/>
        <v>6.1226646522016992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253.79640000000001</v>
      </c>
      <c r="CA189" s="13">
        <f t="shared" si="170"/>
        <v>61.39816832228076</v>
      </c>
      <c r="CB189" s="20">
        <f t="shared" si="171"/>
        <v>548.96387316130563</v>
      </c>
      <c r="CC189" s="59">
        <f t="shared" si="119"/>
        <v>842.29720649463889</v>
      </c>
      <c r="CD189" s="59">
        <f ca="1">AVERAGE(OFFSET($CC$3,0,0,'Données projet'!$E$12+1,1))-AVERAGE(OFFSET($H$3,0,0,'Données projet'!$E$12+1,1))</f>
        <v>353.37479213497227</v>
      </c>
      <c r="CE189" s="59">
        <f t="shared" si="148"/>
        <v>345.4750813433123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5.0127108342456808</v>
      </c>
      <c r="CL189" s="21">
        <f>EXP(-LN(2)/25)*CL188+(1-EXP(-LN(2)/25))/(LN(2)/25)*Calculateur!CG189*Calculateur!CI189*VLOOKUP('Données projet'!$B$12,Paramètres!$A$1:$I$89,3,0)*0.475*44/12</f>
        <v>0.13530570905324532</v>
      </c>
      <c r="CM189" s="21">
        <f>EXP(-LN(2)/2)*CM188+(1-EXP(-LN(2)/2))/(LN(2)/2)*CG189*CJ189*VLOOKUP('Données projet'!$B$12,Paramètres!$A$1:$I$89,3,0)*0.475*44/12</f>
        <v>6.8089240312823928E-17</v>
      </c>
      <c r="CN189" s="22">
        <f t="shared" si="172"/>
        <v>5.148016543298926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277.99999999999994</v>
      </c>
      <c r="O190" s="13">
        <f>N190*VLOOKUP('Données projet'!$B$9,Paramètres!$A$1:$I$89,3,0)*VLOOKUP('Données projet'!$B$9,Paramètres!$A$1:$I$89,5,0)</f>
        <v>173.47199999999998</v>
      </c>
      <c r="P190" s="13">
        <f t="shared" si="141"/>
        <v>43.866718728383574</v>
      </c>
      <c r="Q190" s="20">
        <f t="shared" si="162"/>
        <v>378.53160178526804</v>
      </c>
      <c r="R190" s="59">
        <f t="shared" si="109"/>
        <v>671.86493511860135</v>
      </c>
      <c r="S190" s="59">
        <f ca="1">AVERAGE(OFFSET($R$3,0,0,'Données projet'!$E$9+1,1))-AVERAGE(OFFSET($H$3,0,0,'Données projet'!$E$9+1,1))</f>
        <v>232.56424130731699</v>
      </c>
      <c r="T190" s="59">
        <f t="shared" si="142"/>
        <v>384.58890620364178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1.4197394348473604</v>
      </c>
      <c r="AA190" s="21">
        <f>EXP(-LN(2)/25)*AA189+(1-EXP(-LN(2)/25))/(LN(2)/25)*Calculateur!V190*Calculateur!X190*VLOOKUP('Données projet'!$B$9,Paramètres!$A$1:$I$89,3,0)*0.475*44/12</f>
        <v>1.0280761525011763</v>
      </c>
      <c r="AB190" s="21">
        <f>EXP(-LN(2)/2)*AB189+(1-EXP(-LN(2)/2))/(LN(2)/2)*V190*Y190*VLOOKUP('Données projet'!$B$9,Paramètres!$A$1:$I$89,3,0)*0.475*44/12</f>
        <v>2.3125326822808698E-22</v>
      </c>
      <c r="AC190" s="22">
        <f t="shared" si="163"/>
        <v>2.4478155873485368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415.99999999999955</v>
      </c>
      <c r="AJ190" s="13">
        <f>AI190*VLOOKUP('Données projet'!$B$10,Paramètres!$A$1:$I$89,3,0)*VLOOKUP('Données projet'!$B$10,Paramètres!$A$1:$I$89,5,0)</f>
        <v>248.76799999999972</v>
      </c>
      <c r="AK190" s="13">
        <f t="shared" si="164"/>
        <v>60.32205079116369</v>
      </c>
      <c r="AL190" s="20">
        <f t="shared" si="165"/>
        <v>538.33183846127633</v>
      </c>
      <c r="AM190" s="59">
        <f t="shared" si="113"/>
        <v>831.66517179460971</v>
      </c>
      <c r="AN190" s="59">
        <f ca="1">AVERAGE(OFFSET($AM$3,0,0,'Données projet'!$E$10+1,1))-AVERAGE(OFFSET($H$3,0,0,'Données projet'!$E$10+1,1))</f>
        <v>279.39350157328471</v>
      </c>
      <c r="AO190" s="59">
        <f t="shared" si="144"/>
        <v>261.55559683031657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2.5543526049742513</v>
      </c>
      <c r="AV190" s="21">
        <f>EXP(-LN(2)/25)*AV189+(1-EXP(-LN(2)/25))/(LN(2)/25)*Calculateur!AQ190*Calculateur!AS190*VLOOKUP('Données projet'!$B$10,Paramètres!$A$1:$I$89,3,0)*0.475*44/12</f>
        <v>1.092508444463832</v>
      </c>
      <c r="AW190" s="21">
        <f>EXP(-LN(2)/2)*AW189+(1-EXP(-LN(2)/2))/(LN(2)/2)*AQ190*AT190*VLOOKUP('Données projet'!$B$10,Paramètres!$A$1:$I$89,3,0)*0.475*44/12</f>
        <v>1.4448662450241934E-18</v>
      </c>
      <c r="AX190" s="21">
        <f t="shared" si="166"/>
        <v>3.6468610494380833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475.00000000000011</v>
      </c>
      <c r="BE190" s="13">
        <f>BD190*VLOOKUP('Données projet'!$B$11,Paramètres!$A$1:$I$89,3,0)*VLOOKUP('Données projet'!$B$11,Paramètres!$A$1:$I$89,5,0)</f>
        <v>265.52500000000009</v>
      </c>
      <c r="BF190" s="13">
        <f t="shared" si="167"/>
        <v>63.898639547235177</v>
      </c>
      <c r="BG190" s="20">
        <f t="shared" si="168"/>
        <v>573.74617221143478</v>
      </c>
      <c r="BH190" s="59">
        <f t="shared" si="116"/>
        <v>867.07950554476815</v>
      </c>
      <c r="BI190" s="59">
        <f ca="1">AVERAGE(OFFSET($BH$3,0,0,'Données projet'!$E$11+1,1))-AVERAGE(OFFSET($H$3,0,0,'Données projet'!$E$11+1,1))</f>
        <v>342.37397177572871</v>
      </c>
      <c r="BJ190" s="59">
        <f t="shared" si="146"/>
        <v>331.32436050472762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4.004158376331219</v>
      </c>
      <c r="BQ190" s="21">
        <f>EXP(-LN(2)/25)*BQ189+(1-EXP(-LN(2)/25))/(LN(2)/25)*Calculateur!BL190*Calculateur!BN190*VLOOKUP('Données projet'!$B$11,Paramètres!$A$1:$I$89,3,0)*0.475*44/12</f>
        <v>1.9826760530946441</v>
      </c>
      <c r="BR190" s="21">
        <f>EXP(-LN(2)/2)*BR189+(1-EXP(-LN(2)/2))/(LN(2)/2)*BL190*BO190*VLOOKUP('Données projet'!$B$11,Paramètres!$A$1:$I$89,3,0)*0.475*44/12</f>
        <v>1.0337382463598074E-17</v>
      </c>
      <c r="BS190" s="22">
        <f t="shared" si="169"/>
        <v>5.9868344294258629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253.79640000000001</v>
      </c>
      <c r="CA190" s="13">
        <f t="shared" si="170"/>
        <v>61.39816832228076</v>
      </c>
      <c r="CB190" s="20">
        <f t="shared" si="171"/>
        <v>548.96387316130563</v>
      </c>
      <c r="CC190" s="59">
        <f t="shared" si="119"/>
        <v>842.29720649463889</v>
      </c>
      <c r="CD190" s="59">
        <f ca="1">AVERAGE(OFFSET($CC$3,0,0,'Données projet'!$E$12+1,1))-AVERAGE(OFFSET($H$3,0,0,'Données projet'!$E$12+1,1))</f>
        <v>353.37479213497227</v>
      </c>
      <c r="CE190" s="59">
        <f t="shared" si="148"/>
        <v>345.4750813433123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4.9144146322378335</v>
      </c>
      <c r="CL190" s="21">
        <f>EXP(-LN(2)/25)*CL189+(1-EXP(-LN(2)/25))/(LN(2)/25)*Calculateur!CG190*Calculateur!CI190*VLOOKUP('Données projet'!$B$12,Paramètres!$A$1:$I$89,3,0)*0.475*44/12</f>
        <v>0.13160576732376633</v>
      </c>
      <c r="CM190" s="21">
        <f>EXP(-LN(2)/2)*CM189+(1-EXP(-LN(2)/2))/(LN(2)/2)*CG190*CJ190*VLOOKUP('Données projet'!$B$12,Paramètres!$A$1:$I$89,3,0)*0.475*44/12</f>
        <v>4.814636355103824E-17</v>
      </c>
      <c r="CN190" s="22">
        <f t="shared" si="172"/>
        <v>5.0460203995616002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277.99999999999994</v>
      </c>
      <c r="O191" s="13">
        <f>N191*VLOOKUP('Données projet'!$B$9,Paramètres!$A$1:$I$89,3,0)*VLOOKUP('Données projet'!$B$9,Paramètres!$A$1:$I$89,5,0)</f>
        <v>173.47199999999998</v>
      </c>
      <c r="P191" s="13">
        <f t="shared" si="141"/>
        <v>43.866718728383574</v>
      </c>
      <c r="Q191" s="20">
        <f t="shared" si="162"/>
        <v>378.53160178526804</v>
      </c>
      <c r="R191" s="59">
        <f t="shared" si="109"/>
        <v>671.86493511860135</v>
      </c>
      <c r="S191" s="59">
        <f ca="1">AVERAGE(OFFSET($R$3,0,0,'Données projet'!$E$9+1,1))-AVERAGE(OFFSET($H$3,0,0,'Données projet'!$E$9+1,1))</f>
        <v>232.56424130731699</v>
      </c>
      <c r="T191" s="59">
        <f t="shared" si="142"/>
        <v>384.58890620364178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1.391899210485553</v>
      </c>
      <c r="AA191" s="21">
        <f>EXP(-LN(2)/25)*AA190+(1-EXP(-LN(2)/25))/(LN(2)/25)*Calculateur!V191*Calculateur!X191*VLOOKUP('Données projet'!$B$9,Paramètres!$A$1:$I$89,3,0)*0.475*44/12</f>
        <v>0.99996335604685649</v>
      </c>
      <c r="AB191" s="21">
        <f>EXP(-LN(2)/2)*AB190+(1-EXP(-LN(2)/2))/(LN(2)/2)*V191*Y191*VLOOKUP('Données projet'!$B$9,Paramètres!$A$1:$I$89,3,0)*0.475*44/12</f>
        <v>1.6352075413563189E-22</v>
      </c>
      <c r="AC191" s="22">
        <f t="shared" si="163"/>
        <v>2.3918625665324096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415.99999999999955</v>
      </c>
      <c r="AJ191" s="13">
        <f>AI191*VLOOKUP('Données projet'!$B$10,Paramètres!$A$1:$I$89,3,0)*VLOOKUP('Données projet'!$B$10,Paramètres!$A$1:$I$89,5,0)</f>
        <v>248.76799999999972</v>
      </c>
      <c r="AK191" s="13">
        <f t="shared" si="164"/>
        <v>60.32205079116369</v>
      </c>
      <c r="AL191" s="20">
        <f t="shared" si="165"/>
        <v>538.33183846127633</v>
      </c>
      <c r="AM191" s="59">
        <f t="shared" si="113"/>
        <v>831.66517179460971</v>
      </c>
      <c r="AN191" s="59">
        <f ca="1">AVERAGE(OFFSET($AM$3,0,0,'Données projet'!$E$10+1,1))-AVERAGE(OFFSET($H$3,0,0,'Données projet'!$E$10+1,1))</f>
        <v>279.39350157328471</v>
      </c>
      <c r="AO191" s="59">
        <f t="shared" si="144"/>
        <v>261.55559683031657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2.5042633083919554</v>
      </c>
      <c r="AV191" s="21">
        <f>EXP(-LN(2)/25)*AV190+(1-EXP(-LN(2)/25))/(LN(2)/25)*Calculateur!AQ191*Calculateur!AS191*VLOOKUP('Données projet'!$B$10,Paramètres!$A$1:$I$89,3,0)*0.475*44/12</f>
        <v>1.0626337435974464</v>
      </c>
      <c r="AW191" s="21">
        <f>EXP(-LN(2)/2)*AW190+(1-EXP(-LN(2)/2))/(LN(2)/2)*AQ191*AT191*VLOOKUP('Données projet'!$B$10,Paramètres!$A$1:$I$89,3,0)*0.475*44/12</f>
        <v>1.0216747197641509E-18</v>
      </c>
      <c r="AX191" s="21">
        <f t="shared" si="166"/>
        <v>3.5668970519894021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475.00000000000011</v>
      </c>
      <c r="BE191" s="13">
        <f>BD191*VLOOKUP('Données projet'!$B$11,Paramètres!$A$1:$I$89,3,0)*VLOOKUP('Données projet'!$B$11,Paramètres!$A$1:$I$89,5,0)</f>
        <v>265.52500000000009</v>
      </c>
      <c r="BF191" s="13">
        <f t="shared" si="167"/>
        <v>63.898639547235177</v>
      </c>
      <c r="BG191" s="20">
        <f t="shared" si="168"/>
        <v>573.74617221143478</v>
      </c>
      <c r="BH191" s="59">
        <f t="shared" si="116"/>
        <v>867.07950554476815</v>
      </c>
      <c r="BI191" s="59">
        <f ca="1">AVERAGE(OFFSET($BH$3,0,0,'Données projet'!$E$11+1,1))-AVERAGE(OFFSET($H$3,0,0,'Données projet'!$E$11+1,1))</f>
        <v>342.37397177572871</v>
      </c>
      <c r="BJ191" s="59">
        <f t="shared" si="146"/>
        <v>331.32436050472762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3.9256392728668166</v>
      </c>
      <c r="BQ191" s="21">
        <f>EXP(-LN(2)/25)*BQ190+(1-EXP(-LN(2)/25))/(LN(2)/25)*Calculateur!BL191*Calculateur!BN191*VLOOKUP('Données projet'!$B$11,Paramètres!$A$1:$I$89,3,0)*0.475*44/12</f>
        <v>1.9284596721583689</v>
      </c>
      <c r="BR191" s="21">
        <f>EXP(-LN(2)/2)*BR190+(1-EXP(-LN(2)/2))/(LN(2)/2)*BL191*BO191*VLOOKUP('Données projet'!$B$11,Paramètres!$A$1:$I$89,3,0)*0.475*44/12</f>
        <v>7.3096332397290968E-18</v>
      </c>
      <c r="BS191" s="22">
        <f t="shared" si="169"/>
        <v>5.8540989450251857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253.79640000000001</v>
      </c>
      <c r="CA191" s="13">
        <f t="shared" si="170"/>
        <v>61.39816832228076</v>
      </c>
      <c r="CB191" s="20">
        <f t="shared" si="171"/>
        <v>548.96387316130563</v>
      </c>
      <c r="CC191" s="59">
        <f t="shared" si="119"/>
        <v>842.29720649463889</v>
      </c>
      <c r="CD191" s="59">
        <f ca="1">AVERAGE(OFFSET($CC$3,0,0,'Données projet'!$E$12+1,1))-AVERAGE(OFFSET($H$3,0,0,'Données projet'!$E$12+1,1))</f>
        <v>353.37479213497227</v>
      </c>
      <c r="CE191" s="59">
        <f t="shared" si="148"/>
        <v>345.4750813433123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4.8180459587965974</v>
      </c>
      <c r="CL191" s="21">
        <f>EXP(-LN(2)/25)*CL190+(1-EXP(-LN(2)/25))/(LN(2)/25)*Calculateur!CG191*Calculateur!CI191*VLOOKUP('Données projet'!$B$12,Paramètres!$A$1:$I$89,3,0)*0.475*44/12</f>
        <v>0.12800700069545143</v>
      </c>
      <c r="CM191" s="21">
        <f>EXP(-LN(2)/2)*CM190+(1-EXP(-LN(2)/2))/(LN(2)/2)*CG191*CJ191*VLOOKUP('Données projet'!$B$12,Paramètres!$A$1:$I$89,3,0)*0.475*44/12</f>
        <v>3.4044620156411964E-17</v>
      </c>
      <c r="CN191" s="22">
        <f t="shared" si="172"/>
        <v>4.9460529594920484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277.99999999999994</v>
      </c>
      <c r="O192" s="13">
        <f>N192*VLOOKUP('Données projet'!$B$9,Paramètres!$A$1:$I$89,3,0)*VLOOKUP('Données projet'!$B$9,Paramètres!$A$1:$I$89,5,0)</f>
        <v>173.47199999999998</v>
      </c>
      <c r="P192" s="13">
        <f t="shared" si="141"/>
        <v>43.866718728383574</v>
      </c>
      <c r="Q192" s="20">
        <f t="shared" si="162"/>
        <v>378.53160178526804</v>
      </c>
      <c r="R192" s="59">
        <f t="shared" si="109"/>
        <v>671.86493511860135</v>
      </c>
      <c r="S192" s="59">
        <f ca="1">AVERAGE(OFFSET($R$3,0,0,'Données projet'!$E$9+1,1))-AVERAGE(OFFSET($H$3,0,0,'Données projet'!$E$9+1,1))</f>
        <v>232.56424130731699</v>
      </c>
      <c r="T192" s="59">
        <f t="shared" si="142"/>
        <v>384.58890620364178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1.3646049159426203</v>
      </c>
      <c r="AA192" s="21">
        <f>EXP(-LN(2)/25)*AA191+(1-EXP(-LN(2)/25))/(LN(2)/25)*Calculateur!V192*Calculateur!X192*VLOOKUP('Données projet'!$B$9,Paramètres!$A$1:$I$89,3,0)*0.475*44/12</f>
        <v>0.97261930548996778</v>
      </c>
      <c r="AB192" s="21">
        <f>EXP(-LN(2)/2)*AB191+(1-EXP(-LN(2)/2))/(LN(2)/2)*V192*Y192*VLOOKUP('Données projet'!$B$9,Paramètres!$A$1:$I$89,3,0)*0.475*44/12</f>
        <v>1.1562663411404349E-22</v>
      </c>
      <c r="AC192" s="22">
        <f t="shared" si="163"/>
        <v>2.3372242214325882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415.99999999999955</v>
      </c>
      <c r="AJ192" s="13">
        <f>AI192*VLOOKUP('Données projet'!$B$10,Paramètres!$A$1:$I$89,3,0)*VLOOKUP('Données projet'!$B$10,Paramètres!$A$1:$I$89,5,0)</f>
        <v>248.76799999999972</v>
      </c>
      <c r="AK192" s="13">
        <f t="shared" si="164"/>
        <v>60.32205079116369</v>
      </c>
      <c r="AL192" s="20">
        <f t="shared" si="165"/>
        <v>538.33183846127633</v>
      </c>
      <c r="AM192" s="59">
        <f t="shared" si="113"/>
        <v>831.66517179460971</v>
      </c>
      <c r="AN192" s="59">
        <f ca="1">AVERAGE(OFFSET($AM$3,0,0,'Données projet'!$E$10+1,1))-AVERAGE(OFFSET($H$3,0,0,'Données projet'!$E$10+1,1))</f>
        <v>279.39350157328471</v>
      </c>
      <c r="AO192" s="59">
        <f t="shared" si="144"/>
        <v>261.55559683031657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2.455156232364184</v>
      </c>
      <c r="AV192" s="21">
        <f>EXP(-LN(2)/25)*AV191+(1-EXP(-LN(2)/25))/(LN(2)/25)*Calculateur!AQ192*Calculateur!AS192*VLOOKUP('Données projet'!$B$10,Paramètres!$A$1:$I$89,3,0)*0.475*44/12</f>
        <v>1.0335759679972945</v>
      </c>
      <c r="AW192" s="21">
        <f>EXP(-LN(2)/2)*AW191+(1-EXP(-LN(2)/2))/(LN(2)/2)*AQ192*AT192*VLOOKUP('Données projet'!$B$10,Paramètres!$A$1:$I$89,3,0)*0.475*44/12</f>
        <v>7.2243312251209671E-19</v>
      </c>
      <c r="AX192" s="21">
        <f t="shared" si="166"/>
        <v>3.4887322003614782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475.00000000000011</v>
      </c>
      <c r="BE192" s="13">
        <f>BD192*VLOOKUP('Données projet'!$B$11,Paramètres!$A$1:$I$89,3,0)*VLOOKUP('Données projet'!$B$11,Paramètres!$A$1:$I$89,5,0)</f>
        <v>265.52500000000009</v>
      </c>
      <c r="BF192" s="13">
        <f t="shared" si="167"/>
        <v>63.898639547235177</v>
      </c>
      <c r="BG192" s="20">
        <f t="shared" si="168"/>
        <v>573.74617221143478</v>
      </c>
      <c r="BH192" s="59">
        <f t="shared" si="116"/>
        <v>867.07950554476815</v>
      </c>
      <c r="BI192" s="59">
        <f ca="1">AVERAGE(OFFSET($BH$3,0,0,'Données projet'!$E$11+1,1))-AVERAGE(OFFSET($H$3,0,0,'Données projet'!$E$11+1,1))</f>
        <v>342.37397177572871</v>
      </c>
      <c r="BJ192" s="59">
        <f t="shared" si="146"/>
        <v>331.32436050472762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3.8486598811294273</v>
      </c>
      <c r="BQ192" s="21">
        <f>EXP(-LN(2)/25)*BQ191+(1-EXP(-LN(2)/25))/(LN(2)/25)*Calculateur!BL192*Calculateur!BN192*VLOOKUP('Données projet'!$B$11,Paramètres!$A$1:$I$89,3,0)*0.475*44/12</f>
        <v>1.8757258410099116</v>
      </c>
      <c r="BR192" s="21">
        <f>EXP(-LN(2)/2)*BR191+(1-EXP(-LN(2)/2))/(LN(2)/2)*BL192*BO192*VLOOKUP('Données projet'!$B$11,Paramètres!$A$1:$I$89,3,0)*0.475*44/12</f>
        <v>5.1686912317990369E-18</v>
      </c>
      <c r="BS192" s="22">
        <f t="shared" si="169"/>
        <v>5.7243857221393384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253.79640000000001</v>
      </c>
      <c r="CA192" s="13">
        <f t="shared" si="170"/>
        <v>61.39816832228076</v>
      </c>
      <c r="CB192" s="20">
        <f t="shared" si="171"/>
        <v>548.96387316130563</v>
      </c>
      <c r="CC192" s="59">
        <f t="shared" si="119"/>
        <v>842.29720649463889</v>
      </c>
      <c r="CD192" s="59">
        <f ca="1">AVERAGE(OFFSET($CC$3,0,0,'Données projet'!$E$12+1,1))-AVERAGE(OFFSET($H$3,0,0,'Données projet'!$E$12+1,1))</f>
        <v>353.37479213497227</v>
      </c>
      <c r="CE192" s="59">
        <f t="shared" si="148"/>
        <v>345.4750813433123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4.7235670162624563</v>
      </c>
      <c r="CL192" s="21">
        <f>EXP(-LN(2)/25)*CL191+(1-EXP(-LN(2)/25))/(LN(2)/25)*Calculateur!CG192*Calculateur!CI192*VLOOKUP('Données projet'!$B$12,Paramètres!$A$1:$I$89,3,0)*0.475*44/12</f>
        <v>0.1245066425298387</v>
      </c>
      <c r="CM192" s="21">
        <f>EXP(-LN(2)/2)*CM191+(1-EXP(-LN(2)/2))/(LN(2)/2)*CG192*CJ192*VLOOKUP('Données projet'!$B$12,Paramètres!$A$1:$I$89,3,0)*0.475*44/12</f>
        <v>2.407318177551912E-17</v>
      </c>
      <c r="CN192" s="22">
        <f t="shared" si="172"/>
        <v>4.8480736587922948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277.99999999999994</v>
      </c>
      <c r="O193" s="13">
        <f>N193*VLOOKUP('Données projet'!$B$9,Paramètres!$A$1:$I$89,3,0)*VLOOKUP('Données projet'!$B$9,Paramètres!$A$1:$I$89,5,0)</f>
        <v>173.47199999999998</v>
      </c>
      <c r="P193" s="13">
        <f t="shared" si="141"/>
        <v>43.866718728383574</v>
      </c>
      <c r="Q193" s="20">
        <f t="shared" si="162"/>
        <v>378.53160178526804</v>
      </c>
      <c r="R193" s="59">
        <f t="shared" si="109"/>
        <v>671.86493511860135</v>
      </c>
      <c r="S193" s="59">
        <f ca="1">AVERAGE(OFFSET($R$3,0,0,'Données projet'!$E$9+1,1))-AVERAGE(OFFSET($H$3,0,0,'Données projet'!$E$9+1,1))</f>
        <v>232.56424130731699</v>
      </c>
      <c r="T193" s="59">
        <f t="shared" si="142"/>
        <v>384.58890620364178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1.3378458458677989</v>
      </c>
      <c r="AA193" s="21">
        <f>EXP(-LN(2)/25)*AA192+(1-EXP(-LN(2)/25))/(LN(2)/25)*Calculateur!V193*Calculateur!X193*VLOOKUP('Données projet'!$B$9,Paramètres!$A$1:$I$89,3,0)*0.475*44/12</f>
        <v>0.94602297943351832</v>
      </c>
      <c r="AB193" s="21">
        <f>EXP(-LN(2)/2)*AB192+(1-EXP(-LN(2)/2))/(LN(2)/2)*V193*Y193*VLOOKUP('Données projet'!$B$9,Paramètres!$A$1:$I$89,3,0)*0.475*44/12</f>
        <v>8.1760377067815944E-23</v>
      </c>
      <c r="AC193" s="22">
        <f t="shared" si="163"/>
        <v>2.2838688253013171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415.99999999999955</v>
      </c>
      <c r="AJ193" s="13">
        <f>AI193*VLOOKUP('Données projet'!$B$10,Paramètres!$A$1:$I$89,3,0)*VLOOKUP('Données projet'!$B$10,Paramètres!$A$1:$I$89,5,0)</f>
        <v>248.76799999999972</v>
      </c>
      <c r="AK193" s="13">
        <f t="shared" si="164"/>
        <v>60.32205079116369</v>
      </c>
      <c r="AL193" s="20">
        <f t="shared" si="165"/>
        <v>538.33183846127633</v>
      </c>
      <c r="AM193" s="59">
        <f t="shared" si="113"/>
        <v>831.66517179460971</v>
      </c>
      <c r="AN193" s="59">
        <f ca="1">AVERAGE(OFFSET($AM$3,0,0,'Données projet'!$E$10+1,1))-AVERAGE(OFFSET($H$3,0,0,'Données projet'!$E$10+1,1))</f>
        <v>279.39350157328471</v>
      </c>
      <c r="AO193" s="59">
        <f t="shared" si="144"/>
        <v>261.55559683031657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2.4070121161449585</v>
      </c>
      <c r="AV193" s="21">
        <f>EXP(-LN(2)/25)*AV192+(1-EXP(-LN(2)/25))/(LN(2)/25)*Calculateur!AQ193*Calculateur!AS193*VLOOKUP('Données projet'!$B$10,Paramètres!$A$1:$I$89,3,0)*0.475*44/12</f>
        <v>1.0053127787990106</v>
      </c>
      <c r="AW193" s="21">
        <f>EXP(-LN(2)/2)*AW192+(1-EXP(-LN(2)/2))/(LN(2)/2)*AQ193*AT193*VLOOKUP('Données projet'!$B$10,Paramètres!$A$1:$I$89,3,0)*0.475*44/12</f>
        <v>5.1083735988207544E-19</v>
      </c>
      <c r="AX193" s="21">
        <f t="shared" si="166"/>
        <v>3.4123248949439691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475.00000000000011</v>
      </c>
      <c r="BE193" s="13">
        <f>BD193*VLOOKUP('Données projet'!$B$11,Paramètres!$A$1:$I$89,3,0)*VLOOKUP('Données projet'!$B$11,Paramètres!$A$1:$I$89,5,0)</f>
        <v>265.52500000000009</v>
      </c>
      <c r="BF193" s="13">
        <f t="shared" si="167"/>
        <v>63.898639547235177</v>
      </c>
      <c r="BG193" s="20">
        <f t="shared" si="168"/>
        <v>573.74617221143478</v>
      </c>
      <c r="BH193" s="59">
        <f t="shared" si="116"/>
        <v>867.07950554476815</v>
      </c>
      <c r="BI193" s="59">
        <f ca="1">AVERAGE(OFFSET($BH$3,0,0,'Données projet'!$E$11+1,1))-AVERAGE(OFFSET($H$3,0,0,'Données projet'!$E$11+1,1))</f>
        <v>342.37397177572871</v>
      </c>
      <c r="BJ193" s="59">
        <f t="shared" si="146"/>
        <v>331.32436050472762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3.7731900083112153</v>
      </c>
      <c r="BQ193" s="21">
        <f>EXP(-LN(2)/25)*BQ192+(1-EXP(-LN(2)/25))/(LN(2)/25)*Calculateur!BL193*Calculateur!BN193*VLOOKUP('Données projet'!$B$11,Paramètres!$A$1:$I$89,3,0)*0.475*44/12</f>
        <v>1.8244340192473607</v>
      </c>
      <c r="BR193" s="21">
        <f>EXP(-LN(2)/2)*BR192+(1-EXP(-LN(2)/2))/(LN(2)/2)*BL193*BO193*VLOOKUP('Données projet'!$B$11,Paramètres!$A$1:$I$89,3,0)*0.475*44/12</f>
        <v>3.6548166198645484E-18</v>
      </c>
      <c r="BS193" s="22">
        <f t="shared" si="169"/>
        <v>5.5976240275585756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253.79640000000001</v>
      </c>
      <c r="CA193" s="13">
        <f t="shared" si="170"/>
        <v>61.39816832228076</v>
      </c>
      <c r="CB193" s="20">
        <f t="shared" si="171"/>
        <v>548.96387316130563</v>
      </c>
      <c r="CC193" s="59">
        <f t="shared" si="119"/>
        <v>842.29720649463889</v>
      </c>
      <c r="CD193" s="59">
        <f ca="1">AVERAGE(OFFSET($CC$3,0,0,'Données projet'!$E$12+1,1))-AVERAGE(OFFSET($H$3,0,0,'Données projet'!$E$12+1,1))</f>
        <v>353.37479213497227</v>
      </c>
      <c r="CE193" s="59">
        <f t="shared" si="148"/>
        <v>345.4750813433123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4.6309407481649449</v>
      </c>
      <c r="CL193" s="21">
        <f>EXP(-LN(2)/25)*CL192+(1-EXP(-LN(2)/25))/(LN(2)/25)*Calculateur!CG193*Calculateur!CI193*VLOOKUP('Données projet'!$B$12,Paramètres!$A$1:$I$89,3,0)*0.475*44/12</f>
        <v>0.12110200184234049</v>
      </c>
      <c r="CM193" s="21">
        <f>EXP(-LN(2)/2)*CM192+(1-EXP(-LN(2)/2))/(LN(2)/2)*CG193*CJ193*VLOOKUP('Données projet'!$B$12,Paramètres!$A$1:$I$89,3,0)*0.475*44/12</f>
        <v>1.7022310078205982E-17</v>
      </c>
      <c r="CN193" s="22">
        <f t="shared" si="172"/>
        <v>4.752042750007285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277.99999999999994</v>
      </c>
      <c r="O194" s="13">
        <f>N194*VLOOKUP('Données projet'!$B$9,Paramètres!$A$1:$I$89,3,0)*VLOOKUP('Données projet'!$B$9,Paramètres!$A$1:$I$89,5,0)</f>
        <v>173.47199999999998</v>
      </c>
      <c r="P194" s="13">
        <f t="shared" si="141"/>
        <v>43.866718728383574</v>
      </c>
      <c r="Q194" s="20">
        <f t="shared" si="162"/>
        <v>378.53160178526804</v>
      </c>
      <c r="R194" s="59">
        <f t="shared" si="109"/>
        <v>671.86493511860135</v>
      </c>
      <c r="S194" s="59">
        <f ca="1">AVERAGE(OFFSET($R$3,0,0,'Données projet'!$E$9+1,1))-AVERAGE(OFFSET($H$3,0,0,'Données projet'!$E$9+1,1))</f>
        <v>232.56424130731699</v>
      </c>
      <c r="T194" s="59">
        <f t="shared" si="142"/>
        <v>384.58890620364178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1.3116115048357235</v>
      </c>
      <c r="AA194" s="21">
        <f>EXP(-LN(2)/25)*AA193+(1-EXP(-LN(2)/25))/(LN(2)/25)*Calculateur!V194*Calculateur!X194*VLOOKUP('Données projet'!$B$9,Paramètres!$A$1:$I$89,3,0)*0.475*44/12</f>
        <v>0.92015393131172241</v>
      </c>
      <c r="AB194" s="21">
        <f>EXP(-LN(2)/2)*AB193+(1-EXP(-LN(2)/2))/(LN(2)/2)*V194*Y194*VLOOKUP('Données projet'!$B$9,Paramètres!$A$1:$I$89,3,0)*0.475*44/12</f>
        <v>5.7813317057021746E-23</v>
      </c>
      <c r="AC194" s="22">
        <f t="shared" si="163"/>
        <v>2.2317654361474459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415.99999999999955</v>
      </c>
      <c r="AJ194" s="13">
        <f>AI194*VLOOKUP('Données projet'!$B$10,Paramètres!$A$1:$I$89,3,0)*VLOOKUP('Données projet'!$B$10,Paramètres!$A$1:$I$89,5,0)</f>
        <v>248.76799999999972</v>
      </c>
      <c r="AK194" s="13">
        <f t="shared" si="164"/>
        <v>60.32205079116369</v>
      </c>
      <c r="AL194" s="20">
        <f t="shared" si="165"/>
        <v>538.33183846127633</v>
      </c>
      <c r="AM194" s="59">
        <f t="shared" si="113"/>
        <v>831.66517179460971</v>
      </c>
      <c r="AN194" s="59">
        <f ca="1">AVERAGE(OFFSET($AM$3,0,0,'Données projet'!$E$10+1,1))-AVERAGE(OFFSET($H$3,0,0,'Données projet'!$E$10+1,1))</f>
        <v>279.39350157328471</v>
      </c>
      <c r="AO194" s="59">
        <f t="shared" si="144"/>
        <v>261.55559683031657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2.3598120766797805</v>
      </c>
      <c r="AV194" s="21">
        <f>EXP(-LN(2)/25)*AV193+(1-EXP(-LN(2)/25))/(LN(2)/25)*Calculateur!AQ194*Calculateur!AS194*VLOOKUP('Données projet'!$B$10,Paramètres!$A$1:$I$89,3,0)*0.475*44/12</f>
        <v>0.97782244799565032</v>
      </c>
      <c r="AW194" s="21">
        <f>EXP(-LN(2)/2)*AW193+(1-EXP(-LN(2)/2))/(LN(2)/2)*AQ194*AT194*VLOOKUP('Données projet'!$B$10,Paramètres!$A$1:$I$89,3,0)*0.475*44/12</f>
        <v>3.6121656125604835E-19</v>
      </c>
      <c r="AX194" s="21">
        <f t="shared" si="166"/>
        <v>3.3376345246754306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475.00000000000011</v>
      </c>
      <c r="BE194" s="13">
        <f>BD194*VLOOKUP('Données projet'!$B$11,Paramètres!$A$1:$I$89,3,0)*VLOOKUP('Données projet'!$B$11,Paramètres!$A$1:$I$89,5,0)</f>
        <v>265.52500000000009</v>
      </c>
      <c r="BF194" s="13">
        <f t="shared" si="167"/>
        <v>63.898639547235177</v>
      </c>
      <c r="BG194" s="20">
        <f t="shared" si="168"/>
        <v>573.74617221143478</v>
      </c>
      <c r="BH194" s="59">
        <f t="shared" si="116"/>
        <v>867.07950554476815</v>
      </c>
      <c r="BI194" s="59">
        <f ca="1">AVERAGE(OFFSET($BH$3,0,0,'Données projet'!$E$11+1,1))-AVERAGE(OFFSET($H$3,0,0,'Données projet'!$E$11+1,1))</f>
        <v>342.37397177572871</v>
      </c>
      <c r="BJ194" s="59">
        <f t="shared" si="146"/>
        <v>331.32436050472762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3.6992000536668912</v>
      </c>
      <c r="BQ194" s="21">
        <f>EXP(-LN(2)/25)*BQ193+(1-EXP(-LN(2)/25))/(LN(2)/25)*Calculateur!BL194*Calculateur!BN194*VLOOKUP('Données projet'!$B$11,Paramètres!$A$1:$I$89,3,0)*0.475*44/12</f>
        <v>1.7745447750482264</v>
      </c>
      <c r="BR194" s="21">
        <f>EXP(-LN(2)/2)*BR193+(1-EXP(-LN(2)/2))/(LN(2)/2)*BL194*BO194*VLOOKUP('Données projet'!$B$11,Paramètres!$A$1:$I$89,3,0)*0.475*44/12</f>
        <v>2.5843456158995185E-18</v>
      </c>
      <c r="BS194" s="22">
        <f t="shared" si="169"/>
        <v>5.4737448287151178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253.79640000000001</v>
      </c>
      <c r="CA194" s="13">
        <f t="shared" si="170"/>
        <v>61.39816832228076</v>
      </c>
      <c r="CB194" s="20">
        <f t="shared" si="171"/>
        <v>548.96387316130563</v>
      </c>
      <c r="CC194" s="59">
        <f t="shared" si="119"/>
        <v>842.29720649463889</v>
      </c>
      <c r="CD194" s="59">
        <f ca="1">AVERAGE(OFFSET($CC$3,0,0,'Données projet'!$E$12+1,1))-AVERAGE(OFFSET($H$3,0,0,'Données projet'!$E$12+1,1))</f>
        <v>353.37479213497227</v>
      </c>
      <c r="CE194" s="59">
        <f t="shared" si="148"/>
        <v>345.4750813433123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4.5401308246883811</v>
      </c>
      <c r="CL194" s="21">
        <f>EXP(-LN(2)/25)*CL193+(1-EXP(-LN(2)/25))/(LN(2)/25)*Calculateur!CG194*Calculateur!CI194*VLOOKUP('Données projet'!$B$12,Paramètres!$A$1:$I$89,3,0)*0.475*44/12</f>
        <v>0.11779046123348419</v>
      </c>
      <c r="CM194" s="21">
        <f>EXP(-LN(2)/2)*CM193+(1-EXP(-LN(2)/2))/(LN(2)/2)*CG194*CJ194*VLOOKUP('Données projet'!$B$12,Paramètres!$A$1:$I$89,3,0)*0.475*44/12</f>
        <v>1.203659088775956E-17</v>
      </c>
      <c r="CN194" s="22">
        <f t="shared" si="172"/>
        <v>4.6579212859218657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277.99999999999994</v>
      </c>
      <c r="O195" s="13">
        <f>N195*VLOOKUP('Données projet'!$B$9,Paramètres!$A$1:$I$89,3,0)*VLOOKUP('Données projet'!$B$9,Paramètres!$A$1:$I$89,5,0)</f>
        <v>173.47199999999998</v>
      </c>
      <c r="P195" s="13">
        <f t="shared" si="141"/>
        <v>43.866718728383574</v>
      </c>
      <c r="Q195" s="20">
        <f t="shared" si="162"/>
        <v>378.53160178526804</v>
      </c>
      <c r="R195" s="59">
        <f t="shared" ref="R195:R203" si="191">Q195+(I195+J195)*44/12</f>
        <v>671.86493511860135</v>
      </c>
      <c r="S195" s="59">
        <f ca="1">AVERAGE(OFFSET($R$3,0,0,'Données projet'!$E$9+1,1))-AVERAGE(OFFSET($H$3,0,0,'Données projet'!$E$9+1,1))</f>
        <v>232.56424130731699</v>
      </c>
      <c r="T195" s="59">
        <f t="shared" si="142"/>
        <v>384.58890620364178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1.285891603229919</v>
      </c>
      <c r="AA195" s="21">
        <f>EXP(-LN(2)/25)*AA194+(1-EXP(-LN(2)/25))/(LN(2)/25)*Calculateur!V195*Calculateur!X195*VLOOKUP('Données projet'!$B$9,Paramètres!$A$1:$I$89,3,0)*0.475*44/12</f>
        <v>0.89499227367121115</v>
      </c>
      <c r="AB195" s="21">
        <f>EXP(-LN(2)/2)*AB194+(1-EXP(-LN(2)/2))/(LN(2)/2)*V195*Y195*VLOOKUP('Données projet'!$B$9,Paramètres!$A$1:$I$89,3,0)*0.475*44/12</f>
        <v>4.0880188533907972E-23</v>
      </c>
      <c r="AC195" s="22">
        <f t="shared" si="163"/>
        <v>2.1808838769011301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415.99999999999955</v>
      </c>
      <c r="AJ195" s="13">
        <f>AI195*VLOOKUP('Données projet'!$B$10,Paramètres!$A$1:$I$89,3,0)*VLOOKUP('Données projet'!$B$10,Paramètres!$A$1:$I$89,5,0)</f>
        <v>248.76799999999972</v>
      </c>
      <c r="AK195" s="13">
        <f t="shared" si="164"/>
        <v>60.32205079116369</v>
      </c>
      <c r="AL195" s="20">
        <f t="shared" si="165"/>
        <v>538.33183846127633</v>
      </c>
      <c r="AM195" s="59">
        <f t="shared" si="113"/>
        <v>831.66517179460971</v>
      </c>
      <c r="AN195" s="59">
        <f ca="1">AVERAGE(OFFSET($AM$3,0,0,'Données projet'!$E$10+1,1))-AVERAGE(OFFSET($H$3,0,0,'Données projet'!$E$10+1,1))</f>
        <v>279.39350157328471</v>
      </c>
      <c r="AO195" s="59">
        <f t="shared" si="144"/>
        <v>261.55559683031657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2.3135376011993336</v>
      </c>
      <c r="AV195" s="21">
        <f>EXP(-LN(2)/25)*AV194+(1-EXP(-LN(2)/25))/(LN(2)/25)*Calculateur!AQ195*Calculateur!AS195*VLOOKUP('Données projet'!$B$10,Paramètres!$A$1:$I$89,3,0)*0.475*44/12</f>
        <v>0.95108384173376159</v>
      </c>
      <c r="AW195" s="21">
        <f>EXP(-LN(2)/2)*AW194+(1-EXP(-LN(2)/2))/(LN(2)/2)*AQ195*AT195*VLOOKUP('Données projet'!$B$10,Paramètres!$A$1:$I$89,3,0)*0.475*44/12</f>
        <v>2.5541867994103772E-19</v>
      </c>
      <c r="AX195" s="21">
        <f t="shared" si="166"/>
        <v>3.2646214429330951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475.00000000000011</v>
      </c>
      <c r="BE195" s="13">
        <f>BD195*VLOOKUP('Données projet'!$B$11,Paramètres!$A$1:$I$89,3,0)*VLOOKUP('Données projet'!$B$11,Paramètres!$A$1:$I$89,5,0)</f>
        <v>265.52500000000009</v>
      </c>
      <c r="BF195" s="13">
        <f t="shared" si="167"/>
        <v>63.898639547235177</v>
      </c>
      <c r="BG195" s="20">
        <f t="shared" si="168"/>
        <v>573.74617221143478</v>
      </c>
      <c r="BH195" s="59">
        <f t="shared" si="116"/>
        <v>867.07950554476815</v>
      </c>
      <c r="BI195" s="59">
        <f ca="1">AVERAGE(OFFSET($BH$3,0,0,'Données projet'!$E$11+1,1))-AVERAGE(OFFSET($H$3,0,0,'Données projet'!$E$11+1,1))</f>
        <v>342.37397177572871</v>
      </c>
      <c r="BJ195" s="59">
        <f t="shared" si="146"/>
        <v>331.32436050472762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3.626660996903726</v>
      </c>
      <c r="BQ195" s="21">
        <f>EXP(-LN(2)/25)*BQ194+(1-EXP(-LN(2)/25))/(LN(2)/25)*Calculateur!BL195*Calculateur!BN195*VLOOKUP('Données projet'!$B$11,Paramètres!$A$1:$I$89,3,0)*0.475*44/12</f>
        <v>1.7260197548552787</v>
      </c>
      <c r="BR195" s="21">
        <f>EXP(-LN(2)/2)*BR194+(1-EXP(-LN(2)/2))/(LN(2)/2)*BL195*BO195*VLOOKUP('Données projet'!$B$11,Paramètres!$A$1:$I$89,3,0)*0.475*44/12</f>
        <v>1.8274083099322742E-18</v>
      </c>
      <c r="BS195" s="22">
        <f t="shared" si="169"/>
        <v>5.3526807517590047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253.79640000000001</v>
      </c>
      <c r="CA195" s="13">
        <f t="shared" si="170"/>
        <v>61.39816832228076</v>
      </c>
      <c r="CB195" s="20">
        <f t="shared" si="171"/>
        <v>548.96387316130563</v>
      </c>
      <c r="CC195" s="59">
        <f t="shared" si="119"/>
        <v>842.29720649463889</v>
      </c>
      <c r="CD195" s="59">
        <f ca="1">AVERAGE(OFFSET($CC$3,0,0,'Données projet'!$E$12+1,1))-AVERAGE(OFFSET($H$3,0,0,'Données projet'!$E$12+1,1))</f>
        <v>353.37479213497227</v>
      </c>
      <c r="CE195" s="59">
        <f t="shared" si="148"/>
        <v>345.4750813433123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4.4511016284226086</v>
      </c>
      <c r="CL195" s="21">
        <f>EXP(-LN(2)/25)*CL194+(1-EXP(-LN(2)/25))/(LN(2)/25)*Calculateur!CG195*Calculateur!CI195*VLOOKUP('Données projet'!$B$12,Paramètres!$A$1:$I$89,3,0)*0.475*44/12</f>
        <v>0.11456947487672342</v>
      </c>
      <c r="CM195" s="21">
        <f>EXP(-LN(2)/2)*CM194+(1-EXP(-LN(2)/2))/(LN(2)/2)*CG195*CJ195*VLOOKUP('Données projet'!$B$12,Paramètres!$A$1:$I$89,3,0)*0.475*44/12</f>
        <v>8.511155039102991E-18</v>
      </c>
      <c r="CN195" s="22">
        <f t="shared" si="172"/>
        <v>4.5656711032993318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277.99999999999994</v>
      </c>
      <c r="O196" s="13">
        <f>N196*VLOOKUP('Données projet'!$B$9,Paramètres!$A$1:$I$89,3,0)*VLOOKUP('Données projet'!$B$9,Paramètres!$A$1:$I$89,5,0)</f>
        <v>173.47199999999998</v>
      </c>
      <c r="P196" s="13">
        <f t="shared" si="141"/>
        <v>43.866718728383574</v>
      </c>
      <c r="Q196" s="20">
        <f t="shared" si="162"/>
        <v>378.53160178526804</v>
      </c>
      <c r="R196" s="59">
        <f t="shared" si="191"/>
        <v>671.86493511860135</v>
      </c>
      <c r="S196" s="59">
        <f ca="1">AVERAGE(OFFSET($R$3,0,0,'Données projet'!$E$9+1,1))-AVERAGE(OFFSET($H$3,0,0,'Données projet'!$E$9+1,1))</f>
        <v>232.56424130731699</v>
      </c>
      <c r="T196" s="59">
        <f t="shared" si="142"/>
        <v>384.58890620364178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1.2606760532070134</v>
      </c>
      <c r="AA196" s="21">
        <f>EXP(-LN(2)/25)*AA195+(1-EXP(-LN(2)/25))/(LN(2)/25)*Calculateur!V196*Calculateur!X196*VLOOKUP('Données projet'!$B$9,Paramètres!$A$1:$I$89,3,0)*0.475*44/12</f>
        <v>0.87051866288207369</v>
      </c>
      <c r="AB196" s="21">
        <f>EXP(-LN(2)/2)*AB195+(1-EXP(-LN(2)/2))/(LN(2)/2)*V196*Y196*VLOOKUP('Données projet'!$B$9,Paramètres!$A$1:$I$89,3,0)*0.475*44/12</f>
        <v>2.8906658528510873E-23</v>
      </c>
      <c r="AC196" s="22">
        <f t="shared" si="163"/>
        <v>2.1311947160890869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415.99999999999955</v>
      </c>
      <c r="AJ196" s="13">
        <f>AI196*VLOOKUP('Données projet'!$B$10,Paramètres!$A$1:$I$89,3,0)*VLOOKUP('Données projet'!$B$10,Paramètres!$A$1:$I$89,5,0)</f>
        <v>248.76799999999972</v>
      </c>
      <c r="AK196" s="13">
        <f t="shared" si="164"/>
        <v>60.32205079116369</v>
      </c>
      <c r="AL196" s="20">
        <f t="shared" si="165"/>
        <v>538.33183846127633</v>
      </c>
      <c r="AM196" s="59">
        <f t="shared" ref="AM196:AM203" si="193">AL196+(AD196+AE196)*44/12</f>
        <v>831.66517179460971</v>
      </c>
      <c r="AN196" s="59">
        <f ca="1">AVERAGE(OFFSET($AM$3,0,0,'Données projet'!$E$10+1,1))-AVERAGE(OFFSET($H$3,0,0,'Données projet'!$E$10+1,1))</f>
        <v>279.39350157328471</v>
      </c>
      <c r="AO196" s="59">
        <f t="shared" si="144"/>
        <v>261.55559683031657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2.2681705399584149</v>
      </c>
      <c r="AV196" s="21">
        <f>EXP(-LN(2)/25)*AV195+(1-EXP(-LN(2)/25))/(LN(2)/25)*Calculateur!AQ196*Calculateur!AS196*VLOOKUP('Données projet'!$B$10,Paramètres!$A$1:$I$89,3,0)*0.475*44/12</f>
        <v>0.92507640406622638</v>
      </c>
      <c r="AW196" s="21">
        <f>EXP(-LN(2)/2)*AW195+(1-EXP(-LN(2)/2))/(LN(2)/2)*AQ196*AT196*VLOOKUP('Données projet'!$B$10,Paramètres!$A$1:$I$89,3,0)*0.475*44/12</f>
        <v>1.8060828062802418E-19</v>
      </c>
      <c r="AX196" s="21">
        <f t="shared" si="166"/>
        <v>3.1932469440246414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475.00000000000011</v>
      </c>
      <c r="BE196" s="13">
        <f>BD196*VLOOKUP('Données projet'!$B$11,Paramètres!$A$1:$I$89,3,0)*VLOOKUP('Données projet'!$B$11,Paramètres!$A$1:$I$89,5,0)</f>
        <v>265.52500000000009</v>
      </c>
      <c r="BF196" s="13">
        <f t="shared" si="167"/>
        <v>63.898639547235177</v>
      </c>
      <c r="BG196" s="20">
        <f t="shared" si="168"/>
        <v>573.74617221143478</v>
      </c>
      <c r="BH196" s="59">
        <f t="shared" ref="BH196:BH203" si="194">BG196+(AY196+AZ196)*44/12</f>
        <v>867.07950554476815</v>
      </c>
      <c r="BI196" s="59">
        <f ca="1">AVERAGE(OFFSET($BH$3,0,0,'Données projet'!$E$11+1,1))-AVERAGE(OFFSET($H$3,0,0,'Données projet'!$E$11+1,1))</f>
        <v>342.37397177572871</v>
      </c>
      <c r="BJ196" s="59">
        <f t="shared" si="146"/>
        <v>331.32436050472762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3.5555443867992307</v>
      </c>
      <c r="BQ196" s="21">
        <f>EXP(-LN(2)/25)*BQ195+(1-EXP(-LN(2)/25))/(LN(2)/25)*Calculateur!BL196*Calculateur!BN196*VLOOKUP('Données projet'!$B$11,Paramètres!$A$1:$I$89,3,0)*0.475*44/12</f>
        <v>1.678821653891327</v>
      </c>
      <c r="BR196" s="21">
        <f>EXP(-LN(2)/2)*BR195+(1-EXP(-LN(2)/2))/(LN(2)/2)*BL196*BO196*VLOOKUP('Données projet'!$B$11,Paramètres!$A$1:$I$89,3,0)*0.475*44/12</f>
        <v>1.2921728079497592E-18</v>
      </c>
      <c r="BS196" s="22">
        <f t="shared" si="169"/>
        <v>5.2343660406905581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253.79640000000001</v>
      </c>
      <c r="CA196" s="13">
        <f t="shared" si="170"/>
        <v>61.39816832228076</v>
      </c>
      <c r="CB196" s="20">
        <f t="shared" si="171"/>
        <v>548.96387316130563</v>
      </c>
      <c r="CC196" s="59">
        <f t="shared" ref="CC196:CC203" si="195">CB196+(BT196+BU196)*44/12</f>
        <v>842.29720649463889</v>
      </c>
      <c r="CD196" s="59">
        <f ca="1">AVERAGE(OFFSET($CC$3,0,0,'Données projet'!$E$12+1,1))-AVERAGE(OFFSET($H$3,0,0,'Données projet'!$E$12+1,1))</f>
        <v>353.37479213497227</v>
      </c>
      <c r="CE196" s="59">
        <f t="shared" si="148"/>
        <v>345.4750813433123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4.3638182403931598</v>
      </c>
      <c r="CL196" s="21">
        <f>EXP(-LN(2)/25)*CL195+(1-EXP(-LN(2)/25))/(LN(2)/25)*Calculateur!CG196*Calculateur!CI196*VLOOKUP('Données projet'!$B$12,Paramètres!$A$1:$I$89,3,0)*0.475*44/12</f>
        <v>0.11143656656127258</v>
      </c>
      <c r="CM196" s="21">
        <f>EXP(-LN(2)/2)*CM195+(1-EXP(-LN(2)/2))/(LN(2)/2)*CG196*CJ196*VLOOKUP('Données projet'!$B$12,Paramètres!$A$1:$I$89,3,0)*0.475*44/12</f>
        <v>6.0182954438797801E-18</v>
      </c>
      <c r="CN196" s="22">
        <f t="shared" si="172"/>
        <v>4.4752548069544327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277.99999999999994</v>
      </c>
      <c r="O197" s="13">
        <f>N197*VLOOKUP('Données projet'!$B$9,Paramètres!$A$1:$I$89,3,0)*VLOOKUP('Données projet'!$B$9,Paramètres!$A$1:$I$89,5,0)</f>
        <v>173.47199999999998</v>
      </c>
      <c r="P197" s="13">
        <f t="shared" ref="P197:P203" si="203">EXP(-1.0587+0.8836*LN(O197)+0.284)</f>
        <v>43.866718728383574</v>
      </c>
      <c r="Q197" s="20">
        <f t="shared" si="162"/>
        <v>378.53160178526804</v>
      </c>
      <c r="R197" s="59">
        <f t="shared" si="191"/>
        <v>671.86493511860135</v>
      </c>
      <c r="S197" s="59">
        <f ca="1">AVERAGE(OFFSET($R$3,0,0,'Données projet'!$E$9+1,1))-AVERAGE(OFFSET($H$3,0,0,'Données projet'!$E$9+1,1))</f>
        <v>232.56424130731699</v>
      </c>
      <c r="T197" s="59">
        <f t="shared" ref="T197:T203" si="204">$T$3</f>
        <v>384.58890620364178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1.23595496474009</v>
      </c>
      <c r="AA197" s="21">
        <f>EXP(-LN(2)/25)*AA196+(1-EXP(-LN(2)/25))/(LN(2)/25)*Calculateur!V197*Calculateur!X197*VLOOKUP('Données projet'!$B$9,Paramètres!$A$1:$I$89,3,0)*0.475*44/12</f>
        <v>0.84671428426697648</v>
      </c>
      <c r="AB197" s="21">
        <f>EXP(-LN(2)/2)*AB196+(1-EXP(-LN(2)/2))/(LN(2)/2)*V197*Y197*VLOOKUP('Données projet'!$B$9,Paramètres!$A$1:$I$89,3,0)*0.475*44/12</f>
        <v>2.0440094266953986E-23</v>
      </c>
      <c r="AC197" s="22">
        <f t="shared" si="163"/>
        <v>2.0826692490070666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415.99999999999955</v>
      </c>
      <c r="AJ197" s="13">
        <f>AI197*VLOOKUP('Données projet'!$B$10,Paramètres!$A$1:$I$89,3,0)*VLOOKUP('Données projet'!$B$10,Paramètres!$A$1:$I$89,5,0)</f>
        <v>248.76799999999972</v>
      </c>
      <c r="AK197" s="13">
        <f t="shared" si="164"/>
        <v>60.32205079116369</v>
      </c>
      <c r="AL197" s="20">
        <f t="shared" si="165"/>
        <v>538.33183846127633</v>
      </c>
      <c r="AM197" s="59">
        <f t="shared" si="193"/>
        <v>831.66517179460971</v>
      </c>
      <c r="AN197" s="59">
        <f ca="1">AVERAGE(OFFSET($AM$3,0,0,'Données projet'!$E$10+1,1))-AVERAGE(OFFSET($H$3,0,0,'Données projet'!$E$10+1,1))</f>
        <v>279.39350157328471</v>
      </c>
      <c r="AO197" s="59">
        <f t="shared" ref="AO197:AO203" si="205">$AO$3</f>
        <v>261.55559683031657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2.2236930991172557</v>
      </c>
      <c r="AV197" s="21">
        <f>EXP(-LN(2)/25)*AV196+(1-EXP(-LN(2)/25))/(LN(2)/25)*Calculateur!AQ197*Calculateur!AS197*VLOOKUP('Données projet'!$B$10,Paramètres!$A$1:$I$89,3,0)*0.475*44/12</f>
        <v>0.89978014114938165</v>
      </c>
      <c r="AW197" s="21">
        <f>EXP(-LN(2)/2)*AW196+(1-EXP(-LN(2)/2))/(LN(2)/2)*AQ197*AT197*VLOOKUP('Données projet'!$B$10,Paramètres!$A$1:$I$89,3,0)*0.475*44/12</f>
        <v>1.2770933997051886E-19</v>
      </c>
      <c r="AX197" s="21">
        <f t="shared" si="166"/>
        <v>3.1234732402666374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475.00000000000011</v>
      </c>
      <c r="BE197" s="13">
        <f>BD197*VLOOKUP('Données projet'!$B$11,Paramètres!$A$1:$I$89,3,0)*VLOOKUP('Données projet'!$B$11,Paramètres!$A$1:$I$89,5,0)</f>
        <v>265.52500000000009</v>
      </c>
      <c r="BF197" s="13">
        <f t="shared" si="167"/>
        <v>63.898639547235177</v>
      </c>
      <c r="BG197" s="20">
        <f t="shared" si="168"/>
        <v>573.74617221143478</v>
      </c>
      <c r="BH197" s="59">
        <f t="shared" si="194"/>
        <v>867.07950554476815</v>
      </c>
      <c r="BI197" s="59">
        <f ca="1">AVERAGE(OFFSET($BH$3,0,0,'Données projet'!$E$11+1,1))-AVERAGE(OFFSET($H$3,0,0,'Données projet'!$E$11+1,1))</f>
        <v>342.37397177572871</v>
      </c>
      <c r="BJ197" s="59">
        <f t="shared" ref="BJ197:BJ203" si="206">$BJ$3</f>
        <v>331.32436050472762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3.4858223300420357</v>
      </c>
      <c r="BQ197" s="21">
        <f>EXP(-LN(2)/25)*BQ196+(1-EXP(-LN(2)/25))/(LN(2)/25)*Calculateur!BL197*Calculateur!BN197*VLOOKUP('Données projet'!$B$11,Paramètres!$A$1:$I$89,3,0)*0.475*44/12</f>
        <v>1.6329141874802748</v>
      </c>
      <c r="BR197" s="21">
        <f>EXP(-LN(2)/2)*BR196+(1-EXP(-LN(2)/2))/(LN(2)/2)*BL197*BO197*VLOOKUP('Données projet'!$B$11,Paramètres!$A$1:$I$89,3,0)*0.475*44/12</f>
        <v>9.137041549661371E-19</v>
      </c>
      <c r="BS197" s="22">
        <f t="shared" si="169"/>
        <v>5.1187365175223105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253.79640000000001</v>
      </c>
      <c r="CA197" s="13">
        <f t="shared" si="170"/>
        <v>61.39816832228076</v>
      </c>
      <c r="CB197" s="20">
        <f t="shared" si="171"/>
        <v>548.96387316130563</v>
      </c>
      <c r="CC197" s="59">
        <f t="shared" si="195"/>
        <v>842.29720649463889</v>
      </c>
      <c r="CD197" s="59">
        <f ca="1">AVERAGE(OFFSET($CC$3,0,0,'Données projet'!$E$12+1,1))-AVERAGE(OFFSET($H$3,0,0,'Données projet'!$E$12+1,1))</f>
        <v>353.37479213497227</v>
      </c>
      <c r="CE197" s="59">
        <f t="shared" ref="CE197:CE203" si="207">$CE$3</f>
        <v>345.4750813433123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4.2782464263653592</v>
      </c>
      <c r="CL197" s="21">
        <f>EXP(-LN(2)/25)*CL196+(1-EXP(-LN(2)/25))/(LN(2)/25)*Calculateur!CG197*Calculateur!CI197*VLOOKUP('Données projet'!$B$12,Paramètres!$A$1:$I$89,3,0)*0.475*44/12</f>
        <v>0.10838932778846025</v>
      </c>
      <c r="CM197" s="21">
        <f>EXP(-LN(2)/2)*CM196+(1-EXP(-LN(2)/2))/(LN(2)/2)*CG197*CJ197*VLOOKUP('Données projet'!$B$12,Paramètres!$A$1:$I$89,3,0)*0.475*44/12</f>
        <v>4.2555775195514955E-18</v>
      </c>
      <c r="CN197" s="22">
        <f t="shared" si="172"/>
        <v>4.3866357541538195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277.99999999999994</v>
      </c>
      <c r="O198" s="13">
        <f>N198*VLOOKUP('Données projet'!$B$9,Paramètres!$A$1:$I$89,3,0)*VLOOKUP('Données projet'!$B$9,Paramètres!$A$1:$I$89,5,0)</f>
        <v>173.47199999999998</v>
      </c>
      <c r="P198" s="13">
        <f t="shared" si="203"/>
        <v>43.866718728383574</v>
      </c>
      <c r="Q198" s="20">
        <f t="shared" si="162"/>
        <v>378.53160178526804</v>
      </c>
      <c r="R198" s="59">
        <f t="shared" si="191"/>
        <v>671.86493511860135</v>
      </c>
      <c r="S198" s="59">
        <f ca="1">AVERAGE(OFFSET($R$3,0,0,'Données projet'!$E$9+1,1))-AVERAGE(OFFSET($H$3,0,0,'Données projet'!$E$9+1,1))</f>
        <v>232.56424130731699</v>
      </c>
      <c r="T198" s="59">
        <f t="shared" si="204"/>
        <v>384.58890620364178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1.211718641739628</v>
      </c>
      <c r="AA198" s="21">
        <f>EXP(-LN(2)/25)*AA197+(1-EXP(-LN(2)/25))/(LN(2)/25)*Calculateur!V198*Calculateur!X198*VLOOKUP('Données projet'!$B$9,Paramètres!$A$1:$I$89,3,0)*0.475*44/12</f>
        <v>0.823560837636927</v>
      </c>
      <c r="AB198" s="21">
        <f>EXP(-LN(2)/2)*AB197+(1-EXP(-LN(2)/2))/(LN(2)/2)*V198*Y198*VLOOKUP('Données projet'!$B$9,Paramètres!$A$1:$I$89,3,0)*0.475*44/12</f>
        <v>1.4453329264255436E-23</v>
      </c>
      <c r="AC198" s="22">
        <f t="shared" si="163"/>
        <v>2.035279479376555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415.99999999999955</v>
      </c>
      <c r="AJ198" s="13">
        <f>AI198*VLOOKUP('Données projet'!$B$10,Paramètres!$A$1:$I$89,3,0)*VLOOKUP('Données projet'!$B$10,Paramètres!$A$1:$I$89,5,0)</f>
        <v>248.76799999999972</v>
      </c>
      <c r="AK198" s="13">
        <f t="shared" si="164"/>
        <v>60.32205079116369</v>
      </c>
      <c r="AL198" s="20">
        <f t="shared" si="165"/>
        <v>538.33183846127633</v>
      </c>
      <c r="AM198" s="59">
        <f t="shared" si="193"/>
        <v>831.66517179460971</v>
      </c>
      <c r="AN198" s="59">
        <f ca="1">AVERAGE(OFFSET($AM$3,0,0,'Données projet'!$E$10+1,1))-AVERAGE(OFFSET($H$3,0,0,'Données projet'!$E$10+1,1))</f>
        <v>279.39350157328471</v>
      </c>
      <c r="AO198" s="59">
        <f t="shared" si="205"/>
        <v>261.55559683031657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2.1800878337624314</v>
      </c>
      <c r="AV198" s="21">
        <f>EXP(-LN(2)/25)*AV197+(1-EXP(-LN(2)/25))/(LN(2)/25)*Calculateur!AQ198*Calculateur!AS198*VLOOKUP('Données projet'!$B$10,Paramètres!$A$1:$I$89,3,0)*0.475*44/12</f>
        <v>0.87517560587227061</v>
      </c>
      <c r="AW198" s="21">
        <f>EXP(-LN(2)/2)*AW197+(1-EXP(-LN(2)/2))/(LN(2)/2)*AQ198*AT198*VLOOKUP('Données projet'!$B$10,Paramètres!$A$1:$I$89,3,0)*0.475*44/12</f>
        <v>9.0304140314012089E-20</v>
      </c>
      <c r="AX198" s="21">
        <f t="shared" si="166"/>
        <v>3.055263439634702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475.00000000000011</v>
      </c>
      <c r="BE198" s="13">
        <f>BD198*VLOOKUP('Données projet'!$B$11,Paramètres!$A$1:$I$89,3,0)*VLOOKUP('Données projet'!$B$11,Paramètres!$A$1:$I$89,5,0)</f>
        <v>265.52500000000009</v>
      </c>
      <c r="BF198" s="13">
        <f t="shared" si="167"/>
        <v>63.898639547235177</v>
      </c>
      <c r="BG198" s="20">
        <f t="shared" si="168"/>
        <v>573.74617221143478</v>
      </c>
      <c r="BH198" s="59">
        <f t="shared" si="194"/>
        <v>867.07950554476815</v>
      </c>
      <c r="BI198" s="59">
        <f ca="1">AVERAGE(OFFSET($BH$3,0,0,'Données projet'!$E$11+1,1))-AVERAGE(OFFSET($H$3,0,0,'Données projet'!$E$11+1,1))</f>
        <v>342.37397177572871</v>
      </c>
      <c r="BJ198" s="59">
        <f t="shared" si="206"/>
        <v>331.32436050472762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3.4174674802915934</v>
      </c>
      <c r="BQ198" s="21">
        <f>EXP(-LN(2)/25)*BQ197+(1-EXP(-LN(2)/25))/(LN(2)/25)*Calculateur!BL198*Calculateur!BN198*VLOOKUP('Données projet'!$B$11,Paramètres!$A$1:$I$89,3,0)*0.475*44/12</f>
        <v>1.5882620631524016</v>
      </c>
      <c r="BR198" s="21">
        <f>EXP(-LN(2)/2)*BR197+(1-EXP(-LN(2)/2))/(LN(2)/2)*BL198*BO198*VLOOKUP('Données projet'!$B$11,Paramètres!$A$1:$I$89,3,0)*0.475*44/12</f>
        <v>6.4608640397487962E-19</v>
      </c>
      <c r="BS198" s="22">
        <f t="shared" si="169"/>
        <v>5.0057295434439952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253.79640000000001</v>
      </c>
      <c r="CA198" s="13">
        <f t="shared" si="170"/>
        <v>61.39816832228076</v>
      </c>
      <c r="CB198" s="20">
        <f t="shared" si="171"/>
        <v>548.96387316130563</v>
      </c>
      <c r="CC198" s="59">
        <f t="shared" si="195"/>
        <v>842.29720649463889</v>
      </c>
      <c r="CD198" s="59">
        <f ca="1">AVERAGE(OFFSET($CC$3,0,0,'Données projet'!$E$12+1,1))-AVERAGE(OFFSET($H$3,0,0,'Données projet'!$E$12+1,1))</f>
        <v>353.37479213497227</v>
      </c>
      <c r="CE198" s="59">
        <f t="shared" si="207"/>
        <v>345.4750813433123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4.1943526234169903</v>
      </c>
      <c r="CL198" s="21">
        <f>EXP(-LN(2)/25)*CL197+(1-EXP(-LN(2)/25))/(LN(2)/25)*Calculateur!CG198*Calculateur!CI198*VLOOKUP('Données projet'!$B$12,Paramètres!$A$1:$I$89,3,0)*0.475*44/12</f>
        <v>0.10542541592013778</v>
      </c>
      <c r="CM198" s="21">
        <f>EXP(-LN(2)/2)*CM197+(1-EXP(-LN(2)/2))/(LN(2)/2)*CG198*CJ198*VLOOKUP('Données projet'!$B$12,Paramètres!$A$1:$I$89,3,0)*0.475*44/12</f>
        <v>3.00914772193989E-18</v>
      </c>
      <c r="CN198" s="22">
        <f t="shared" si="172"/>
        <v>4.2997780393371281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277.99999999999994</v>
      </c>
      <c r="O199" s="13">
        <f>N199*VLOOKUP('Données projet'!$B$9,Paramètres!$A$1:$I$89,3,0)*VLOOKUP('Données projet'!$B$9,Paramètres!$A$1:$I$89,5,0)</f>
        <v>173.47199999999998</v>
      </c>
      <c r="P199" s="13">
        <f t="shared" si="203"/>
        <v>43.866718728383574</v>
      </c>
      <c r="Q199" s="20">
        <f t="shared" si="162"/>
        <v>378.53160178526804</v>
      </c>
      <c r="R199" s="59">
        <f t="shared" si="191"/>
        <v>671.86493511860135</v>
      </c>
      <c r="S199" s="59">
        <f ca="1">AVERAGE(OFFSET($R$3,0,0,'Données projet'!$E$9+1,1))-AVERAGE(OFFSET($H$3,0,0,'Données projet'!$E$9+1,1))</f>
        <v>232.56424130731699</v>
      </c>
      <c r="T199" s="59">
        <f t="shared" si="204"/>
        <v>384.58890620364178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1.1879575782505076</v>
      </c>
      <c r="AA199" s="21">
        <f>EXP(-LN(2)/25)*AA198+(1-EXP(-LN(2)/25))/(LN(2)/25)*Calculateur!V199*Calculateur!X199*VLOOKUP('Données projet'!$B$9,Paramètres!$A$1:$I$89,3,0)*0.475*44/12</f>
        <v>0.80104052322256303</v>
      </c>
      <c r="AB199" s="21">
        <f>EXP(-LN(2)/2)*AB198+(1-EXP(-LN(2)/2))/(LN(2)/2)*V199*Y199*VLOOKUP('Données projet'!$B$9,Paramètres!$A$1:$I$89,3,0)*0.475*44/12</f>
        <v>1.0220047133476993E-23</v>
      </c>
      <c r="AC199" s="22">
        <f t="shared" si="163"/>
        <v>1.9889981014730707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415.99999999999955</v>
      </c>
      <c r="AJ199" s="13">
        <f>AI199*VLOOKUP('Données projet'!$B$10,Paramètres!$A$1:$I$89,3,0)*VLOOKUP('Données projet'!$B$10,Paramètres!$A$1:$I$89,5,0)</f>
        <v>248.76799999999972</v>
      </c>
      <c r="AK199" s="13">
        <f t="shared" si="164"/>
        <v>60.32205079116369</v>
      </c>
      <c r="AL199" s="20">
        <f t="shared" si="165"/>
        <v>538.33183846127633</v>
      </c>
      <c r="AM199" s="59">
        <f t="shared" si="193"/>
        <v>831.66517179460971</v>
      </c>
      <c r="AN199" s="59">
        <f ca="1">AVERAGE(OFFSET($AM$3,0,0,'Données projet'!$E$10+1,1))-AVERAGE(OFFSET($H$3,0,0,'Données projet'!$E$10+1,1))</f>
        <v>279.39350157328471</v>
      </c>
      <c r="AO199" s="59">
        <f t="shared" si="205"/>
        <v>261.55559683031657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2.1373376410646294</v>
      </c>
      <c r="AV199" s="21">
        <f>EXP(-LN(2)/25)*AV198+(1-EXP(-LN(2)/25))/(LN(2)/25)*Calculateur!AQ199*Calculateur!AS199*VLOOKUP('Données projet'!$B$10,Paramètres!$A$1:$I$89,3,0)*0.475*44/12</f>
        <v>0.85124388290620845</v>
      </c>
      <c r="AW199" s="21">
        <f>EXP(-LN(2)/2)*AW198+(1-EXP(-LN(2)/2))/(LN(2)/2)*AQ199*AT199*VLOOKUP('Données projet'!$B$10,Paramètres!$A$1:$I$89,3,0)*0.475*44/12</f>
        <v>6.385466998525943E-20</v>
      </c>
      <c r="AX199" s="21">
        <f t="shared" si="166"/>
        <v>2.9885815239708378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475.00000000000011</v>
      </c>
      <c r="BE199" s="13">
        <f>BD199*VLOOKUP('Données projet'!$B$11,Paramètres!$A$1:$I$89,3,0)*VLOOKUP('Données projet'!$B$11,Paramètres!$A$1:$I$89,5,0)</f>
        <v>265.52500000000009</v>
      </c>
      <c r="BF199" s="13">
        <f t="shared" si="167"/>
        <v>63.898639547235177</v>
      </c>
      <c r="BG199" s="20">
        <f t="shared" si="168"/>
        <v>573.74617221143478</v>
      </c>
      <c r="BH199" s="59">
        <f t="shared" si="194"/>
        <v>867.07950554476815</v>
      </c>
      <c r="BI199" s="59">
        <f ca="1">AVERAGE(OFFSET($BH$3,0,0,'Données projet'!$E$11+1,1))-AVERAGE(OFFSET($H$3,0,0,'Données projet'!$E$11+1,1))</f>
        <v>342.37397177572871</v>
      </c>
      <c r="BJ199" s="59">
        <f t="shared" si="206"/>
        <v>331.32436050472762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3.3504530274524158</v>
      </c>
      <c r="BQ199" s="21">
        <f>EXP(-LN(2)/25)*BQ198+(1-EXP(-LN(2)/25))/(LN(2)/25)*Calculateur!BL199*Calculateur!BN199*VLOOKUP('Données projet'!$B$11,Paramètres!$A$1:$I$89,3,0)*0.475*44/12</f>
        <v>1.5448309535124274</v>
      </c>
      <c r="BR199" s="21">
        <f>EXP(-LN(2)/2)*BR198+(1-EXP(-LN(2)/2))/(LN(2)/2)*BL199*BO199*VLOOKUP('Données projet'!$B$11,Paramètres!$A$1:$I$89,3,0)*0.475*44/12</f>
        <v>4.5685207748306855E-19</v>
      </c>
      <c r="BS199" s="22">
        <f t="shared" si="169"/>
        <v>4.8952839809648427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253.79640000000001</v>
      </c>
      <c r="CA199" s="13">
        <f t="shared" si="170"/>
        <v>61.39816832228076</v>
      </c>
      <c r="CB199" s="20">
        <f t="shared" si="171"/>
        <v>548.96387316130563</v>
      </c>
      <c r="CC199" s="59">
        <f t="shared" si="195"/>
        <v>842.29720649463889</v>
      </c>
      <c r="CD199" s="59">
        <f ca="1">AVERAGE(OFFSET($CC$3,0,0,'Données projet'!$E$12+1,1))-AVERAGE(OFFSET($H$3,0,0,'Données projet'!$E$12+1,1))</f>
        <v>353.37479213497227</v>
      </c>
      <c r="CE199" s="59">
        <f t="shared" si="207"/>
        <v>345.4750813433123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4.1121039267742718</v>
      </c>
      <c r="CL199" s="21">
        <f>EXP(-LN(2)/25)*CL198+(1-EXP(-LN(2)/25))/(LN(2)/25)*Calculateur!CG199*Calculateur!CI199*VLOOKUP('Données projet'!$B$12,Paramètres!$A$1:$I$89,3,0)*0.475*44/12</f>
        <v>0.10254255237771995</v>
      </c>
      <c r="CM199" s="21">
        <f>EXP(-LN(2)/2)*CM198+(1-EXP(-LN(2)/2))/(LN(2)/2)*CG199*CJ199*VLOOKUP('Données projet'!$B$12,Paramètres!$A$1:$I$89,3,0)*0.475*44/12</f>
        <v>2.1277887597757477E-18</v>
      </c>
      <c r="CN199" s="22">
        <f t="shared" si="172"/>
        <v>4.214646479151992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277.99999999999994</v>
      </c>
      <c r="O200" s="13">
        <f>N200*VLOOKUP('Données projet'!$B$9,Paramètres!$A$1:$I$89,3,0)*VLOOKUP('Données projet'!$B$9,Paramètres!$A$1:$I$89,5,0)</f>
        <v>173.47199999999998</v>
      </c>
      <c r="P200" s="13">
        <f t="shared" si="203"/>
        <v>43.866718728383574</v>
      </c>
      <c r="Q200" s="20">
        <f t="shared" si="162"/>
        <v>378.53160178526804</v>
      </c>
      <c r="R200" s="59">
        <f t="shared" si="191"/>
        <v>671.86493511860135</v>
      </c>
      <c r="S200" s="59">
        <f ca="1">AVERAGE(OFFSET($R$3,0,0,'Données projet'!$E$9+1,1))-AVERAGE(OFFSET($H$3,0,0,'Données projet'!$E$9+1,1))</f>
        <v>232.56424130731699</v>
      </c>
      <c r="T200" s="59">
        <f t="shared" si="204"/>
        <v>384.58890620364178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1.1646624547235913</v>
      </c>
      <c r="AA200" s="21">
        <f>EXP(-LN(2)/25)*AA199+(1-EXP(-LN(2)/25))/(LN(2)/25)*Calculateur!V200*Calculateur!X200*VLOOKUP('Données projet'!$B$9,Paramètres!$A$1:$I$89,3,0)*0.475*44/12</f>
        <v>0.77913602799015169</v>
      </c>
      <c r="AB200" s="21">
        <f>EXP(-LN(2)/2)*AB199+(1-EXP(-LN(2)/2))/(LN(2)/2)*V200*Y200*VLOOKUP('Données projet'!$B$9,Paramètres!$A$1:$I$89,3,0)*0.475*44/12</f>
        <v>7.2266646321277182E-24</v>
      </c>
      <c r="AC200" s="22">
        <f t="shared" si="163"/>
        <v>1.9437984827137429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415.99999999999955</v>
      </c>
      <c r="AJ200" s="13">
        <f>AI200*VLOOKUP('Données projet'!$B$10,Paramètres!$A$1:$I$89,3,0)*VLOOKUP('Données projet'!$B$10,Paramètres!$A$1:$I$89,5,0)</f>
        <v>248.76799999999972</v>
      </c>
      <c r="AK200" s="13">
        <f t="shared" si="164"/>
        <v>60.32205079116369</v>
      </c>
      <c r="AL200" s="20">
        <f t="shared" si="165"/>
        <v>538.33183846127633</v>
      </c>
      <c r="AM200" s="59">
        <f t="shared" si="193"/>
        <v>831.66517179460971</v>
      </c>
      <c r="AN200" s="59">
        <f ca="1">AVERAGE(OFFSET($AM$3,0,0,'Données projet'!$E$10+1,1))-AVERAGE(OFFSET($H$3,0,0,'Données projet'!$E$10+1,1))</f>
        <v>279.39350157328471</v>
      </c>
      <c r="AO200" s="59">
        <f t="shared" si="205"/>
        <v>261.55559683031657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2.0954257535705887</v>
      </c>
      <c r="AV200" s="21">
        <f>EXP(-LN(2)/25)*AV199+(1-EXP(-LN(2)/25))/(LN(2)/25)*Calculateur!AQ200*Calculateur!AS200*VLOOKUP('Données projet'!$B$10,Paramètres!$A$1:$I$89,3,0)*0.475*44/12</f>
        <v>0.82796657416316788</v>
      </c>
      <c r="AW200" s="21">
        <f>EXP(-LN(2)/2)*AW199+(1-EXP(-LN(2)/2))/(LN(2)/2)*AQ200*AT200*VLOOKUP('Données projet'!$B$10,Paramètres!$A$1:$I$89,3,0)*0.475*44/12</f>
        <v>4.5152070157006044E-20</v>
      </c>
      <c r="AX200" s="21">
        <f t="shared" si="166"/>
        <v>2.9233923277337563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475.00000000000011</v>
      </c>
      <c r="BE200" s="13">
        <f>BD200*VLOOKUP('Données projet'!$B$11,Paramètres!$A$1:$I$89,3,0)*VLOOKUP('Données projet'!$B$11,Paramètres!$A$1:$I$89,5,0)</f>
        <v>265.52500000000009</v>
      </c>
      <c r="BF200" s="13">
        <f t="shared" si="167"/>
        <v>63.898639547235177</v>
      </c>
      <c r="BG200" s="20">
        <f t="shared" si="168"/>
        <v>573.74617221143478</v>
      </c>
      <c r="BH200" s="59">
        <f t="shared" si="194"/>
        <v>867.07950554476815</v>
      </c>
      <c r="BI200" s="59">
        <f ca="1">AVERAGE(OFFSET($BH$3,0,0,'Données projet'!$E$11+1,1))-AVERAGE(OFFSET($H$3,0,0,'Données projet'!$E$11+1,1))</f>
        <v>342.37397177572871</v>
      </c>
      <c r="BJ200" s="59">
        <f t="shared" si="206"/>
        <v>331.32436050472762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3.2847526871586346</v>
      </c>
      <c r="BQ200" s="21">
        <f>EXP(-LN(2)/25)*BQ199+(1-EXP(-LN(2)/25))/(LN(2)/25)*Calculateur!BL200*Calculateur!BN200*VLOOKUP('Données projet'!$B$11,Paramètres!$A$1:$I$89,3,0)*0.475*44/12</f>
        <v>1.502587469849501</v>
      </c>
      <c r="BR200" s="21">
        <f>EXP(-LN(2)/2)*BR199+(1-EXP(-LN(2)/2))/(LN(2)/2)*BL200*BO200*VLOOKUP('Données projet'!$B$11,Paramètres!$A$1:$I$89,3,0)*0.475*44/12</f>
        <v>3.2304320198743981E-19</v>
      </c>
      <c r="BS200" s="22">
        <f t="shared" si="169"/>
        <v>4.7873401570081358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253.79640000000001</v>
      </c>
      <c r="CA200" s="13">
        <f t="shared" si="170"/>
        <v>61.39816832228076</v>
      </c>
      <c r="CB200" s="20">
        <f t="shared" si="171"/>
        <v>548.96387316130563</v>
      </c>
      <c r="CC200" s="59">
        <f t="shared" si="195"/>
        <v>842.29720649463889</v>
      </c>
      <c r="CD200" s="59">
        <f ca="1">AVERAGE(OFFSET($CC$3,0,0,'Données projet'!$E$12+1,1))-AVERAGE(OFFSET($H$3,0,0,'Données projet'!$E$12+1,1))</f>
        <v>353.37479213497227</v>
      </c>
      <c r="CE200" s="59">
        <f t="shared" si="207"/>
        <v>345.4750813433123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4.0314680769059654</v>
      </c>
      <c r="CL200" s="21">
        <f>EXP(-LN(2)/25)*CL199+(1-EXP(-LN(2)/25))/(LN(2)/25)*Calculateur!CG200*Calculateur!CI200*VLOOKUP('Données projet'!$B$12,Paramètres!$A$1:$I$89,3,0)*0.475*44/12</f>
        <v>9.9738520890472734E-2</v>
      </c>
      <c r="CM200" s="21">
        <f>EXP(-LN(2)/2)*CM199+(1-EXP(-LN(2)/2))/(LN(2)/2)*CG200*CJ200*VLOOKUP('Données projet'!$B$12,Paramètres!$A$1:$I$89,3,0)*0.475*44/12</f>
        <v>1.504573860969945E-18</v>
      </c>
      <c r="CN200" s="22">
        <f t="shared" si="172"/>
        <v>4.1312065977964378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277.99999999999994</v>
      </c>
      <c r="O201" s="13">
        <f>N201*VLOOKUP('Données projet'!$B$9,Paramètres!$A$1:$I$89,3,0)*VLOOKUP('Données projet'!$B$9,Paramètres!$A$1:$I$89,5,0)</f>
        <v>173.47199999999998</v>
      </c>
      <c r="P201" s="13">
        <f t="shared" si="203"/>
        <v>43.866718728383574</v>
      </c>
      <c r="Q201" s="20">
        <f t="shared" si="162"/>
        <v>378.53160178526804</v>
      </c>
      <c r="R201" s="59">
        <f t="shared" si="191"/>
        <v>671.86493511860135</v>
      </c>
      <c r="S201" s="59">
        <f ca="1">AVERAGE(OFFSET($R$3,0,0,'Données projet'!$E$9+1,1))-AVERAGE(OFFSET($H$3,0,0,'Données projet'!$E$9+1,1))</f>
        <v>232.56424130731699</v>
      </c>
      <c r="T201" s="59">
        <f t="shared" si="204"/>
        <v>384.58890620364178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1.1418241343604154</v>
      </c>
      <c r="AA201" s="21">
        <f>EXP(-LN(2)/25)*AA200+(1-EXP(-LN(2)/25))/(LN(2)/25)*Calculateur!V201*Calculateur!X201*VLOOKUP('Données projet'!$B$9,Paramètres!$A$1:$I$89,3,0)*0.475*44/12</f>
        <v>0.75783051233177801</v>
      </c>
      <c r="AB201" s="21">
        <f>EXP(-LN(2)/2)*AB200+(1-EXP(-LN(2)/2))/(LN(2)/2)*V201*Y201*VLOOKUP('Données projet'!$B$9,Paramètres!$A$1:$I$89,3,0)*0.475*44/12</f>
        <v>5.1100235667384965E-24</v>
      </c>
      <c r="AC201" s="22">
        <f t="shared" si="163"/>
        <v>1.8996546466921935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415.99999999999955</v>
      </c>
      <c r="AJ201" s="13">
        <f>AI201*VLOOKUP('Données projet'!$B$10,Paramètres!$A$1:$I$89,3,0)*VLOOKUP('Données projet'!$B$10,Paramètres!$A$1:$I$89,5,0)</f>
        <v>248.76799999999972</v>
      </c>
      <c r="AK201" s="13">
        <f t="shared" si="164"/>
        <v>60.32205079116369</v>
      </c>
      <c r="AL201" s="20">
        <f t="shared" si="165"/>
        <v>538.33183846127633</v>
      </c>
      <c r="AM201" s="59">
        <f t="shared" si="193"/>
        <v>831.66517179460971</v>
      </c>
      <c r="AN201" s="59">
        <f ca="1">AVERAGE(OFFSET($AM$3,0,0,'Données projet'!$E$10+1,1))-AVERAGE(OFFSET($H$3,0,0,'Données projet'!$E$10+1,1))</f>
        <v>279.39350157328471</v>
      </c>
      <c r="AO201" s="59">
        <f t="shared" si="205"/>
        <v>261.55559683031657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2.054335732626579</v>
      </c>
      <c r="AV201" s="21">
        <f>EXP(-LN(2)/25)*AV200+(1-EXP(-LN(2)/25))/(LN(2)/25)*Calculateur!AQ201*Calculateur!AS201*VLOOKUP('Données projet'!$B$10,Paramètres!$A$1:$I$89,3,0)*0.475*44/12</f>
        <v>0.80532578465180626</v>
      </c>
      <c r="AW201" s="21">
        <f>EXP(-LN(2)/2)*AW200+(1-EXP(-LN(2)/2))/(LN(2)/2)*AQ201*AT201*VLOOKUP('Données projet'!$B$10,Paramètres!$A$1:$I$89,3,0)*0.475*44/12</f>
        <v>3.1927334992629715E-20</v>
      </c>
      <c r="AX201" s="21">
        <f t="shared" si="166"/>
        <v>2.8596615172783855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475.00000000000011</v>
      </c>
      <c r="BE201" s="13">
        <f>BD201*VLOOKUP('Données projet'!$B$11,Paramètres!$A$1:$I$89,3,0)*VLOOKUP('Données projet'!$B$11,Paramètres!$A$1:$I$89,5,0)</f>
        <v>265.52500000000009</v>
      </c>
      <c r="BF201" s="13">
        <f t="shared" si="167"/>
        <v>63.898639547235177</v>
      </c>
      <c r="BG201" s="20">
        <f t="shared" si="168"/>
        <v>573.74617221143478</v>
      </c>
      <c r="BH201" s="59">
        <f t="shared" si="194"/>
        <v>867.07950554476815</v>
      </c>
      <c r="BI201" s="59">
        <f ca="1">AVERAGE(OFFSET($BH$3,0,0,'Données projet'!$E$11+1,1))-AVERAGE(OFFSET($H$3,0,0,'Données projet'!$E$11+1,1))</f>
        <v>342.37397177572871</v>
      </c>
      <c r="BJ201" s="59">
        <f t="shared" si="206"/>
        <v>331.32436050472762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3.2203406904647638</v>
      </c>
      <c r="BQ201" s="21">
        <f>EXP(-LN(2)/25)*BQ200+(1-EXP(-LN(2)/25))/(LN(2)/25)*Calculateur!BL201*Calculateur!BN201*VLOOKUP('Données projet'!$B$11,Paramètres!$A$1:$I$89,3,0)*0.475*44/12</f>
        <v>1.4614991364688255</v>
      </c>
      <c r="BR201" s="21">
        <f>EXP(-LN(2)/2)*BR200+(1-EXP(-LN(2)/2))/(LN(2)/2)*BL201*BO201*VLOOKUP('Données projet'!$B$11,Paramètres!$A$1:$I$89,3,0)*0.475*44/12</f>
        <v>2.2842603874153428E-19</v>
      </c>
      <c r="BS201" s="22">
        <f t="shared" si="169"/>
        <v>4.6818398269335892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253.79640000000001</v>
      </c>
      <c r="CA201" s="13">
        <f t="shared" si="170"/>
        <v>61.39816832228076</v>
      </c>
      <c r="CB201" s="20">
        <f t="shared" si="171"/>
        <v>548.96387316130563</v>
      </c>
      <c r="CC201" s="59">
        <f t="shared" si="195"/>
        <v>842.29720649463889</v>
      </c>
      <c r="CD201" s="59">
        <f ca="1">AVERAGE(OFFSET($CC$3,0,0,'Données projet'!$E$12+1,1))-AVERAGE(OFFSET($H$3,0,0,'Données projet'!$E$12+1,1))</f>
        <v>353.37479213497227</v>
      </c>
      <c r="CE201" s="59">
        <f t="shared" si="207"/>
        <v>345.4750813433123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3.952413446870565</v>
      </c>
      <c r="CL201" s="21">
        <f>EXP(-LN(2)/25)*CL200+(1-EXP(-LN(2)/25))/(LN(2)/25)*Calculateur!CG201*Calculateur!CI201*VLOOKUP('Données projet'!$B$12,Paramètres!$A$1:$I$89,3,0)*0.475*44/12</f>
        <v>9.7011165791701895E-2</v>
      </c>
      <c r="CM201" s="21">
        <f>EXP(-LN(2)/2)*CM200+(1-EXP(-LN(2)/2))/(LN(2)/2)*CG201*CJ201*VLOOKUP('Données projet'!$B$12,Paramètres!$A$1:$I$89,3,0)*0.475*44/12</f>
        <v>1.0638943798878739E-18</v>
      </c>
      <c r="CN201" s="22">
        <f t="shared" si="172"/>
        <v>4.0494246126622668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277.99999999999994</v>
      </c>
      <c r="O202" s="13">
        <f>N202*VLOOKUP('Données projet'!$B$9,Paramètres!$A$1:$I$89,3,0)*VLOOKUP('Données projet'!$B$9,Paramètres!$A$1:$I$89,5,0)</f>
        <v>173.47199999999998</v>
      </c>
      <c r="P202" s="13">
        <f t="shared" si="203"/>
        <v>43.866718728383574</v>
      </c>
      <c r="Q202" s="20">
        <f t="shared" si="162"/>
        <v>378.53160178526804</v>
      </c>
      <c r="R202" s="59">
        <f t="shared" si="191"/>
        <v>671.86493511860135</v>
      </c>
      <c r="S202" s="59">
        <f ca="1">AVERAGE(OFFSET($R$3,0,0,'Données projet'!$E$9+1,1))-AVERAGE(OFFSET($H$3,0,0,'Données projet'!$E$9+1,1))</f>
        <v>232.56424130731699</v>
      </c>
      <c r="T202" s="59">
        <f t="shared" si="204"/>
        <v>384.58890620364178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1.1194336595295615</v>
      </c>
      <c r="AA202" s="21">
        <f>EXP(-LN(2)/25)*AA201+(1-EXP(-LN(2)/25))/(LN(2)/25)*Calculateur!V202*Calculateur!X202*VLOOKUP('Données projet'!$B$9,Paramètres!$A$1:$I$89,3,0)*0.475*44/12</f>
        <v>0.73710759711949092</v>
      </c>
      <c r="AB202" s="21">
        <f>EXP(-LN(2)/2)*AB201+(1-EXP(-LN(2)/2))/(LN(2)/2)*V202*Y202*VLOOKUP('Données projet'!$B$9,Paramètres!$A$1:$I$89,3,0)*0.475*44/12</f>
        <v>3.6133323160638591E-24</v>
      </c>
      <c r="AC202" s="22">
        <f t="shared" si="163"/>
        <v>1.8565412566490525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415.99999999999955</v>
      </c>
      <c r="AJ202" s="13">
        <f>AI202*VLOOKUP('Données projet'!$B$10,Paramètres!$A$1:$I$89,3,0)*VLOOKUP('Données projet'!$B$10,Paramètres!$A$1:$I$89,5,0)</f>
        <v>248.76799999999972</v>
      </c>
      <c r="AK202" s="13">
        <f t="shared" si="164"/>
        <v>60.32205079116369</v>
      </c>
      <c r="AL202" s="20">
        <f t="shared" si="165"/>
        <v>538.33183846127633</v>
      </c>
      <c r="AM202" s="59">
        <f t="shared" si="193"/>
        <v>831.66517179460971</v>
      </c>
      <c r="AN202" s="59">
        <f ca="1">AVERAGE(OFFSET($AM$3,0,0,'Données projet'!$E$10+1,1))-AVERAGE(OFFSET($H$3,0,0,'Données projet'!$E$10+1,1))</f>
        <v>279.39350157328471</v>
      </c>
      <c r="AO202" s="59">
        <f t="shared" si="205"/>
        <v>261.55559683031657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2.0140514619308432</v>
      </c>
      <c r="AV202" s="21">
        <f>EXP(-LN(2)/25)*AV201+(1-EXP(-LN(2)/25))/(LN(2)/25)*Calculateur!AQ202*Calculateur!AS202*VLOOKUP('Données projet'!$B$10,Paramètres!$A$1:$I$89,3,0)*0.475*44/12</f>
        <v>0.78330410872026024</v>
      </c>
      <c r="AW202" s="21">
        <f>EXP(-LN(2)/2)*AW201+(1-EXP(-LN(2)/2))/(LN(2)/2)*AQ202*AT202*VLOOKUP('Données projet'!$B$10,Paramètres!$A$1:$I$89,3,0)*0.475*44/12</f>
        <v>2.2576035078503022E-20</v>
      </c>
      <c r="AX202" s="21">
        <f t="shared" si="166"/>
        <v>2.7973555706511033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475.00000000000011</v>
      </c>
      <c r="BE202" s="13">
        <f>BD202*VLOOKUP('Données projet'!$B$11,Paramètres!$A$1:$I$89,3,0)*VLOOKUP('Données projet'!$B$11,Paramètres!$A$1:$I$89,5,0)</f>
        <v>265.52500000000009</v>
      </c>
      <c r="BF202" s="13">
        <f t="shared" si="167"/>
        <v>63.898639547235177</v>
      </c>
      <c r="BG202" s="20">
        <f t="shared" si="168"/>
        <v>573.74617221143478</v>
      </c>
      <c r="BH202" s="59">
        <f t="shared" si="194"/>
        <v>867.07950554476815</v>
      </c>
      <c r="BI202" s="59">
        <f ca="1">AVERAGE(OFFSET($BH$3,0,0,'Données projet'!$E$11+1,1))-AVERAGE(OFFSET($H$3,0,0,'Données projet'!$E$11+1,1))</f>
        <v>342.37397177572871</v>
      </c>
      <c r="BJ202" s="59">
        <f t="shared" si="206"/>
        <v>331.32436050472762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3.1571917737386208</v>
      </c>
      <c r="BQ202" s="21">
        <f>EXP(-LN(2)/25)*BQ201+(1-EXP(-LN(2)/25))/(LN(2)/25)*Calculateur!BL202*Calculateur!BN202*VLOOKUP('Données projet'!$B$11,Paramètres!$A$1:$I$89,3,0)*0.475*44/12</f>
        <v>1.4215343657251862</v>
      </c>
      <c r="BR202" s="21">
        <f>EXP(-LN(2)/2)*BR201+(1-EXP(-LN(2)/2))/(LN(2)/2)*BL202*BO202*VLOOKUP('Données projet'!$B$11,Paramètres!$A$1:$I$89,3,0)*0.475*44/12</f>
        <v>1.615216009937199E-19</v>
      </c>
      <c r="BS202" s="22">
        <f t="shared" si="169"/>
        <v>4.5787261394638072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253.79640000000001</v>
      </c>
      <c r="CA202" s="13">
        <f t="shared" si="170"/>
        <v>61.39816832228076</v>
      </c>
      <c r="CB202" s="20">
        <f t="shared" si="171"/>
        <v>548.96387316130563</v>
      </c>
      <c r="CC202" s="59">
        <f t="shared" si="195"/>
        <v>842.29720649463889</v>
      </c>
      <c r="CD202" s="59">
        <f ca="1">AVERAGE(OFFSET($CC$3,0,0,'Données projet'!$E$12+1,1))-AVERAGE(OFFSET($H$3,0,0,'Données projet'!$E$12+1,1))</f>
        <v>353.37479213497227</v>
      </c>
      <c r="CE202" s="59">
        <f t="shared" si="207"/>
        <v>345.4750813433123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3.8749090299115956</v>
      </c>
      <c r="CL202" s="21">
        <f>EXP(-LN(2)/25)*CL201+(1-EXP(-LN(2)/25))/(LN(2)/25)*Calculateur!CG202*Calculateur!CI202*VLOOKUP('Données projet'!$B$12,Paramètres!$A$1:$I$89,3,0)*0.475*44/12</f>
        <v>9.4358390361532318E-2</v>
      </c>
      <c r="CM202" s="21">
        <f>EXP(-LN(2)/2)*CM201+(1-EXP(-LN(2)/2))/(LN(2)/2)*CG202*CJ202*VLOOKUP('Données projet'!$B$12,Paramètres!$A$1:$I$89,3,0)*0.475*44/12</f>
        <v>7.5228693048497251E-19</v>
      </c>
      <c r="CN202" s="22">
        <f t="shared" si="172"/>
        <v>3.9692674202731277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277.99999999999994</v>
      </c>
      <c r="O203" s="13">
        <f>N203*VLOOKUP('Données projet'!$B$9,Paramètres!$A$1:$I$89,3,0)*VLOOKUP('Données projet'!$B$9,Paramètres!$A$1:$I$89,5,0)</f>
        <v>173.47199999999998</v>
      </c>
      <c r="P203" s="13">
        <f t="shared" si="203"/>
        <v>43.866718728383574</v>
      </c>
      <c r="Q203" s="20">
        <f t="shared" si="162"/>
        <v>378.53160178526804</v>
      </c>
      <c r="R203" s="59">
        <f t="shared" si="191"/>
        <v>671.86493511860135</v>
      </c>
      <c r="S203" s="59">
        <f ca="1">AVERAGE(OFFSET($R$3,0,0,'Données projet'!$E$9+1,1))-AVERAGE(OFFSET($H$3,0,0,'Données projet'!$E$9+1,1))</f>
        <v>232.56424130731699</v>
      </c>
      <c r="T203" s="59">
        <f t="shared" si="204"/>
        <v>384.58890620364178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1.0974822482532995</v>
      </c>
      <c r="AA203" s="21">
        <f>EXP(-LN(2)/25)*AA202+(1-EXP(-LN(2)/25))/(LN(2)/25)*Calculateur!V203*Calculateur!X203*VLOOKUP('Données projet'!$B$9,Paramètres!$A$1:$I$89,3,0)*0.475*44/12</f>
        <v>0.71695135111345454</v>
      </c>
      <c r="AB203" s="21">
        <f>EXP(-LN(2)/2)*AB202+(1-EXP(-LN(2)/2))/(LN(2)/2)*V203*Y203*VLOOKUP('Données projet'!$B$9,Paramètres!$A$1:$I$89,3,0)*0.475*44/12</f>
        <v>2.5550117833692483E-24</v>
      </c>
      <c r="AC203" s="22">
        <f t="shared" si="163"/>
        <v>1.8144335993667542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415.99999999999955</v>
      </c>
      <c r="AJ203" s="13">
        <f>AI203*VLOOKUP('Données projet'!$B$10,Paramètres!$A$1:$I$89,3,0)*VLOOKUP('Données projet'!$B$10,Paramètres!$A$1:$I$89,5,0)</f>
        <v>248.76799999999972</v>
      </c>
      <c r="AK203" s="13">
        <f t="shared" si="164"/>
        <v>60.32205079116369</v>
      </c>
      <c r="AL203" s="20">
        <f t="shared" si="165"/>
        <v>538.33183846127633</v>
      </c>
      <c r="AM203" s="59">
        <f t="shared" si="193"/>
        <v>831.66517179460971</v>
      </c>
      <c r="AN203" s="59">
        <f ca="1">AVERAGE(OFFSET($AM$3,0,0,'Données projet'!$E$10+1,1))-AVERAGE(OFFSET($H$3,0,0,'Données projet'!$E$10+1,1))</f>
        <v>279.39350157328471</v>
      </c>
      <c r="AO203" s="59">
        <f t="shared" si="205"/>
        <v>261.55559683031657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1.9745571412124718</v>
      </c>
      <c r="AV203" s="21">
        <f>EXP(-LN(2)/25)*AV202+(1-EXP(-LN(2)/25))/(LN(2)/25)*Calculateur!AQ203*Calculateur!AS203*VLOOKUP('Données projet'!$B$10,Paramètres!$A$1:$I$89,3,0)*0.475*44/12</f>
        <v>0.76188461667513196</v>
      </c>
      <c r="AW203" s="21">
        <f>EXP(-LN(2)/2)*AW202+(1-EXP(-LN(2)/2))/(LN(2)/2)*AQ203*AT203*VLOOKUP('Données projet'!$B$10,Paramètres!$A$1:$I$89,3,0)*0.475*44/12</f>
        <v>1.5963667496314858E-20</v>
      </c>
      <c r="AX203" s="21">
        <f t="shared" si="166"/>
        <v>2.7364417578876039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475.00000000000011</v>
      </c>
      <c r="BE203" s="13">
        <f>BD203*VLOOKUP('Données projet'!$B$11,Paramètres!$A$1:$I$89,3,0)*VLOOKUP('Données projet'!$B$11,Paramètres!$A$1:$I$89,5,0)</f>
        <v>265.52500000000009</v>
      </c>
      <c r="BF203" s="13">
        <f t="shared" si="167"/>
        <v>63.898639547235177</v>
      </c>
      <c r="BG203" s="20">
        <f t="shared" si="168"/>
        <v>573.74617221143478</v>
      </c>
      <c r="BH203" s="59">
        <f t="shared" si="194"/>
        <v>867.07950554476815</v>
      </c>
      <c r="BI203" s="59">
        <f ca="1">AVERAGE(OFFSET($BH$3,0,0,'Données projet'!$E$11+1,1))-AVERAGE(OFFSET($H$3,0,0,'Données projet'!$E$11+1,1))</f>
        <v>342.37397177572871</v>
      </c>
      <c r="BJ203" s="59">
        <f t="shared" si="206"/>
        <v>331.32436050472762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3.0952811687524417</v>
      </c>
      <c r="BQ203" s="21">
        <f>EXP(-LN(2)/25)*BQ202+(1-EXP(-LN(2)/25))/(LN(2)/25)*Calculateur!BL203*Calculateur!BN203*VLOOKUP('Données projet'!$B$11,Paramètres!$A$1:$I$89,3,0)*0.475*44/12</f>
        <v>1.3826624337391877</v>
      </c>
      <c r="BR203" s="21">
        <f>EXP(-LN(2)/2)*BR202+(1-EXP(-LN(2)/2))/(LN(2)/2)*BL203*BO203*VLOOKUP('Données projet'!$B$11,Paramètres!$A$1:$I$89,3,0)*0.475*44/12</f>
        <v>1.1421301937076714E-19</v>
      </c>
      <c r="BS203" s="22">
        <f t="shared" si="169"/>
        <v>4.4779436024916297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253.79640000000001</v>
      </c>
      <c r="CA203" s="13">
        <f t="shared" si="170"/>
        <v>61.39816832228076</v>
      </c>
      <c r="CB203" s="20">
        <f t="shared" si="171"/>
        <v>548.96387316130563</v>
      </c>
      <c r="CC203" s="59">
        <f t="shared" si="195"/>
        <v>842.29720649463889</v>
      </c>
      <c r="CD203" s="59">
        <f ca="1">AVERAGE(OFFSET($CC$3,0,0,'Données projet'!$E$12+1,1))-AVERAGE(OFFSET($H$3,0,0,'Données projet'!$E$12+1,1))</f>
        <v>353.37479213497227</v>
      </c>
      <c r="CE203" s="59">
        <f t="shared" si="207"/>
        <v>345.4750813433123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3.7989244272961651</v>
      </c>
      <c r="CL203" s="21">
        <f>EXP(-LN(2)/25)*CL202+(1-EXP(-LN(2)/25))/(LN(2)/25)*Calculateur!CG203*Calculateur!CI203*VLOOKUP('Données projet'!$B$12,Paramètres!$A$1:$I$89,3,0)*0.475*44/12</f>
        <v>9.1778155215004126E-2</v>
      </c>
      <c r="CM203" s="21">
        <f>EXP(-LN(2)/2)*CM202+(1-EXP(-LN(2)/2))/(LN(2)/2)*CG203*CJ203*VLOOKUP('Données projet'!$B$12,Paramètres!$A$1:$I$89,3,0)*0.475*44/12</f>
        <v>5.3194718994393694E-19</v>
      </c>
      <c r="CN203" s="22">
        <f t="shared" si="172"/>
        <v>3.8907025825111692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1.4860662319460807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1.2575327117457482</v>
      </c>
      <c r="BA205" s="82">
        <f>EXP(LN('Données projet'!B88)/'Données projet'!A88)</f>
        <v>1.2004556724055826</v>
      </c>
      <c r="BV205" s="82">
        <f>EXP(LN('Données projet'!B114)/'Données projet'!A114)</f>
        <v>1.3208724756526424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2" zoomScale="90" zoomScaleNormal="90" workbookViewId="0">
      <selection activeCell="M15" sqref="M1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Mélèze d'Europe</v>
      </c>
      <c r="B6" s="146">
        <f>'Données projet'!D9</f>
        <v>1.1000000000000001</v>
      </c>
      <c r="C6" s="147">
        <f ca="1">IF(OR('Données projet'!B9="",'Données projet'!C9="",'Données projet'!C9=0%),0,Calculateur!S3)</f>
        <v>232.56424130731699</v>
      </c>
      <c r="D6" s="147">
        <f>IF(OR('Données projet'!B9="",'Données projet'!C9="",'Données projet'!C9=0%),0,Calculateur!T3)</f>
        <v>384.58890620364178</v>
      </c>
      <c r="E6" s="147">
        <f ca="1">MIN(C6,D6)</f>
        <v>232.56424130731699</v>
      </c>
      <c r="F6" s="147">
        <f ca="1">E6*B6</f>
        <v>255.82066543804871</v>
      </c>
      <c r="G6" s="147">
        <f ca="1">F6*(100%-'Données projet'!$C$24)*(100%-'Données projet'!$C$25)*(100%-'Données projet'!$C$26)*(100%-'Données projet'!$C$27)</f>
        <v>230.23859889424384</v>
      </c>
      <c r="H6" s="148">
        <f>IF(OR('Données projet'!B9="",'Données projet'!C9="",'Données projet'!C9=0%),0,AVERAGE(Calculateur!$AC$3:$AC$33)*B6)</f>
        <v>31.100372108153952</v>
      </c>
      <c r="I6" s="149">
        <f>H6*(100%-'Données projet'!$C$24)*(100%-'Données projet'!$C$25)*(100%-'Données projet'!$C$26)*(100%-'Données projet'!$C$27)</f>
        <v>27.990334897338556</v>
      </c>
      <c r="J6" s="150">
        <f>IF(OR('Données projet'!B9="",'Données projet'!C9="",'Données projet'!C9=0%),0,SUM(Calculateur!$V$3:$V$33)*VLOOKUP('Données projet'!$B$9,Paramètres!$A$1:$I$89,9,0)*B6)</f>
        <v>136.697</v>
      </c>
      <c r="K6" s="151">
        <f>J6*(100%-'Données projet'!$C$24)*(100%-'Données projet'!$C$25)*(100%-'Données projet'!$C$26)*(100%-'Données projet'!$C$27)</f>
        <v>123.02730000000001</v>
      </c>
      <c r="L6" s="152">
        <f ca="1">G6+I6+K6</f>
        <v>381.25623379158242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0.65999999999999992</v>
      </c>
      <c r="C7" s="147">
        <f ca="1">IF(OR('Données projet'!B10="",'Données projet'!C10="",'Données projet'!C10=0%),0,Calculateur!AN3)</f>
        <v>279.39350157328471</v>
      </c>
      <c r="D7" s="147">
        <f>IF(OR('Données projet'!B10="",'Données projet'!C10="",'Données projet'!C10=0%),0,Calculateur!AO3)</f>
        <v>261.55559683031657</v>
      </c>
      <c r="E7" s="147">
        <f t="shared" ref="E7:E15" ca="1" si="0">MIN(C7,D7)</f>
        <v>261.55559683031657</v>
      </c>
      <c r="F7" s="147">
        <f t="shared" ref="F7:F15" ca="1" si="1">E7*B7</f>
        <v>172.62669390800892</v>
      </c>
      <c r="G7" s="147">
        <f ca="1">F7*(100%-'Données projet'!$C$24)*(100%-'Données projet'!$C$25)*(100%-'Données projet'!$C$26)*(100%-'Données projet'!$C$27)</f>
        <v>155.36402451720804</v>
      </c>
      <c r="H7" s="155">
        <f>IF(OR('Données projet'!B10="",'Données projet'!C10="",'Données projet'!C10=0%),0,AVERAGE(Calculateur!$AX$3:$AX$33)*B7)</f>
        <v>4.9679937725551477</v>
      </c>
      <c r="I7" s="149">
        <f>H7*(100%-'Données projet'!$C$24)*(100%-'Données projet'!$C$25)*(100%-'Données projet'!$C$26)*(100%-'Données projet'!$C$27)</f>
        <v>4.4711943952996327</v>
      </c>
      <c r="J7" s="150">
        <f>IF(OR('Données projet'!B10="",'Données projet'!C10="",'Données projet'!C10=0%),0,SUM(Calculateur!$AQ$3:$AQ$33)*VLOOKUP('Données projet'!$B$10,Paramètres!$A$1:$I$89,9,0)*B7)</f>
        <v>30.082799999999995</v>
      </c>
      <c r="K7" s="151">
        <f>J7*(100%-'Données projet'!$C$24)*(100%-'Données projet'!$C$25)*(100%-'Données projet'!$C$26)*(100%-'Données projet'!$C$27)</f>
        <v>27.074519999999996</v>
      </c>
      <c r="L7" s="152">
        <f t="shared" ref="L7:L15" ca="1" si="2">G7+I7+K7</f>
        <v>186.90973891250766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Douglas</v>
      </c>
      <c r="B8" s="154">
        <f>'Données projet'!D11</f>
        <v>0.52249999999999996</v>
      </c>
      <c r="C8" s="147">
        <f ca="1">IF(OR('Données projet'!B11="",'Données projet'!C11="",'Données projet'!C11=0%),0,Calculateur!BI3)</f>
        <v>342.37397177572871</v>
      </c>
      <c r="D8" s="147">
        <f>IF(OR('Données projet'!B11="",'Données projet'!C11="",'Données projet'!C11=0%),0,Calculateur!BJ3)</f>
        <v>331.32436050472762</v>
      </c>
      <c r="E8" s="147">
        <f t="shared" ca="1" si="0"/>
        <v>331.32436050472762</v>
      </c>
      <c r="F8" s="147">
        <f t="shared" ca="1" si="1"/>
        <v>173.11697836372016</v>
      </c>
      <c r="G8" s="147">
        <f ca="1">F8*(100%-'Données projet'!$C$24)*(100%-'Données projet'!$C$25)*(100%-'Données projet'!$C$26)*(100%-'Données projet'!$C$27)</f>
        <v>155.80528052734815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155.80528052734815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Erable sycomore</v>
      </c>
      <c r="B9" s="154">
        <f>'Données projet'!D12</f>
        <v>0.46750000000000003</v>
      </c>
      <c r="C9" s="147">
        <f ca="1">IF(OR('Données projet'!B12="",'Données projet'!C12="",'Données projet'!C12=0%),0,Calculateur!CD3)</f>
        <v>353.37479213497227</v>
      </c>
      <c r="D9" s="147">
        <f>IF(OR('Données projet'!B12="",'Données projet'!C12="",'Données projet'!C12=0%),0,Calculateur!CE3)</f>
        <v>345.4750813433123</v>
      </c>
      <c r="E9" s="147">
        <f t="shared" ca="1" si="0"/>
        <v>345.4750813433123</v>
      </c>
      <c r="F9" s="147">
        <f t="shared" ca="1" si="1"/>
        <v>161.50960052799851</v>
      </c>
      <c r="G9" s="147">
        <f ca="1">F9*(100%-'Données projet'!$C$24)*(100%-'Données projet'!$C$25)*(100%-'Données projet'!$C$26)*(100%-'Données projet'!$C$27)</f>
        <v>145.35864047519865</v>
      </c>
      <c r="H9" s="155">
        <f>IF(OR('Données projet'!B12="",'Données projet'!C12="",'Données projet'!C12=0%),0,AVERAGE(Calculateur!$CN$3:$CN$33)*B9)</f>
        <v>0.97978358601307947</v>
      </c>
      <c r="I9" s="149">
        <f>H9*(100%-'Données projet'!$C$24)*(100%-'Données projet'!$C$25)*(100%-'Données projet'!$C$26)*(100%-'Données projet'!$C$27)</f>
        <v>0.88180522741177159</v>
      </c>
      <c r="J9" s="150">
        <f>IF(OR('Données projet'!B12="",'Données projet'!C12="",'Données projet'!C12=0%),0,SUM(Calculateur!$CG$3:$CG$33)*VLOOKUP('Données projet'!$B$12,Paramètres!$A$1:$I$89,9,0)*B9)</f>
        <v>16.011875</v>
      </c>
      <c r="K9" s="151">
        <f>J9*(100%-'Données projet'!$C$24)*(100%-'Données projet'!$C$25)*(100%-'Données projet'!$C$26)*(100%-'Données projet'!$C$27)</f>
        <v>14.4106875</v>
      </c>
      <c r="L9" s="152">
        <f t="shared" ca="1" si="2"/>
        <v>160.65113320261042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763.07393823777625</v>
      </c>
      <c r="G16" s="166">
        <f t="shared" ca="1" si="3"/>
        <v>686.76654441399864</v>
      </c>
      <c r="H16" s="167">
        <f t="shared" si="3"/>
        <v>37.04814946672218</v>
      </c>
      <c r="I16" s="167">
        <f t="shared" si="3"/>
        <v>33.343334520049964</v>
      </c>
      <c r="J16" s="168">
        <f t="shared" si="3"/>
        <v>182.791675</v>
      </c>
      <c r="K16" s="168">
        <f t="shared" si="3"/>
        <v>164.5125075</v>
      </c>
      <c r="L16" s="169">
        <f t="shared" ca="1" si="3"/>
        <v>884.62238643404862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Mélèze d'Europe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80" zoomScaleNormal="80" workbookViewId="0">
      <selection activeCell="J22" sqref="J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Mélèze d'Europe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5555.5669321267569</v>
      </c>
      <c r="U10" s="178">
        <f>'Données projet'!D9</f>
        <v>1.1000000000000001</v>
      </c>
      <c r="V10" s="177">
        <f>U10*T10</f>
        <v>6111.1236253394327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1608.6155338203218</v>
      </c>
      <c r="U11" s="178">
        <f>'Données projet'!D10</f>
        <v>0.65999999999999992</v>
      </c>
      <c r="V11" s="177">
        <f t="shared" ref="V11" si="0">U11*T11</f>
        <v>1061.6862523214122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2073.963641793388</v>
      </c>
      <c r="U12" s="178">
        <f>'Données projet'!D11</f>
        <v>0.52249999999999996</v>
      </c>
      <c r="V12" s="177">
        <f t="shared" ref="V12:V19" si="1">U12*T12</f>
        <v>1083.6460028370452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1487.6627688658357</v>
      </c>
      <c r="U13" s="178">
        <f>'Données projet'!D12</f>
        <v>0.46750000000000003</v>
      </c>
      <c r="V13" s="177">
        <f t="shared" si="1"/>
        <v>695.48234444477828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Mélèze d'Europe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>
        <f>6200*(1+10%)</f>
        <v>6820.0000000000009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>
        <f>452*(1+10%)</f>
        <v>497.20000000000005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>
        <f t="shared" ref="I22:I23" si="2">452*(1+10%)</f>
        <v>497.20000000000005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21</v>
      </c>
      <c r="C23" s="193">
        <f>10*(1+12.8%)</f>
        <v>11.280000000000001</v>
      </c>
      <c r="D23" s="182">
        <f>B23*C23</f>
        <v>236.88000000000002</v>
      </c>
      <c r="E23" s="193">
        <f>75+(D23*12%)</f>
        <v>103.4256</v>
      </c>
      <c r="F23" s="230"/>
      <c r="H23" s="190"/>
      <c r="I23" s="191">
        <f t="shared" si="2"/>
        <v>497.20000000000005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-13904.961775057334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47</v>
      </c>
      <c r="C24" s="193">
        <f>30*(1+12.8%)</f>
        <v>33.840000000000003</v>
      </c>
      <c r="D24" s="182">
        <f t="shared" ref="D24:D42" si="3">B24*C24</f>
        <v>1590.4800000000002</v>
      </c>
      <c r="E24" s="193">
        <f t="shared" ref="E24:E29" si="4">75+(D24*12%)</f>
        <v>265.85760000000005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1844.1519020133826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18</v>
      </c>
      <c r="B25" s="181">
        <f>'Données projet'!D38</f>
        <v>61</v>
      </c>
      <c r="C25" s="193">
        <f>40*(1+12.8%)</f>
        <v>45.120000000000005</v>
      </c>
      <c r="D25" s="182">
        <f t="shared" si="3"/>
        <v>2752.32</v>
      </c>
      <c r="E25" s="193">
        <f t="shared" si="4"/>
        <v>405.27840000000003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34</v>
      </c>
      <c r="Q25" s="234"/>
      <c r="R25" s="23"/>
      <c r="S25" s="186" t="s">
        <v>266</v>
      </c>
      <c r="T25" s="303">
        <f ca="1">T23-T24</f>
        <v>-15749.113677070716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84</v>
      </c>
      <c r="C26" s="193">
        <f>50*(1+12.8%)</f>
        <v>56.400000000000006</v>
      </c>
      <c r="D26" s="182">
        <f t="shared" si="3"/>
        <v>4737.6000000000004</v>
      </c>
      <c r="E26" s="193">
        <f t="shared" si="4"/>
        <v>643.51200000000006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30</v>
      </c>
      <c r="B27" s="181">
        <f>'Données projet'!D40</f>
        <v>76</v>
      </c>
      <c r="C27" s="193">
        <f>60*(1+12.8%)</f>
        <v>67.680000000000007</v>
      </c>
      <c r="D27" s="182">
        <f t="shared" si="3"/>
        <v>5143.68</v>
      </c>
      <c r="E27" s="193">
        <f t="shared" si="4"/>
        <v>692.24160000000006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36</v>
      </c>
      <c r="B28" s="181">
        <f>'Données projet'!D41</f>
        <v>75</v>
      </c>
      <c r="C28" s="193">
        <f>75*(1+12.8%)</f>
        <v>84.600000000000009</v>
      </c>
      <c r="D28" s="182">
        <f t="shared" si="3"/>
        <v>6345.0000000000009</v>
      </c>
      <c r="E28" s="193">
        <f t="shared" si="4"/>
        <v>836.40000000000009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42</v>
      </c>
      <c r="B29" s="181">
        <f>'Données projet'!D42</f>
        <v>0</v>
      </c>
      <c r="C29" s="193">
        <f>75*(1+12.8%)</f>
        <v>84.600000000000009</v>
      </c>
      <c r="D29" s="182">
        <f t="shared" si="3"/>
        <v>0</v>
      </c>
      <c r="E29" s="193">
        <f t="shared" si="4"/>
        <v>75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3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670.60069164123001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3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5">$P$25/(1+$M$4)^O33</f>
        <v>34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5"/>
        <v>32.535885167464116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5"/>
        <v>31.134818342070929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5"/>
        <v>29.794084537866919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5"/>
        <v>28.511085682169305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5"/>
        <v>27.283335581023259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5"/>
        <v>26.108455101457672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5"/>
        <v>24.98416756120351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5"/>
        <v>23.908294316941166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5"/>
        <v>22.878750542527435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5"/>
        <v>21.893541189021473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5"/>
        <v>20.950757118680833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5"/>
        <v>20.04857140543621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5"/>
        <v>19.185235794675798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5"/>
        <v>18.359077315479237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5"/>
        <v>17.56849503873611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5"/>
        <v>16.811956974867098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5"/>
        <v>16.08799710513598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5"/>
        <v>15.395212540799982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5"/>
        <v>14.732260804593285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5"/>
        <v>14.097857229275874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21</v>
      </c>
      <c r="B54" s="181">
        <f>'Données projet'!D62</f>
        <v>58</v>
      </c>
      <c r="C54" s="191">
        <f>12*(1+12.8%)</f>
        <v>13.536000000000001</v>
      </c>
      <c r="D54" s="179">
        <f>B54*C54</f>
        <v>785.08800000000008</v>
      </c>
      <c r="E54" s="193">
        <f>75+(D54*12%)</f>
        <v>169.21055999999999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5"/>
        <v>13.490772468206577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27</v>
      </c>
      <c r="B55" s="181">
        <f>'Données projet'!D63</f>
        <v>48</v>
      </c>
      <c r="C55" s="191">
        <f>20*(1+12.8%)</f>
        <v>22.560000000000002</v>
      </c>
      <c r="D55" s="179">
        <f t="shared" ref="D55:D73" si="6">B55*C55</f>
        <v>1082.8800000000001</v>
      </c>
      <c r="E55" s="193">
        <f t="shared" ref="E55:E59" si="7">75+(D55*12%)</f>
        <v>204.94560000000001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5"/>
        <v>12.909830113116346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34</v>
      </c>
      <c r="B56" s="181">
        <f>'Données projet'!D64</f>
        <v>67</v>
      </c>
      <c r="C56" s="191">
        <f>30*(1+12.8%)</f>
        <v>33.840000000000003</v>
      </c>
      <c r="D56" s="179">
        <f t="shared" si="6"/>
        <v>2267.2800000000002</v>
      </c>
      <c r="E56" s="193">
        <f t="shared" si="7"/>
        <v>347.0736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5"/>
        <v>12.353904414465402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42</v>
      </c>
      <c r="B57" s="181">
        <f>'Données projet'!D65</f>
        <v>77</v>
      </c>
      <c r="C57" s="191">
        <f>37*(1+12.8%)</f>
        <v>41.736000000000004</v>
      </c>
      <c r="D57" s="179">
        <f t="shared" si="6"/>
        <v>3213.6720000000005</v>
      </c>
      <c r="E57" s="193">
        <f t="shared" si="7"/>
        <v>460.64064000000002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5"/>
        <v>11.821918099966895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52</v>
      </c>
      <c r="B58" s="181">
        <f>'Données projet'!D66</f>
        <v>79</v>
      </c>
      <c r="C58" s="191">
        <f>40*(1+12.8%)</f>
        <v>45.120000000000005</v>
      </c>
      <c r="D58" s="179">
        <f t="shared" si="6"/>
        <v>3564.4800000000005</v>
      </c>
      <c r="E58" s="193">
        <f t="shared" si="7"/>
        <v>502.73760000000004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5"/>
        <v>11.31284028704966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62</v>
      </c>
      <c r="B59" s="181">
        <f>'Données projet'!D67</f>
        <v>67</v>
      </c>
      <c r="C59" s="191">
        <f>45*(1+12.8%)</f>
        <v>50.760000000000005</v>
      </c>
      <c r="D59" s="179">
        <f t="shared" si="6"/>
        <v>3400.9200000000005</v>
      </c>
      <c r="E59" s="193">
        <f t="shared" si="7"/>
        <v>483.11040000000003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5"/>
        <v>10.825684485214989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6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5"/>
        <v>10.359506684416257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6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5"/>
        <v>9.913403525757186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6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5"/>
        <v>9.4865105509638141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6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5"/>
        <v>9.0780005272381015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6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5"/>
        <v>8.6870818442469862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6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8">$P$25/(1+$M$4)^O65</f>
        <v>8.3129969801406602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6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8"/>
        <v>7.9550210336274283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6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8"/>
        <v>7.6124603192606974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6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8"/>
        <v>7.2846510232159787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6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8"/>
        <v>6.9709579169530906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6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8"/>
        <v>6.6707731262709009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6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8"/>
        <v>6.3835149533692839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6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8"/>
        <v>6.1086267496356781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6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8"/>
        <v>5.8455758369719426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8"/>
        <v>5.5938524755712375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8"/>
        <v>5.3529688761447254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8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8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8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8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8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8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8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8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8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32</v>
      </c>
      <c r="B85" s="181">
        <f>'Données projet'!D88</f>
        <v>76</v>
      </c>
      <c r="C85" s="191">
        <f>10*(1+12.8%)</f>
        <v>11.280000000000001</v>
      </c>
      <c r="D85" s="179">
        <f>B85*C85</f>
        <v>857.28000000000009</v>
      </c>
      <c r="E85" s="193">
        <f>75+(D85*12%)</f>
        <v>177.87360000000001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8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39</v>
      </c>
      <c r="B86" s="181">
        <f>'Données projet'!D89</f>
        <v>79</v>
      </c>
      <c r="C86" s="191">
        <f>30*(1+12.8%)</f>
        <v>33.840000000000003</v>
      </c>
      <c r="D86" s="179">
        <f t="shared" ref="D86:D104" si="9">B86*C86</f>
        <v>2673.36</v>
      </c>
      <c r="E86" s="193">
        <f t="shared" ref="E86:E90" si="10">75+(D86*12%)</f>
        <v>395.8032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8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46</v>
      </c>
      <c r="B87" s="181">
        <f>'Données projet'!D90</f>
        <v>85</v>
      </c>
      <c r="C87" s="191">
        <f>40*(1+12.8%)</f>
        <v>45.120000000000005</v>
      </c>
      <c r="D87" s="179">
        <f t="shared" si="9"/>
        <v>3835.2000000000003</v>
      </c>
      <c r="E87" s="193">
        <f t="shared" si="10"/>
        <v>535.22399999999993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8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53</v>
      </c>
      <c r="B88" s="181">
        <f>'Données projet'!D91</f>
        <v>84</v>
      </c>
      <c r="C88" s="191">
        <f>50*(1+12.8%)</f>
        <v>56.400000000000006</v>
      </c>
      <c r="D88" s="179">
        <f t="shared" si="9"/>
        <v>4737.6000000000004</v>
      </c>
      <c r="E88" s="193">
        <f t="shared" si="10"/>
        <v>643.51200000000006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8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80</v>
      </c>
      <c r="C89" s="191">
        <f>60*(1+12.8%)</f>
        <v>67.680000000000007</v>
      </c>
      <c r="D89" s="179">
        <f t="shared" si="9"/>
        <v>5414.4000000000005</v>
      </c>
      <c r="E89" s="193">
        <f t="shared" si="10"/>
        <v>724.72800000000007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8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67</v>
      </c>
      <c r="B90" s="181">
        <f>'Données projet'!D93</f>
        <v>86</v>
      </c>
      <c r="C90" s="191">
        <f>75*(1+12.8%)</f>
        <v>84.600000000000009</v>
      </c>
      <c r="D90" s="179">
        <f t="shared" si="9"/>
        <v>7275.6</v>
      </c>
      <c r="E90" s="193">
        <f t="shared" si="10"/>
        <v>948.072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8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9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8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9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8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9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8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9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8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9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8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9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8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9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1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9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1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9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1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9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1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9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1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9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1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9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1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9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1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1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1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1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1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1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1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1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1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1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1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1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32</v>
      </c>
      <c r="C116" s="191">
        <f>7.6*(1+12.8%)</f>
        <v>8.5728000000000009</v>
      </c>
      <c r="D116" s="179">
        <f>B116*C116</f>
        <v>274.32960000000003</v>
      </c>
      <c r="E116" s="193">
        <f>75+(D116*12%)</f>
        <v>107.91955200000001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1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35</v>
      </c>
      <c r="C117" s="191">
        <f>13.2*(1+12.8%)</f>
        <v>14.889600000000002</v>
      </c>
      <c r="D117" s="179">
        <f t="shared" ref="D117:D135" si="12">B117*C117</f>
        <v>521.13600000000008</v>
      </c>
      <c r="E117" s="193">
        <f t="shared" ref="E117:E128" si="13">75+(D117*12%)</f>
        <v>137.53632000000002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1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35</v>
      </c>
      <c r="C118" s="191">
        <f>18.8*(1+12.8%)</f>
        <v>21.206400000000002</v>
      </c>
      <c r="D118" s="179">
        <f t="shared" si="12"/>
        <v>742.22400000000005</v>
      </c>
      <c r="E118" s="193">
        <f t="shared" si="13"/>
        <v>164.06688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1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35</v>
      </c>
      <c r="C119" s="191">
        <f>30.28*(1+12.8%)</f>
        <v>34.155840000000005</v>
      </c>
      <c r="D119" s="179">
        <f t="shared" si="12"/>
        <v>1195.4544000000001</v>
      </c>
      <c r="E119" s="193">
        <f t="shared" si="13"/>
        <v>218.45452800000001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1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35</v>
      </c>
      <c r="C120" s="191">
        <f t="shared" ref="C120:C121" si="14">30.28*(1+12.8%)</f>
        <v>34.155840000000005</v>
      </c>
      <c r="D120" s="179">
        <f t="shared" si="12"/>
        <v>1195.4544000000001</v>
      </c>
      <c r="E120" s="193">
        <f t="shared" si="13"/>
        <v>218.45452800000001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1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35</v>
      </c>
      <c r="C121" s="191">
        <f t="shared" si="14"/>
        <v>34.155840000000005</v>
      </c>
      <c r="D121" s="179">
        <f t="shared" si="12"/>
        <v>1195.4544000000001</v>
      </c>
      <c r="E121" s="193">
        <f t="shared" si="13"/>
        <v>218.45452800000001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1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24</v>
      </c>
      <c r="C122" s="191">
        <f>40*(1+12.8%)</f>
        <v>45.120000000000005</v>
      </c>
      <c r="D122" s="179">
        <f t="shared" si="12"/>
        <v>1082.8800000000001</v>
      </c>
      <c r="E122" s="193">
        <f t="shared" si="13"/>
        <v>204.94560000000001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1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19</v>
      </c>
      <c r="C123" s="191">
        <f>40*(1+12.8%)</f>
        <v>45.120000000000005</v>
      </c>
      <c r="D123" s="179">
        <f t="shared" si="12"/>
        <v>857.28000000000009</v>
      </c>
      <c r="E123" s="193">
        <f t="shared" si="13"/>
        <v>177.87360000000001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1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16</v>
      </c>
      <c r="C124" s="191">
        <f>55*(1+12.8%)</f>
        <v>62.040000000000006</v>
      </c>
      <c r="D124" s="179">
        <f t="shared" si="12"/>
        <v>992.6400000000001</v>
      </c>
      <c r="E124" s="193">
        <f t="shared" si="13"/>
        <v>194.11680000000001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1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14</v>
      </c>
      <c r="C125" s="191">
        <f>55*(1+12.8%)</f>
        <v>62.040000000000006</v>
      </c>
      <c r="D125" s="179">
        <f t="shared" si="12"/>
        <v>868.56000000000006</v>
      </c>
      <c r="E125" s="193">
        <f t="shared" si="13"/>
        <v>179.22719999999998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1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13</v>
      </c>
      <c r="C126" s="191">
        <f>60*(1+12.8%)</f>
        <v>67.680000000000007</v>
      </c>
      <c r="D126" s="179">
        <f t="shared" si="12"/>
        <v>879.84000000000015</v>
      </c>
      <c r="E126" s="193">
        <f t="shared" si="13"/>
        <v>180.58080000000001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1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13</v>
      </c>
      <c r="C127" s="191">
        <f>60*(1+12.8%)</f>
        <v>67.680000000000007</v>
      </c>
      <c r="D127" s="179">
        <f t="shared" si="12"/>
        <v>879.84000000000015</v>
      </c>
      <c r="E127" s="193">
        <f t="shared" si="13"/>
        <v>180.58080000000001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1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75</v>
      </c>
      <c r="B128" s="181">
        <f>'Données projet'!D126</f>
        <v>12</v>
      </c>
      <c r="C128" s="191">
        <f>60*(1+12.8%)</f>
        <v>67.680000000000007</v>
      </c>
      <c r="D128" s="179">
        <f t="shared" si="12"/>
        <v>812.16000000000008</v>
      </c>
      <c r="E128" s="193">
        <f t="shared" si="13"/>
        <v>172.45920000000001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1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80</v>
      </c>
      <c r="B129" s="181">
        <f>'Données projet'!D127</f>
        <v>11</v>
      </c>
      <c r="C129" s="191"/>
      <c r="D129" s="179">
        <f t="shared" si="12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5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2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5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2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5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2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5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2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2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2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6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6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6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6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6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6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6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6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6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6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6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6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6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6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6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6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6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6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6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7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7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7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7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7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7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7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7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7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7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7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7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7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7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7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7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7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7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7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8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8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8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8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8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8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8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8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8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8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8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8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8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8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8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8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8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8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8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9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9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9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9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9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9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9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9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9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9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9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9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9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9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9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9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9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9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9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20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20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20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20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20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20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20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20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20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20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20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20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20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20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20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20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20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20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20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21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21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21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21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21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21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21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21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21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21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21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21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21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21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21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21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21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21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21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2023-06-28T08:54:19Z</dcterms:modified>
</cp:coreProperties>
</file>