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Jean de Russon\Maen Roch\Préparation dossier\Questions réponses\"/>
    </mc:Choice>
  </mc:AlternateContent>
  <xr:revisionPtr revIDLastSave="0" documentId="13_ncr:1_{F5178978-2367-431B-87F7-197CAB1C2ACC}" xr6:coauthVersionLast="47" xr6:coauthVersionMax="47" xr10:uidLastSave="{00000000-0000-0000-0000-000000000000}"/>
  <bookViews>
    <workbookView xWindow="3012" yWindow="204" windowWidth="18960" windowHeight="11484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3" i="1" l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E58" i="6" l="1"/>
  <c r="E57" i="6"/>
  <c r="E56" i="6"/>
  <c r="E55" i="6"/>
  <c r="E54" i="6"/>
  <c r="C58" i="6"/>
  <c r="C57" i="6"/>
  <c r="C56" i="6"/>
  <c r="C55" i="6"/>
  <c r="C54" i="6"/>
  <c r="E160" i="6" l="1"/>
  <c r="E161" i="6"/>
  <c r="E162" i="6"/>
  <c r="E163" i="6"/>
  <c r="E164" i="6"/>
  <c r="E165" i="6"/>
  <c r="E166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C163" i="6"/>
  <c r="C164" i="6"/>
  <c r="C165" i="6"/>
  <c r="C166" i="6"/>
  <c r="C162" i="6"/>
  <c r="C93" i="6"/>
  <c r="C161" i="6"/>
  <c r="C158" i="6"/>
  <c r="C159" i="6"/>
  <c r="C160" i="6"/>
  <c r="C157" i="6"/>
  <c r="C91" i="6"/>
  <c r="C156" i="6"/>
  <c r="C152" i="6"/>
  <c r="C153" i="6"/>
  <c r="C154" i="6"/>
  <c r="C155" i="6"/>
  <c r="C151" i="6"/>
  <c r="C24" i="6"/>
  <c r="C148" i="6"/>
  <c r="C149" i="6"/>
  <c r="C150" i="6"/>
  <c r="C147" i="6"/>
  <c r="C85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C97" i="6"/>
  <c r="C96" i="6"/>
  <c r="C95" i="6"/>
  <c r="C94" i="6"/>
  <c r="C92" i="6"/>
  <c r="C90" i="6"/>
  <c r="C89" i="6"/>
  <c r="C88" i="6"/>
  <c r="C87" i="6"/>
  <c r="C86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3" i="6"/>
  <c r="I22" i="6" l="1"/>
  <c r="I23" i="6"/>
  <c r="I21" i="6"/>
  <c r="I20" i="6"/>
  <c r="B126" i="1" l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49" i="1" l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V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CM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FS113" i="2"/>
  <c r="HI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I120" i="2"/>
  <c r="HH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H122" i="2"/>
  <c r="EC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EX130" i="2"/>
  <c r="EB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G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HG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A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FS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C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I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W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A197" i="2" l="1"/>
  <c r="EC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 l="1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9" i="2" a="1"/>
  <c r="FY79" i="2" s="1"/>
  <c r="FY50" i="2" a="1"/>
  <c r="FY50" i="2" s="1"/>
  <c r="FY57" i="2" a="1"/>
  <c r="FY57" i="2" s="1"/>
  <c r="FY22" i="2" a="1"/>
  <c r="FY22" i="2" s="1"/>
  <c r="FY146" i="2" a="1"/>
  <c r="FY146" i="2" s="1"/>
  <c r="FY35" i="2" a="1"/>
  <c r="FY35" i="2" s="1"/>
  <c r="FY140" i="2" a="1"/>
  <c r="FY140" i="2" s="1"/>
  <c r="FY18" i="2" a="1"/>
  <c r="FY18" i="2" s="1"/>
  <c r="FY120" i="2" a="1"/>
  <c r="FY120" i="2" s="1"/>
  <c r="FY69" i="2" a="1"/>
  <c r="FY69" i="2" s="1"/>
  <c r="FY153" i="2" a="1"/>
  <c r="FY153" i="2" s="1"/>
  <c r="FY191" i="2" a="1"/>
  <c r="FY191" i="2" s="1"/>
  <c r="FY159" i="2" a="1"/>
  <c r="FY159" i="2" s="1"/>
  <c r="FY186" i="2" a="1"/>
  <c r="FY186" i="2" s="1"/>
  <c r="FY73" i="2" a="1"/>
  <c r="FY73" i="2" s="1"/>
  <c r="FY92" i="2" a="1"/>
  <c r="FY92" i="2" s="1"/>
  <c r="FY99" i="2" a="1"/>
  <c r="FY99" i="2" s="1"/>
  <c r="FY78" i="2" a="1"/>
  <c r="FY78" i="2" s="1"/>
  <c r="FY188" i="2" a="1"/>
  <c r="FY188" i="2" s="1"/>
  <c r="FY55" i="2" a="1"/>
  <c r="FY55" i="2" s="1"/>
  <c r="FY190" i="2" a="1"/>
  <c r="FY190" i="2" s="1"/>
  <c r="FY169" i="2" a="1"/>
  <c r="FY169" i="2" s="1"/>
  <c r="FY24" i="2" a="1"/>
  <c r="FY24" i="2" s="1"/>
  <c r="FY164" i="2" a="1"/>
  <c r="FY164" i="2" s="1"/>
  <c r="FY104" i="2" a="1"/>
  <c r="FY104" i="2" s="1"/>
  <c r="FD21" i="2" a="1"/>
  <c r="FD21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50" i="2" a="1"/>
  <c r="EI150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114" i="2" l="1" a="1"/>
  <c r="CS114" i="2" s="1"/>
  <c r="CS24" i="2" a="1"/>
  <c r="CS24" i="2" s="1"/>
  <c r="CS161" i="2" a="1"/>
  <c r="CS161" i="2" s="1"/>
  <c r="CS72" i="2" a="1"/>
  <c r="CS72" i="2" s="1"/>
  <c r="CS56" i="2" a="1"/>
  <c r="CS56" i="2" s="1"/>
  <c r="CS134" i="2" a="1"/>
  <c r="CS134" i="2" s="1"/>
  <c r="CS185" i="2" a="1"/>
  <c r="CS185" i="2" s="1"/>
  <c r="CS105" i="2" a="1"/>
  <c r="CS105" i="2" s="1"/>
  <c r="CS38" i="2" a="1"/>
  <c r="CS38" i="2" s="1"/>
  <c r="CS120" i="2" a="1"/>
  <c r="CS120" i="2" s="1"/>
  <c r="CS77" i="2" a="1"/>
  <c r="CS77" i="2" s="1"/>
  <c r="CS137" i="2" a="1"/>
  <c r="CS137" i="2" s="1"/>
  <c r="CS66" i="2" a="1"/>
  <c r="CS66" i="2" s="1"/>
  <c r="CS129" i="2" a="1"/>
  <c r="CS129" i="2" s="1"/>
  <c r="CS52" i="2" a="1"/>
  <c r="CS52" i="2" s="1"/>
  <c r="AH166" i="2" a="1"/>
  <c r="AH166" i="2" s="1"/>
  <c r="AH92" i="2" a="1"/>
  <c r="AH92" i="2" s="1"/>
  <c r="AH199" i="2" a="1"/>
  <c r="AH199" i="2" s="1"/>
  <c r="EI29" i="2" a="1"/>
  <c r="EI29" i="2" s="1"/>
  <c r="EI198" i="2" a="1"/>
  <c r="EI198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I162" i="2" a="1"/>
  <c r="EI162" i="2" s="1"/>
  <c r="EI153" i="2" a="1"/>
  <c r="EI153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CY141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126" i="2" l="1"/>
  <c r="CY200" i="2"/>
  <c r="CY96" i="2"/>
  <c r="CY52" i="2"/>
  <c r="CY76" i="2"/>
  <c r="CY72" i="2"/>
  <c r="CY122" i="2"/>
  <c r="CY117" i="2"/>
  <c r="CY121" i="2"/>
  <c r="CY67" i="2"/>
  <c r="CY142" i="2"/>
  <c r="CY149" i="2"/>
  <c r="CY79" i="2"/>
  <c r="CY105" i="2"/>
  <c r="CY98" i="2"/>
  <c r="CY10" i="2"/>
  <c r="CY68" i="2"/>
  <c r="CY73" i="2"/>
  <c r="CY179" i="2"/>
  <c r="CY42" i="2"/>
  <c r="CY193" i="2"/>
  <c r="CY58" i="2"/>
  <c r="CY92" i="2"/>
  <c r="CY151" i="2"/>
  <c r="CY119" i="2"/>
  <c r="CY160" i="2"/>
  <c r="CY94" i="2"/>
  <c r="CY195" i="2"/>
  <c r="CY103" i="2"/>
  <c r="CY146" i="2"/>
  <c r="CY164" i="2"/>
  <c r="CY153" i="2"/>
  <c r="CY123" i="2"/>
  <c r="CY132" i="2"/>
  <c r="CY170" i="2"/>
  <c r="CY97" i="2"/>
  <c r="CY130" i="2"/>
  <c r="CY110" i="2"/>
  <c r="CY8" i="2"/>
  <c r="CY174" i="2"/>
  <c r="CY202" i="2"/>
  <c r="CY22" i="2"/>
  <c r="CY106" i="2"/>
  <c r="CY176" i="2"/>
  <c r="CY16" i="2"/>
  <c r="CY194" i="2"/>
  <c r="CY182" i="2"/>
  <c r="CY48" i="2"/>
  <c r="CY116" i="2"/>
  <c r="CY18" i="2"/>
  <c r="CY138" i="2"/>
  <c r="CY56" i="2"/>
  <c r="CY143" i="2"/>
  <c r="CY131" i="2"/>
  <c r="CY20" i="2"/>
  <c r="CY109" i="2"/>
  <c r="CY111" i="2"/>
  <c r="CY29" i="2"/>
  <c r="CY124" i="2"/>
  <c r="CY26" i="2"/>
  <c r="CY178" i="2"/>
  <c r="CY46" i="2"/>
  <c r="CY147" i="2"/>
  <c r="CY203" i="2"/>
  <c r="CY196" i="2"/>
  <c r="CY167" i="2"/>
  <c r="CY192" i="2"/>
  <c r="CY197" i="2"/>
  <c r="CY9" i="2"/>
  <c r="CY90" i="2"/>
  <c r="CY93" i="2"/>
  <c r="CY61" i="2"/>
  <c r="CY23" i="2"/>
  <c r="CY83" i="2"/>
  <c r="CY156" i="2"/>
  <c r="CY163" i="2"/>
  <c r="CY25" i="2"/>
  <c r="CY45" i="2"/>
  <c r="CY155" i="2"/>
  <c r="CY4" i="2"/>
  <c r="CY189" i="2"/>
  <c r="CY152" i="2"/>
  <c r="CY82" i="2"/>
  <c r="CY17" i="2"/>
  <c r="CY49" i="2"/>
  <c r="CY185" i="2"/>
  <c r="CY59" i="2"/>
  <c r="CY36" i="2"/>
  <c r="CY44" i="2"/>
  <c r="CY129" i="2"/>
  <c r="CY19" i="2"/>
  <c r="CY150" i="2"/>
  <c r="CY169" i="2"/>
  <c r="CY101" i="2"/>
  <c r="CY60" i="2"/>
  <c r="CY91" i="2"/>
  <c r="CY172" i="2"/>
  <c r="CY28" i="2"/>
  <c r="CY53" i="2"/>
  <c r="CY158" i="2"/>
  <c r="CY63" i="2"/>
  <c r="CY107" i="2"/>
  <c r="CY140" i="2"/>
  <c r="CY3" i="2"/>
  <c r="C10" i="4" s="1"/>
  <c r="E10" i="4" s="1"/>
  <c r="F10" i="4" s="1"/>
  <c r="G10" i="4" s="1"/>
  <c r="L10" i="4" s="1"/>
  <c r="CY51" i="2"/>
  <c r="CY199" i="2"/>
  <c r="CY27" i="2"/>
  <c r="CY88" i="2"/>
  <c r="CY31" i="2"/>
  <c r="CY81" i="2"/>
  <c r="CY55" i="2"/>
  <c r="CY13" i="2"/>
  <c r="CY128" i="2"/>
  <c r="CY11" i="2"/>
  <c r="CY15" i="2"/>
  <c r="CY171" i="2"/>
  <c r="CY177" i="2"/>
  <c r="CY157" i="2"/>
  <c r="CY175" i="2"/>
  <c r="CY62" i="2"/>
  <c r="CY168" i="2"/>
  <c r="CY21" i="2"/>
  <c r="CY100" i="2"/>
  <c r="CY70" i="2"/>
  <c r="CY40" i="2"/>
  <c r="CY191" i="2"/>
  <c r="CY33" i="2"/>
  <c r="CY135" i="2"/>
  <c r="CY173" i="2"/>
  <c r="CY145" i="2"/>
  <c r="CY50" i="2"/>
  <c r="CY118" i="2"/>
  <c r="CY35" i="2"/>
  <c r="CY78" i="2"/>
  <c r="CY34" i="2"/>
  <c r="CY188" i="2"/>
  <c r="CY165" i="2"/>
  <c r="CY201" i="2"/>
  <c r="CY65" i="2"/>
  <c r="CY166" i="2"/>
  <c r="CY5" i="2"/>
  <c r="CY87" i="2"/>
  <c r="CY186" i="2"/>
  <c r="CY144" i="2"/>
  <c r="CY198" i="2"/>
  <c r="CY148" i="2"/>
  <c r="CY64" i="2"/>
  <c r="CY187" i="2"/>
  <c r="CY85" i="2"/>
  <c r="CY95" i="2"/>
  <c r="CY127" i="2"/>
  <c r="CY183" i="2"/>
  <c r="CY139" i="2"/>
  <c r="CY162" i="2"/>
  <c r="CY84" i="2"/>
  <c r="CY114" i="2"/>
  <c r="CY41" i="2"/>
  <c r="CY75" i="2"/>
  <c r="CY80" i="2"/>
  <c r="CY113" i="2"/>
  <c r="CY77" i="2"/>
  <c r="CY134" i="2"/>
  <c r="CY120" i="2"/>
  <c r="CY12" i="2"/>
  <c r="CY37" i="2"/>
  <c r="CY190" i="2"/>
  <c r="CY184" i="2"/>
  <c r="CY112" i="2"/>
  <c r="CY137" i="2"/>
  <c r="CY38" i="2"/>
  <c r="CY104" i="2"/>
  <c r="CY159" i="2"/>
  <c r="CY47" i="2"/>
  <c r="CY43" i="2"/>
  <c r="CY30" i="2"/>
  <c r="CY161" i="2"/>
  <c r="CY133" i="2"/>
  <c r="CY99" i="2"/>
  <c r="CY66" i="2"/>
  <c r="CY7" i="2"/>
  <c r="CY108" i="2"/>
  <c r="CY102" i="2"/>
  <c r="CY54" i="2"/>
  <c r="CY14" i="2"/>
  <c r="CY32" i="2"/>
  <c r="CY181" i="2"/>
  <c r="CY74" i="2"/>
  <c r="CY180" i="2"/>
  <c r="CY69" i="2"/>
  <c r="CY57" i="2"/>
  <c r="CY71" i="2"/>
  <c r="CY6" i="2"/>
  <c r="CY89" i="2"/>
  <c r="CY136" i="2"/>
  <c r="CY86" i="2"/>
  <c r="CY115" i="2"/>
  <c r="CY125" i="2"/>
  <c r="CY39" i="2"/>
  <c r="CY24" i="2"/>
  <c r="CY15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<sst xmlns="http://schemas.openxmlformats.org/spreadsheetml/2006/main" count="1174" uniqueCount="324">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</sst>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525.04382649327385</c:v>
                </c:pt>
                <c:pt idx="122">
                  <c:v>525.04382649327385</c:v>
                </c:pt>
                <c:pt idx="123">
                  <c:v>525.04382649327385</c:v>
                </c:pt>
                <c:pt idx="124">
                  <c:v>525.04382649327385</c:v>
                </c:pt>
                <c:pt idx="125">
                  <c:v>525.04382649327385</c:v>
                </c:pt>
                <c:pt idx="126">
                  <c:v>525.04382649327385</c:v>
                </c:pt>
                <c:pt idx="127">
                  <c:v>525.04382649327385</c:v>
                </c:pt>
                <c:pt idx="128">
                  <c:v>525.04382649327385</c:v>
                </c:pt>
                <c:pt idx="129">
                  <c:v>525.04382649327385</c:v>
                </c:pt>
                <c:pt idx="130">
                  <c:v>525.04382649327385</c:v>
                </c:pt>
                <c:pt idx="131">
                  <c:v>525.04382649327385</c:v>
                </c:pt>
                <c:pt idx="132">
                  <c:v>525.04382649327385</c:v>
                </c:pt>
                <c:pt idx="133">
                  <c:v>525.04382649327385</c:v>
                </c:pt>
                <c:pt idx="134">
                  <c:v>525.04382649327385</c:v>
                </c:pt>
                <c:pt idx="135">
                  <c:v>525.04382649327385</c:v>
                </c:pt>
                <c:pt idx="136">
                  <c:v>525.04382649327385</c:v>
                </c:pt>
                <c:pt idx="137">
                  <c:v>525.04382649327385</c:v>
                </c:pt>
                <c:pt idx="138">
                  <c:v>525.04382649327385</c:v>
                </c:pt>
                <c:pt idx="139">
                  <c:v>525.04382649327385</c:v>
                </c:pt>
                <c:pt idx="140">
                  <c:v>525.04382649327385</c:v>
                </c:pt>
                <c:pt idx="141">
                  <c:v>525.04382649327385</c:v>
                </c:pt>
                <c:pt idx="142">
                  <c:v>525.04382649327385</c:v>
                </c:pt>
                <c:pt idx="143">
                  <c:v>525.04382649327385</c:v>
                </c:pt>
                <c:pt idx="144">
                  <c:v>525.04382649327385</c:v>
                </c:pt>
                <c:pt idx="145">
                  <c:v>525.04382649327385</c:v>
                </c:pt>
                <c:pt idx="146">
                  <c:v>525.04382649327385</c:v>
                </c:pt>
                <c:pt idx="147">
                  <c:v>525.04382649327385</c:v>
                </c:pt>
                <c:pt idx="148">
                  <c:v>525.04382649327385</c:v>
                </c:pt>
                <c:pt idx="149">
                  <c:v>525.04382649327385</c:v>
                </c:pt>
                <c:pt idx="150">
                  <c:v>525.04382649327385</c:v>
                </c:pt>
                <c:pt idx="151">
                  <c:v>525.04382649327385</c:v>
                </c:pt>
                <c:pt idx="152">
                  <c:v>525.04382649327385</c:v>
                </c:pt>
                <c:pt idx="153">
                  <c:v>525.04382649327385</c:v>
                </c:pt>
                <c:pt idx="154">
                  <c:v>525.04382649327385</c:v>
                </c:pt>
                <c:pt idx="155">
                  <c:v>525.04382649327385</c:v>
                </c:pt>
                <c:pt idx="156">
                  <c:v>525.04382649327385</c:v>
                </c:pt>
                <c:pt idx="157">
                  <c:v>525.04382649327385</c:v>
                </c:pt>
                <c:pt idx="158">
                  <c:v>525.04382649327385</c:v>
                </c:pt>
                <c:pt idx="159">
                  <c:v>525.04382649327385</c:v>
                </c:pt>
                <c:pt idx="160">
                  <c:v>525.04382649327385</c:v>
                </c:pt>
                <c:pt idx="161">
                  <c:v>525.04382649327385</c:v>
                </c:pt>
                <c:pt idx="162">
                  <c:v>525.04382649327385</c:v>
                </c:pt>
                <c:pt idx="163">
                  <c:v>525.04382649327385</c:v>
                </c:pt>
                <c:pt idx="164">
                  <c:v>525.04382649327385</c:v>
                </c:pt>
                <c:pt idx="165">
                  <c:v>525.04382649327385</c:v>
                </c:pt>
                <c:pt idx="166">
                  <c:v>525.04382649327385</c:v>
                </c:pt>
                <c:pt idx="167">
                  <c:v>525.04382649327385</c:v>
                </c:pt>
                <c:pt idx="168">
                  <c:v>525.04382649327385</c:v>
                </c:pt>
                <c:pt idx="169">
                  <c:v>525.04382649327385</c:v>
                </c:pt>
                <c:pt idx="170">
                  <c:v>525.04382649327385</c:v>
                </c:pt>
                <c:pt idx="171">
                  <c:v>525.04382649327385</c:v>
                </c:pt>
                <c:pt idx="172">
                  <c:v>525.04382649327385</c:v>
                </c:pt>
                <c:pt idx="173">
                  <c:v>525.04382649327385</c:v>
                </c:pt>
                <c:pt idx="174">
                  <c:v>525.04382649327385</c:v>
                </c:pt>
                <c:pt idx="175">
                  <c:v>525.04382649327385</c:v>
                </c:pt>
                <c:pt idx="176">
                  <c:v>525.04382649327385</c:v>
                </c:pt>
                <c:pt idx="177">
                  <c:v>525.04382649327385</c:v>
                </c:pt>
                <c:pt idx="178">
                  <c:v>525.04382649327385</c:v>
                </c:pt>
                <c:pt idx="179">
                  <c:v>525.04382649327385</c:v>
                </c:pt>
                <c:pt idx="180">
                  <c:v>525.04382649327385</c:v>
                </c:pt>
                <c:pt idx="181">
                  <c:v>525.04382649327385</c:v>
                </c:pt>
                <c:pt idx="182">
                  <c:v>525.04382649327385</c:v>
                </c:pt>
                <c:pt idx="183">
                  <c:v>525.04382649327385</c:v>
                </c:pt>
                <c:pt idx="184">
                  <c:v>525.04382649327385</c:v>
                </c:pt>
                <c:pt idx="185">
                  <c:v>525.04382649327385</c:v>
                </c:pt>
                <c:pt idx="186">
                  <c:v>525.04382649327385</c:v>
                </c:pt>
                <c:pt idx="187">
                  <c:v>525.04382649327385</c:v>
                </c:pt>
                <c:pt idx="188">
                  <c:v>525.04382649327385</c:v>
                </c:pt>
                <c:pt idx="189">
                  <c:v>525.04382649327385</c:v>
                </c:pt>
                <c:pt idx="190">
                  <c:v>525.04382649327385</c:v>
                </c:pt>
                <c:pt idx="191">
                  <c:v>525.04382649327385</c:v>
                </c:pt>
                <c:pt idx="192">
                  <c:v>525.04382649327385</c:v>
                </c:pt>
                <c:pt idx="193">
                  <c:v>525.04382649327385</c:v>
                </c:pt>
                <c:pt idx="194">
                  <c:v>525.04382649327385</c:v>
                </c:pt>
                <c:pt idx="195">
                  <c:v>525.04382649327385</c:v>
                </c:pt>
                <c:pt idx="196">
                  <c:v>525.04382649327385</c:v>
                </c:pt>
                <c:pt idx="197">
                  <c:v>525.04382649327385</c:v>
                </c:pt>
                <c:pt idx="198">
                  <c:v>525.04382649327385</c:v>
                </c:pt>
                <c:pt idx="199">
                  <c:v>525.04382649327385</c:v>
                </c:pt>
                <c:pt idx="200">
                  <c:v>525.04382649327385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1.5035115935448389</c:v>
                </c:pt>
                <c:pt idx="2">
                  <c:v>1.8449282953754329</c:v>
                </c:pt>
                <c:pt idx="3">
                  <c:v>2.2641777228148707</c:v>
                </c:pt>
                <c:pt idx="4">
                  <c:v>2.7790690120471169</c:v>
                </c:pt>
                <c:pt idx="5">
                  <c:v>3.4115003698024009</c:v>
                </c:pt>
                <c:pt idx="6">
                  <c:v>4.188400967919911</c:v>
                </c:pt>
                <c:pt idx="7">
                  <c:v>5.1428904433639948</c:v>
                </c:pt>
                <c:pt idx="8">
                  <c:v>6.3157064143014097</c:v>
                </c:pt>
                <c:pt idx="9">
                  <c:v>7.7569621301343439</c:v>
                </c:pt>
                <c:pt idx="10">
                  <c:v>9.5283108057200092</c:v>
                </c:pt>
                <c:pt idx="11">
                  <c:v>11.705610982989903</c:v>
                </c:pt>
                <c:pt idx="12">
                  <c:v>14.382209200930864</c:v>
                </c:pt>
                <c:pt idx="13">
                  <c:v>17.672983304811915</c:v>
                </c:pt>
                <c:pt idx="14">
                  <c:v>21.719323081239882</c:v>
                </c:pt>
                <c:pt idx="15">
                  <c:v>26.695266039879836</c:v>
                </c:pt>
                <c:pt idx="16">
                  <c:v>32.815056892829233</c:v>
                </c:pt>
                <c:pt idx="17">
                  <c:v>40.342461851342399</c:v>
                </c:pt>
                <c:pt idx="18">
                  <c:v>49.602246034510351</c:v>
                </c:pt>
                <c:pt idx="19">
                  <c:v>60.994317481325233</c:v>
                </c:pt>
                <c:pt idx="20">
                  <c:v>75.011158692054224</c:v>
                </c:pt>
                <c:pt idx="21">
                  <c:v>92.259311500458224</c:v>
                </c:pt>
                <c:pt idx="22">
                  <c:v>113.48585981797801</c:v>
                </c:pt>
                <c:pt idx="23">
                  <c:v>139.61107532299317</c:v>
                </c:pt>
                <c:pt idx="24">
                  <c:v>171.76866328001665</c:v>
                </c:pt>
                <c:pt idx="25">
                  <c:v>211.35538144796092</c:v>
                </c:pt>
                <c:pt idx="26">
                  <c:v>200.33596006184897</c:v>
                </c:pt>
                <c:pt idx="27">
                  <c:v>209.94080084424982</c:v>
                </c:pt>
                <c:pt idx="28">
                  <c:v>219.53550582468799</c:v>
                </c:pt>
                <c:pt idx="29">
                  <c:v>229.12058085809755</c:v>
                </c:pt>
                <c:pt idx="30">
                  <c:v>238.69648597432544</c:v>
                </c:pt>
                <c:pt idx="31">
                  <c:v>248.2636412415155</c:v>
                </c:pt>
                <c:pt idx="32">
                  <c:v>257.82243167737909</c:v>
                </c:pt>
                <c:pt idx="33">
                  <c:v>267.37321139326599</c:v>
                </c:pt>
                <c:pt idx="34">
                  <c:v>238.44208346548677</c:v>
                </c:pt>
                <c:pt idx="35">
                  <c:v>248.70151316010561</c:v>
                </c:pt>
                <c:pt idx="36">
                  <c:v>258.9513424645869</c:v>
                </c:pt>
                <c:pt idx="37">
                  <c:v>269.19200522524892</c:v>
                </c:pt>
                <c:pt idx="38">
                  <c:v>279.42389955858874</c:v>
                </c:pt>
                <c:pt idx="39">
                  <c:v>289.64739202283312</c:v>
                </c:pt>
                <c:pt idx="40">
                  <c:v>299.86282116927129</c:v>
                </c:pt>
                <c:pt idx="41">
                  <c:v>310.07050058400927</c:v>
                </c:pt>
                <c:pt idx="42">
                  <c:v>261.36307717315623</c:v>
                </c:pt>
                <c:pt idx="43">
                  <c:v>273.28259802864915</c:v>
                </c:pt>
                <c:pt idx="44">
                  <c:v>285.19043548148227</c:v>
                </c:pt>
                <c:pt idx="45">
                  <c:v>297.08714630712819</c:v>
                </c:pt>
                <c:pt idx="46">
                  <c:v>308.97323902751009</c:v>
                </c:pt>
                <c:pt idx="47">
                  <c:v>320.84917982810907</c:v>
                </c:pt>
                <c:pt idx="48">
                  <c:v>332.71539755273574</c:v>
                </c:pt>
                <c:pt idx="49">
                  <c:v>344.5722879481736</c:v>
                </c:pt>
                <c:pt idx="50">
                  <c:v>356.42021729381742</c:v>
                </c:pt>
                <c:pt idx="51">
                  <c:v>368.25952552331665</c:v>
                </c:pt>
                <c:pt idx="52">
                  <c:v>380.09052892369937</c:v>
                </c:pt>
                <c:pt idx="53">
                  <c:v>319.20223017635703</c:v>
                </c:pt>
                <c:pt idx="54">
                  <c:v>332.70903360300042</c:v>
                </c:pt>
                <c:pt idx="55">
                  <c:v>346.20375243398416</c:v>
                </c:pt>
                <c:pt idx="56">
                  <c:v>359.68692411681815</c:v>
                </c:pt>
                <c:pt idx="57">
                  <c:v>373.15904251243165</c:v>
                </c:pt>
                <c:pt idx="58">
                  <c:v>386.620562909201</c:v>
                </c:pt>
                <c:pt idx="59">
                  <c:v>400.07190630207856</c:v>
                </c:pt>
                <c:pt idx="60">
                  <c:v>413.51346306611873</c:v>
                </c:pt>
                <c:pt idx="61">
                  <c:v>2.282709528541206E-12</c:v>
                </c:pt>
                <c:pt idx="62">
                  <c:v>2.282709528541206E-12</c:v>
                </c:pt>
                <c:pt idx="63">
                  <c:v>2.282709528541206E-12</c:v>
                </c:pt>
                <c:pt idx="64">
                  <c:v>2.282709528541206E-12</c:v>
                </c:pt>
                <c:pt idx="65">
                  <c:v>2.282709528541206E-12</c:v>
                </c:pt>
                <c:pt idx="66">
                  <c:v>2.282709528541206E-12</c:v>
                </c:pt>
                <c:pt idx="67">
                  <c:v>2.282709528541206E-12</c:v>
                </c:pt>
                <c:pt idx="68">
                  <c:v>2.282709528541206E-12</c:v>
                </c:pt>
                <c:pt idx="69">
                  <c:v>2.282709528541206E-12</c:v>
                </c:pt>
                <c:pt idx="70">
                  <c:v>2.282709528541206E-12</c:v>
                </c:pt>
                <c:pt idx="71">
                  <c:v>2.282709528541206E-12</c:v>
                </c:pt>
                <c:pt idx="72">
                  <c:v>2.282709528541206E-12</c:v>
                </c:pt>
                <c:pt idx="73">
                  <c:v>2.282709528541206E-12</c:v>
                </c:pt>
                <c:pt idx="74">
                  <c:v>2.282709528541206E-12</c:v>
                </c:pt>
                <c:pt idx="75">
                  <c:v>2.282709528541206E-12</c:v>
                </c:pt>
                <c:pt idx="76">
                  <c:v>2.282709528541206E-12</c:v>
                </c:pt>
                <c:pt idx="77">
                  <c:v>2.282709528541206E-12</c:v>
                </c:pt>
                <c:pt idx="78">
                  <c:v>2.282709528541206E-12</c:v>
                </c:pt>
                <c:pt idx="79">
                  <c:v>2.282709528541206E-12</c:v>
                </c:pt>
                <c:pt idx="80">
                  <c:v>2.282709528541206E-12</c:v>
                </c:pt>
                <c:pt idx="81">
                  <c:v>2.282709528541206E-12</c:v>
                </c:pt>
                <c:pt idx="82">
                  <c:v>2.282709528541206E-12</c:v>
                </c:pt>
                <c:pt idx="83">
                  <c:v>2.282709528541206E-12</c:v>
                </c:pt>
                <c:pt idx="84">
                  <c:v>2.282709528541206E-12</c:v>
                </c:pt>
                <c:pt idx="85">
                  <c:v>2.282709528541206E-12</c:v>
                </c:pt>
                <c:pt idx="86">
                  <c:v>2.282709528541206E-12</c:v>
                </c:pt>
                <c:pt idx="87">
                  <c:v>2.282709528541206E-12</c:v>
                </c:pt>
                <c:pt idx="88">
                  <c:v>2.282709528541206E-12</c:v>
                </c:pt>
                <c:pt idx="89">
                  <c:v>2.282709528541206E-12</c:v>
                </c:pt>
                <c:pt idx="90">
                  <c:v>2.282709528541206E-12</c:v>
                </c:pt>
                <c:pt idx="91">
                  <c:v>2.282709528541206E-12</c:v>
                </c:pt>
                <c:pt idx="92">
                  <c:v>2.282709528541206E-12</c:v>
                </c:pt>
                <c:pt idx="93">
                  <c:v>2.282709528541206E-12</c:v>
                </c:pt>
                <c:pt idx="94">
                  <c:v>2.282709528541206E-12</c:v>
                </c:pt>
                <c:pt idx="95">
                  <c:v>2.282709528541206E-12</c:v>
                </c:pt>
                <c:pt idx="96">
                  <c:v>2.282709528541206E-12</c:v>
                </c:pt>
                <c:pt idx="97">
                  <c:v>2.282709528541206E-12</c:v>
                </c:pt>
                <c:pt idx="98">
                  <c:v>2.282709528541206E-12</c:v>
                </c:pt>
                <c:pt idx="99">
                  <c:v>2.282709528541206E-12</c:v>
                </c:pt>
                <c:pt idx="100">
                  <c:v>2.282709528541206E-12</c:v>
                </c:pt>
                <c:pt idx="101">
                  <c:v>2.282709528541206E-12</c:v>
                </c:pt>
                <c:pt idx="102">
                  <c:v>2.282709528541206E-12</c:v>
                </c:pt>
                <c:pt idx="103">
                  <c:v>2.282709528541206E-12</c:v>
                </c:pt>
                <c:pt idx="104">
                  <c:v>2.282709528541206E-12</c:v>
                </c:pt>
                <c:pt idx="105">
                  <c:v>2.282709528541206E-12</c:v>
                </c:pt>
                <c:pt idx="106">
                  <c:v>2.282709528541206E-12</c:v>
                </c:pt>
                <c:pt idx="107">
                  <c:v>2.282709528541206E-12</c:v>
                </c:pt>
                <c:pt idx="108">
                  <c:v>2.282709528541206E-12</c:v>
                </c:pt>
                <c:pt idx="109">
                  <c:v>2.282709528541206E-12</c:v>
                </c:pt>
                <c:pt idx="110">
                  <c:v>2.282709528541206E-12</c:v>
                </c:pt>
                <c:pt idx="111">
                  <c:v>2.282709528541206E-12</c:v>
                </c:pt>
                <c:pt idx="112">
                  <c:v>2.282709528541206E-12</c:v>
                </c:pt>
                <c:pt idx="113">
                  <c:v>2.282709528541206E-12</c:v>
                </c:pt>
                <c:pt idx="114">
                  <c:v>2.282709528541206E-12</c:v>
                </c:pt>
                <c:pt idx="115">
                  <c:v>2.282709528541206E-12</c:v>
                </c:pt>
                <c:pt idx="116">
                  <c:v>2.282709528541206E-12</c:v>
                </c:pt>
                <c:pt idx="117">
                  <c:v>2.282709528541206E-12</c:v>
                </c:pt>
                <c:pt idx="118">
                  <c:v>2.282709528541206E-12</c:v>
                </c:pt>
                <c:pt idx="119">
                  <c:v>2.282709528541206E-12</c:v>
                </c:pt>
                <c:pt idx="120">
                  <c:v>2.282709528541206E-12</c:v>
                </c:pt>
                <c:pt idx="121">
                  <c:v>2.282709528541206E-12</c:v>
                </c:pt>
                <c:pt idx="122">
                  <c:v>2.282709528541206E-12</c:v>
                </c:pt>
                <c:pt idx="123">
                  <c:v>2.282709528541206E-12</c:v>
                </c:pt>
                <c:pt idx="124">
                  <c:v>2.282709528541206E-12</c:v>
                </c:pt>
                <c:pt idx="125">
                  <c:v>2.282709528541206E-12</c:v>
                </c:pt>
                <c:pt idx="126">
                  <c:v>2.282709528541206E-12</c:v>
                </c:pt>
                <c:pt idx="127">
                  <c:v>2.282709528541206E-12</c:v>
                </c:pt>
                <c:pt idx="128">
                  <c:v>2.282709528541206E-12</c:v>
                </c:pt>
                <c:pt idx="129">
                  <c:v>2.282709528541206E-12</c:v>
                </c:pt>
                <c:pt idx="130">
                  <c:v>2.282709528541206E-12</c:v>
                </c:pt>
                <c:pt idx="131">
                  <c:v>2.282709528541206E-12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3.4439251058214864</c:v>
                </c:pt>
                <c:pt idx="2">
                  <c:v>4.8916771364701708</c:v>
                </c:pt>
                <c:pt idx="3">
                  <c:v>6.9506426062201117</c:v>
                </c:pt>
                <c:pt idx="4">
                  <c:v>9.8798966708857439</c:v>
                </c:pt>
                <c:pt idx="5">
                  <c:v>14.048735437571841</c:v>
                </c:pt>
                <c:pt idx="6">
                  <c:v>19.983727955603786</c:v>
                </c:pt>
                <c:pt idx="7">
                  <c:v>28.435916517083694</c:v>
                </c:pt>
                <c:pt idx="8">
                  <c:v>40.476817354704274</c:v>
                </c:pt>
                <c:pt idx="9">
                  <c:v>57.635598643650034</c:v>
                </c:pt>
                <c:pt idx="10">
                  <c:v>82.095144765267349</c:v>
                </c:pt>
                <c:pt idx="11">
                  <c:v>87.975117439185894</c:v>
                </c:pt>
                <c:pt idx="12">
                  <c:v>110.56850332284465</c:v>
                </c:pt>
                <c:pt idx="13">
                  <c:v>133.048038749558</c:v>
                </c:pt>
                <c:pt idx="14">
                  <c:v>155.43574541156448</c:v>
                </c:pt>
                <c:pt idx="15">
                  <c:v>177.74673882318044</c:v>
                </c:pt>
                <c:pt idx="16">
                  <c:v>170.73045229573881</c:v>
                </c:pt>
                <c:pt idx="17">
                  <c:v>196.70021560689815</c:v>
                </c:pt>
                <c:pt idx="18">
                  <c:v>222.59029958650152</c:v>
                </c:pt>
                <c:pt idx="19">
                  <c:v>248.41127817531091</c:v>
                </c:pt>
                <c:pt idx="20">
                  <c:v>274.17134356368149</c:v>
                </c:pt>
                <c:pt idx="21">
                  <c:v>257.00438343523615</c:v>
                </c:pt>
                <c:pt idx="22">
                  <c:v>282.74566191220845</c:v>
                </c:pt>
                <c:pt idx="23">
                  <c:v>308.4344413124802</c:v>
                </c:pt>
                <c:pt idx="24">
                  <c:v>334.07570605191569</c:v>
                </c:pt>
                <c:pt idx="25">
                  <c:v>359.67361293503603</c:v>
                </c:pt>
                <c:pt idx="26">
                  <c:v>334.07570605191569</c:v>
                </c:pt>
                <c:pt idx="27">
                  <c:v>359.26761671038645</c:v>
                </c:pt>
                <c:pt idx="28">
                  <c:v>384.42089256182908</c:v>
                </c:pt>
                <c:pt idx="29">
                  <c:v>409.5384147115638</c:v>
                </c:pt>
                <c:pt idx="30">
                  <c:v>434.62268223024995</c:v>
                </c:pt>
                <c:pt idx="31">
                  <c:v>401.84475247496647</c:v>
                </c:pt>
                <c:pt idx="32">
                  <c:v>425.72547631490744</c:v>
                </c:pt>
                <c:pt idx="33">
                  <c:v>449.57739467471305</c:v>
                </c:pt>
                <c:pt idx="34">
                  <c:v>473.40224929775803</c:v>
                </c:pt>
                <c:pt idx="35">
                  <c:v>497.20159245584978</c:v>
                </c:pt>
                <c:pt idx="36">
                  <c:v>461.29119792122498</c:v>
                </c:pt>
                <c:pt idx="37">
                  <c:v>483.89315369645129</c:v>
                </c:pt>
                <c:pt idx="38">
                  <c:v>506.47269652918203</c:v>
                </c:pt>
                <c:pt idx="39">
                  <c:v>529.03096526266245</c:v>
                </c:pt>
                <c:pt idx="40">
                  <c:v>551.56899378437436</c:v>
                </c:pt>
                <c:pt idx="41">
                  <c:v>514.12872559596781</c:v>
                </c:pt>
                <c:pt idx="42">
                  <c:v>535.06988124028692</c:v>
                </c:pt>
                <c:pt idx="43">
                  <c:v>555.99381071316304</c:v>
                </c:pt>
                <c:pt idx="44">
                  <c:v>576.90125294323013</c:v>
                </c:pt>
                <c:pt idx="45">
                  <c:v>597.79288898117682</c:v>
                </c:pt>
                <c:pt idx="46">
                  <c:v>559.21139573734911</c:v>
                </c:pt>
                <c:pt idx="47">
                  <c:v>578.91074057866115</c:v>
                </c:pt>
                <c:pt idx="48">
                  <c:v>598.59610648788055</c:v>
                </c:pt>
                <c:pt idx="49">
                  <c:v>618.26801748386913</c:v>
                </c:pt>
                <c:pt idx="50">
                  <c:v>637.9269615503232</c:v>
                </c:pt>
                <c:pt idx="51">
                  <c:v>598.19450053799244</c:v>
                </c:pt>
                <c:pt idx="52">
                  <c:v>616.66263963123959</c:v>
                </c:pt>
                <c:pt idx="53">
                  <c:v>635.11931726791101</c:v>
                </c:pt>
                <c:pt idx="54">
                  <c:v>653.56491313459242</c:v>
                </c:pt>
                <c:pt idx="55">
                  <c:v>671.99978375748287</c:v>
                </c:pt>
                <c:pt idx="56">
                  <c:v>633.11370005459253</c:v>
                </c:pt>
                <c:pt idx="57">
                  <c:v>650.35776359167301</c:v>
                </c:pt>
                <c:pt idx="58">
                  <c:v>667.59240260217632</c:v>
                </c:pt>
                <c:pt idx="59">
                  <c:v>684.81789445759648</c:v>
                </c:pt>
                <c:pt idx="60">
                  <c:v>702.03450144994804</c:v>
                </c:pt>
                <c:pt idx="61">
                  <c:v>664.38665881749807</c:v>
                </c:pt>
                <c:pt idx="62">
                  <c:v>680.81276836464485</c:v>
                </c:pt>
                <c:pt idx="63">
                  <c:v>697.2307461335555</c:v>
                </c:pt>
                <c:pt idx="64">
                  <c:v>713.64081042286841</c:v>
                </c:pt>
                <c:pt idx="65">
                  <c:v>730.04316868165199</c:v>
                </c:pt>
                <c:pt idx="66">
                  <c:v>691.62550786083875</c:v>
                </c:pt>
                <c:pt idx="67">
                  <c:v>707.2378109406053</c:v>
                </c:pt>
                <c:pt idx="68">
                  <c:v>722.84306940666465</c:v>
                </c:pt>
                <c:pt idx="69">
                  <c:v>738.44145664682435</c:v>
                </c:pt>
                <c:pt idx="70">
                  <c:v>754.03313813265288</c:v>
                </c:pt>
                <c:pt idx="71">
                  <c:v>702.03450144994804</c:v>
                </c:pt>
                <c:pt idx="72">
                  <c:v>702.03450144994804</c:v>
                </c:pt>
                <c:pt idx="73">
                  <c:v>702.03450144994804</c:v>
                </c:pt>
                <c:pt idx="74">
                  <c:v>702.03450144994804</c:v>
                </c:pt>
                <c:pt idx="75">
                  <c:v>702.03450144994804</c:v>
                </c:pt>
                <c:pt idx="76">
                  <c:v>702.03450144994804</c:v>
                </c:pt>
                <c:pt idx="77">
                  <c:v>702.03450144994804</c:v>
                </c:pt>
                <c:pt idx="78">
                  <c:v>702.03450144994804</c:v>
                </c:pt>
                <c:pt idx="79">
                  <c:v>702.03450144994804</c:v>
                </c:pt>
                <c:pt idx="80">
                  <c:v>702.03450144994804</c:v>
                </c:pt>
                <c:pt idx="81">
                  <c:v>702.03450144994804</c:v>
                </c:pt>
                <c:pt idx="82">
                  <c:v>702.03450144994804</c:v>
                </c:pt>
                <c:pt idx="83">
                  <c:v>702.03450144994804</c:v>
                </c:pt>
                <c:pt idx="84">
                  <c:v>702.03450144994804</c:v>
                </c:pt>
                <c:pt idx="85">
                  <c:v>702.03450144994804</c:v>
                </c:pt>
                <c:pt idx="86">
                  <c:v>702.03450144994804</c:v>
                </c:pt>
                <c:pt idx="87">
                  <c:v>702.03450144994804</c:v>
                </c:pt>
                <c:pt idx="88">
                  <c:v>702.03450144994804</c:v>
                </c:pt>
                <c:pt idx="89">
                  <c:v>702.03450144994804</c:v>
                </c:pt>
                <c:pt idx="90">
                  <c:v>702.03450144994804</c:v>
                </c:pt>
                <c:pt idx="91">
                  <c:v>702.03450144994804</c:v>
                </c:pt>
                <c:pt idx="92">
                  <c:v>702.03450144994804</c:v>
                </c:pt>
                <c:pt idx="93">
                  <c:v>702.03450144994804</c:v>
                </c:pt>
                <c:pt idx="94">
                  <c:v>702.03450144994804</c:v>
                </c:pt>
                <c:pt idx="95">
                  <c:v>702.03450144994804</c:v>
                </c:pt>
                <c:pt idx="96">
                  <c:v>702.03450144994804</c:v>
                </c:pt>
                <c:pt idx="97">
                  <c:v>702.03450144994804</c:v>
                </c:pt>
                <c:pt idx="98">
                  <c:v>702.03450144994804</c:v>
                </c:pt>
                <c:pt idx="99">
                  <c:v>702.03450144994804</c:v>
                </c:pt>
                <c:pt idx="100">
                  <c:v>702.03450144994804</c:v>
                </c:pt>
                <c:pt idx="101">
                  <c:v>702.03450144994804</c:v>
                </c:pt>
                <c:pt idx="102">
                  <c:v>702.03450144994804</c:v>
                </c:pt>
                <c:pt idx="103">
                  <c:v>702.03450144994804</c:v>
                </c:pt>
                <c:pt idx="104">
                  <c:v>702.03450144994804</c:v>
                </c:pt>
                <c:pt idx="105">
                  <c:v>702.03450144994804</c:v>
                </c:pt>
                <c:pt idx="106">
                  <c:v>702.03450144994804</c:v>
                </c:pt>
                <c:pt idx="107">
                  <c:v>702.03450144994804</c:v>
                </c:pt>
                <c:pt idx="108">
                  <c:v>702.03450144994804</c:v>
                </c:pt>
                <c:pt idx="109">
                  <c:v>702.03450144994804</c:v>
                </c:pt>
                <c:pt idx="110">
                  <c:v>702.03450144994804</c:v>
                </c:pt>
                <c:pt idx="111">
                  <c:v>702.03450144994804</c:v>
                </c:pt>
                <c:pt idx="112">
                  <c:v>702.03450144994804</c:v>
                </c:pt>
                <c:pt idx="113">
                  <c:v>702.03450144994804</c:v>
                </c:pt>
                <c:pt idx="114">
                  <c:v>702.03450144994804</c:v>
                </c:pt>
                <c:pt idx="115">
                  <c:v>702.03450144994804</c:v>
                </c:pt>
                <c:pt idx="116">
                  <c:v>702.03450144994804</c:v>
                </c:pt>
                <c:pt idx="117">
                  <c:v>702.03450144994804</c:v>
                </c:pt>
                <c:pt idx="118">
                  <c:v>702.03450144994804</c:v>
                </c:pt>
                <c:pt idx="119">
                  <c:v>702.03450144994804</c:v>
                </c:pt>
                <c:pt idx="120">
                  <c:v>702.03450144994804</c:v>
                </c:pt>
                <c:pt idx="121">
                  <c:v>702.03450144994804</c:v>
                </c:pt>
                <c:pt idx="122">
                  <c:v>702.03450144994804</c:v>
                </c:pt>
                <c:pt idx="123">
                  <c:v>702.03450144994804</c:v>
                </c:pt>
                <c:pt idx="124">
                  <c:v>702.03450144994804</c:v>
                </c:pt>
                <c:pt idx="125">
                  <c:v>702.03450144994804</c:v>
                </c:pt>
                <c:pt idx="126">
                  <c:v>702.03450144994804</c:v>
                </c:pt>
                <c:pt idx="127">
                  <c:v>702.03450144994804</c:v>
                </c:pt>
                <c:pt idx="128">
                  <c:v>702.03450144994804</c:v>
                </c:pt>
                <c:pt idx="129">
                  <c:v>702.03450144994804</c:v>
                </c:pt>
                <c:pt idx="130">
                  <c:v>702.03450144994804</c:v>
                </c:pt>
                <c:pt idx="131">
                  <c:v>702.03450144994804</c:v>
                </c:pt>
                <c:pt idx="132">
                  <c:v>702.03450144994804</c:v>
                </c:pt>
                <c:pt idx="133">
                  <c:v>702.03450144994804</c:v>
                </c:pt>
                <c:pt idx="134">
                  <c:v>702.03450144994804</c:v>
                </c:pt>
                <c:pt idx="135">
                  <c:v>702.03450144994804</c:v>
                </c:pt>
                <c:pt idx="136">
                  <c:v>702.03450144994804</c:v>
                </c:pt>
                <c:pt idx="137">
                  <c:v>702.03450144994804</c:v>
                </c:pt>
                <c:pt idx="138">
                  <c:v>702.03450144994804</c:v>
                </c:pt>
                <c:pt idx="139">
                  <c:v>702.03450144994804</c:v>
                </c:pt>
                <c:pt idx="140">
                  <c:v>702.03450144994804</c:v>
                </c:pt>
                <c:pt idx="141">
                  <c:v>702.03450144994804</c:v>
                </c:pt>
                <c:pt idx="142">
                  <c:v>702.03450144994804</c:v>
                </c:pt>
                <c:pt idx="143">
                  <c:v>702.03450144994804</c:v>
                </c:pt>
                <c:pt idx="144">
                  <c:v>702.03450144994804</c:v>
                </c:pt>
                <c:pt idx="145">
                  <c:v>702.03450144994804</c:v>
                </c:pt>
                <c:pt idx="146">
                  <c:v>702.03450144994804</c:v>
                </c:pt>
                <c:pt idx="147">
                  <c:v>702.03450144994804</c:v>
                </c:pt>
                <c:pt idx="148">
                  <c:v>702.03450144994804</c:v>
                </c:pt>
                <c:pt idx="149">
                  <c:v>702.03450144994804</c:v>
                </c:pt>
                <c:pt idx="150">
                  <c:v>702.03450144994804</c:v>
                </c:pt>
                <c:pt idx="151">
                  <c:v>702.03450144994804</c:v>
                </c:pt>
                <c:pt idx="152">
                  <c:v>702.03450144994804</c:v>
                </c:pt>
                <c:pt idx="153">
                  <c:v>702.03450144994804</c:v>
                </c:pt>
                <c:pt idx="154">
                  <c:v>702.03450144994804</c:v>
                </c:pt>
                <c:pt idx="155">
                  <c:v>702.03450144994804</c:v>
                </c:pt>
                <c:pt idx="156">
                  <c:v>702.03450144994804</c:v>
                </c:pt>
                <c:pt idx="157">
                  <c:v>702.03450144994804</c:v>
                </c:pt>
                <c:pt idx="158">
                  <c:v>702.03450144994804</c:v>
                </c:pt>
                <c:pt idx="159">
                  <c:v>702.03450144994804</c:v>
                </c:pt>
                <c:pt idx="160">
                  <c:v>702.03450144994804</c:v>
                </c:pt>
                <c:pt idx="161">
                  <c:v>702.03450144994804</c:v>
                </c:pt>
                <c:pt idx="162">
                  <c:v>702.03450144994804</c:v>
                </c:pt>
                <c:pt idx="163">
                  <c:v>702.03450144994804</c:v>
                </c:pt>
                <c:pt idx="164">
                  <c:v>702.03450144994804</c:v>
                </c:pt>
                <c:pt idx="165">
                  <c:v>702.03450144994804</c:v>
                </c:pt>
                <c:pt idx="166">
                  <c:v>702.03450144994804</c:v>
                </c:pt>
                <c:pt idx="167">
                  <c:v>702.03450144994804</c:v>
                </c:pt>
                <c:pt idx="168">
                  <c:v>702.03450144994804</c:v>
                </c:pt>
                <c:pt idx="169">
                  <c:v>702.03450144994804</c:v>
                </c:pt>
                <c:pt idx="170">
                  <c:v>702.03450144994804</c:v>
                </c:pt>
                <c:pt idx="171">
                  <c:v>702.03450144994804</c:v>
                </c:pt>
                <c:pt idx="172">
                  <c:v>702.03450144994804</c:v>
                </c:pt>
                <c:pt idx="173">
                  <c:v>702.03450144994804</c:v>
                </c:pt>
                <c:pt idx="174">
                  <c:v>702.03450144994804</c:v>
                </c:pt>
                <c:pt idx="175">
                  <c:v>702.03450144994804</c:v>
                </c:pt>
                <c:pt idx="176">
                  <c:v>702.03450144994804</c:v>
                </c:pt>
                <c:pt idx="177">
                  <c:v>702.03450144994804</c:v>
                </c:pt>
                <c:pt idx="178">
                  <c:v>702.03450144994804</c:v>
                </c:pt>
                <c:pt idx="179">
                  <c:v>702.03450144994804</c:v>
                </c:pt>
                <c:pt idx="180">
                  <c:v>702.03450144994804</c:v>
                </c:pt>
                <c:pt idx="181">
                  <c:v>702.03450144994804</c:v>
                </c:pt>
                <c:pt idx="182">
                  <c:v>702.03450144994804</c:v>
                </c:pt>
                <c:pt idx="183">
                  <c:v>702.03450144994804</c:v>
                </c:pt>
                <c:pt idx="184">
                  <c:v>702.03450144994804</c:v>
                </c:pt>
                <c:pt idx="185">
                  <c:v>702.03450144994804</c:v>
                </c:pt>
                <c:pt idx="186">
                  <c:v>702.03450144994804</c:v>
                </c:pt>
                <c:pt idx="187">
                  <c:v>702.03450144994804</c:v>
                </c:pt>
                <c:pt idx="188">
                  <c:v>702.03450144994804</c:v>
                </c:pt>
                <c:pt idx="189">
                  <c:v>702.03450144994804</c:v>
                </c:pt>
                <c:pt idx="190">
                  <c:v>702.03450144994804</c:v>
                </c:pt>
                <c:pt idx="191">
                  <c:v>702.03450144994804</c:v>
                </c:pt>
                <c:pt idx="192">
                  <c:v>702.03450144994804</c:v>
                </c:pt>
                <c:pt idx="193">
                  <c:v>702.03450144994804</c:v>
                </c:pt>
                <c:pt idx="194">
                  <c:v>702.03450144994804</c:v>
                </c:pt>
                <c:pt idx="195">
                  <c:v>702.03450144994804</c:v>
                </c:pt>
                <c:pt idx="196">
                  <c:v>702.03450144994804</c:v>
                </c:pt>
                <c:pt idx="197">
                  <c:v>702.03450144994804</c:v>
                </c:pt>
                <c:pt idx="198">
                  <c:v>702.03450144994804</c:v>
                </c:pt>
                <c:pt idx="199">
                  <c:v>702.03450144994804</c:v>
                </c:pt>
                <c:pt idx="200">
                  <c:v>702.03450144994804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1.5028905370361036</c:v>
                </c:pt>
                <c:pt idx="2">
                  <c:v>1.947646243828455</c:v>
                </c:pt>
                <c:pt idx="3">
                  <c:v>2.524562613356057</c:v>
                </c:pt>
                <c:pt idx="4">
                  <c:v>3.2730640413546737</c:v>
                </c:pt>
                <c:pt idx="5">
                  <c:v>4.2443781186450353</c:v>
                </c:pt>
                <c:pt idx="6">
                  <c:v>5.5050812499023287</c:v>
                </c:pt>
                <c:pt idx="7">
                  <c:v>7.1417126574798084</c:v>
                </c:pt>
                <c:pt idx="8">
                  <c:v>9.2667796149840509</c:v>
                </c:pt>
                <c:pt idx="9">
                  <c:v>12.026574564464042</c:v>
                </c:pt>
                <c:pt idx="10">
                  <c:v>15.611352281853206</c:v>
                </c:pt>
                <c:pt idx="11">
                  <c:v>20.268581506169991</c:v>
                </c:pt>
                <c:pt idx="12">
                  <c:v>26.320202233114756</c:v>
                </c:pt>
                <c:pt idx="13">
                  <c:v>34.185102584568476</c:v>
                </c:pt>
                <c:pt idx="14">
                  <c:v>44.408397889872894</c:v>
                </c:pt>
                <c:pt idx="15">
                  <c:v>57.699575571979153</c:v>
                </c:pt>
                <c:pt idx="16">
                  <c:v>74.982196846997709</c:v>
                </c:pt>
                <c:pt idx="17">
                  <c:v>97.458664799238818</c:v>
                </c:pt>
                <c:pt idx="18">
                  <c:v>126.69463641800894</c:v>
                </c:pt>
                <c:pt idx="19">
                  <c:v>164.72904984018763</c:v>
                </c:pt>
                <c:pt idx="20">
                  <c:v>214.21755678529439</c:v>
                </c:pt>
                <c:pt idx="21">
                  <c:v>165.62016104222866</c:v>
                </c:pt>
                <c:pt idx="22">
                  <c:v>201.23510306875903</c:v>
                </c:pt>
                <c:pt idx="23">
                  <c:v>236.70364030631765</c:v>
                </c:pt>
                <c:pt idx="24">
                  <c:v>272.05082718892953</c:v>
                </c:pt>
                <c:pt idx="25">
                  <c:v>307.29465076572779</c:v>
                </c:pt>
                <c:pt idx="26">
                  <c:v>259.52092383177455</c:v>
                </c:pt>
                <c:pt idx="27">
                  <c:v>298.01919447196491</c:v>
                </c:pt>
                <c:pt idx="28">
                  <c:v>336.40654298560833</c:v>
                </c:pt>
                <c:pt idx="29">
                  <c:v>374.69739687161314</c:v>
                </c:pt>
                <c:pt idx="30">
                  <c:v>412.90299192267599</c:v>
                </c:pt>
                <c:pt idx="31">
                  <c:v>364.52039247516888</c:v>
                </c:pt>
                <c:pt idx="32">
                  <c:v>401.80712828709278</c:v>
                </c:pt>
                <c:pt idx="33">
                  <c:v>439.01900723806875</c:v>
                </c:pt>
                <c:pt idx="34">
                  <c:v>476.1632565154523</c:v>
                </c:pt>
                <c:pt idx="35">
                  <c:v>513.24588461146982</c:v>
                </c:pt>
                <c:pt idx="36">
                  <c:v>462.10101693711135</c:v>
                </c:pt>
                <c:pt idx="37">
                  <c:v>496.21016846717066</c:v>
                </c:pt>
                <c:pt idx="38">
                  <c:v>530.26966574700998</c:v>
                </c:pt>
                <c:pt idx="39">
                  <c:v>564.28314120766004</c:v>
                </c:pt>
                <c:pt idx="40">
                  <c:v>598.25375422735692</c:v>
                </c:pt>
                <c:pt idx="41">
                  <c:v>544.10468423782356</c:v>
                </c:pt>
                <c:pt idx="42">
                  <c:v>574.92676160449162</c:v>
                </c:pt>
                <c:pt idx="43">
                  <c:v>605.71435919202713</c:v>
                </c:pt>
                <c:pt idx="44">
                  <c:v>636.46947323976644</c:v>
                </c:pt>
                <c:pt idx="45">
                  <c:v>667.19389161154038</c:v>
                </c:pt>
                <c:pt idx="46">
                  <c:v>625.47580451996942</c:v>
                </c:pt>
                <c:pt idx="47">
                  <c:v>652.67334066465548</c:v>
                </c:pt>
                <c:pt idx="48">
                  <c:v>679.84752643139973</c:v>
                </c:pt>
                <c:pt idx="49">
                  <c:v>706.99942510016615</c:v>
                </c:pt>
                <c:pt idx="50">
                  <c:v>734.13001174014119</c:v>
                </c:pt>
                <c:pt idx="51">
                  <c:v>699.56270804116718</c:v>
                </c:pt>
                <c:pt idx="52">
                  <c:v>723.54041051985348</c:v>
                </c:pt>
                <c:pt idx="53">
                  <c:v>747.50190988262136</c:v>
                </c:pt>
                <c:pt idx="54">
                  <c:v>771.44779792619954</c:v>
                </c:pt>
                <c:pt idx="55">
                  <c:v>795.37862676361283</c:v>
                </c:pt>
                <c:pt idx="56">
                  <c:v>764.9523626434019</c:v>
                </c:pt>
                <c:pt idx="57">
                  <c:v>785.54836950280742</c:v>
                </c:pt>
                <c:pt idx="58">
                  <c:v>806.13345529581909</c:v>
                </c:pt>
                <c:pt idx="59">
                  <c:v>826.7079378216107</c:v>
                </c:pt>
                <c:pt idx="60">
                  <c:v>847.27211779151219</c:v>
                </c:pt>
                <c:pt idx="61">
                  <c:v>820.40695222374859</c:v>
                </c:pt>
                <c:pt idx="62">
                  <c:v>838.01023026575831</c:v>
                </c:pt>
                <c:pt idx="63">
                  <c:v>855.60607811530679</c:v>
                </c:pt>
                <c:pt idx="64">
                  <c:v>873.19466992841524</c:v>
                </c:pt>
                <c:pt idx="65">
                  <c:v>890.77617228126599</c:v>
                </c:pt>
                <c:pt idx="66">
                  <c:v>865.60468315801518</c:v>
                </c:pt>
                <c:pt idx="67">
                  <c:v>880.22811252008159</c:v>
                </c:pt>
                <c:pt idx="68">
                  <c:v>894.84668416002194</c:v>
                </c:pt>
                <c:pt idx="69">
                  <c:v>909.46048853721504</c:v>
                </c:pt>
                <c:pt idx="70">
                  <c:v>924.0696129699046</c:v>
                </c:pt>
                <c:pt idx="71">
                  <c:v>900.95175940591719</c:v>
                </c:pt>
                <c:pt idx="72">
                  <c:v>912.97449961911832</c:v>
                </c:pt>
                <c:pt idx="73">
                  <c:v>924.99408559302435</c:v>
                </c:pt>
                <c:pt idx="74">
                  <c:v>937.01056405434736</c:v>
                </c:pt>
                <c:pt idx="75">
                  <c:v>949.02398043470623</c:v>
                </c:pt>
                <c:pt idx="76">
                  <c:v>927.3976284141736</c:v>
                </c:pt>
                <c:pt idx="77">
                  <c:v>936.27117733452303</c:v>
                </c:pt>
                <c:pt idx="78">
                  <c:v>945.14305494518931</c:v>
                </c:pt>
                <c:pt idx="79">
                  <c:v>954.01327913457897</c:v>
                </c:pt>
                <c:pt idx="80">
                  <c:v>962.88186743157439</c:v>
                </c:pt>
                <c:pt idx="81">
                  <c:v>936.08632884152132</c:v>
                </c:pt>
                <c:pt idx="82">
                  <c:v>936.08632884152132</c:v>
                </c:pt>
                <c:pt idx="83">
                  <c:v>936.08632884152132</c:v>
                </c:pt>
                <c:pt idx="84">
                  <c:v>936.08632884152132</c:v>
                </c:pt>
                <c:pt idx="85">
                  <c:v>936.08632884152132</c:v>
                </c:pt>
                <c:pt idx="86">
                  <c:v>936.08632884152132</c:v>
                </c:pt>
                <c:pt idx="87">
                  <c:v>936.08632884152132</c:v>
                </c:pt>
                <c:pt idx="88">
                  <c:v>936.08632884152132</c:v>
                </c:pt>
                <c:pt idx="89">
                  <c:v>936.08632884152132</c:v>
                </c:pt>
                <c:pt idx="90">
                  <c:v>936.08632884152132</c:v>
                </c:pt>
                <c:pt idx="91">
                  <c:v>936.08632884152132</c:v>
                </c:pt>
                <c:pt idx="92">
                  <c:v>936.08632884152132</c:v>
                </c:pt>
                <c:pt idx="93">
                  <c:v>936.08632884152132</c:v>
                </c:pt>
                <c:pt idx="94">
                  <c:v>936.08632884152132</c:v>
                </c:pt>
                <c:pt idx="95">
                  <c:v>936.08632884152132</c:v>
                </c:pt>
                <c:pt idx="96">
                  <c:v>936.08632884152132</c:v>
                </c:pt>
                <c:pt idx="97">
                  <c:v>936.08632884152132</c:v>
                </c:pt>
                <c:pt idx="98">
                  <c:v>936.08632884152132</c:v>
                </c:pt>
                <c:pt idx="99">
                  <c:v>936.08632884152132</c:v>
                </c:pt>
                <c:pt idx="100">
                  <c:v>936.08632884152132</c:v>
                </c:pt>
                <c:pt idx="101">
                  <c:v>936.08632884152132</c:v>
                </c:pt>
                <c:pt idx="102">
                  <c:v>936.08632884152132</c:v>
                </c:pt>
                <c:pt idx="103">
                  <c:v>936.08632884152132</c:v>
                </c:pt>
                <c:pt idx="104">
                  <c:v>936.08632884152132</c:v>
                </c:pt>
                <c:pt idx="105">
                  <c:v>936.08632884152132</c:v>
                </c:pt>
                <c:pt idx="106">
                  <c:v>936.08632884152132</c:v>
                </c:pt>
                <c:pt idx="107">
                  <c:v>936.08632884152132</c:v>
                </c:pt>
                <c:pt idx="108">
                  <c:v>936.08632884152132</c:v>
                </c:pt>
                <c:pt idx="109">
                  <c:v>936.08632884152132</c:v>
                </c:pt>
                <c:pt idx="110">
                  <c:v>936.08632884152132</c:v>
                </c:pt>
                <c:pt idx="111">
                  <c:v>936.08632884152132</c:v>
                </c:pt>
                <c:pt idx="112">
                  <c:v>936.08632884152132</c:v>
                </c:pt>
                <c:pt idx="113">
                  <c:v>936.08632884152132</c:v>
                </c:pt>
                <c:pt idx="114">
                  <c:v>936.08632884152132</c:v>
                </c:pt>
                <c:pt idx="115">
                  <c:v>936.08632884152132</c:v>
                </c:pt>
                <c:pt idx="116">
                  <c:v>936.08632884152132</c:v>
                </c:pt>
                <c:pt idx="117">
                  <c:v>936.08632884152132</c:v>
                </c:pt>
                <c:pt idx="118">
                  <c:v>936.08632884152132</c:v>
                </c:pt>
                <c:pt idx="119">
                  <c:v>936.08632884152132</c:v>
                </c:pt>
                <c:pt idx="120">
                  <c:v>936.08632884152132</c:v>
                </c:pt>
                <c:pt idx="121">
                  <c:v>936.08632884152132</c:v>
                </c:pt>
                <c:pt idx="122">
                  <c:v>936.08632884152132</c:v>
                </c:pt>
                <c:pt idx="123">
                  <c:v>936.08632884152132</c:v>
                </c:pt>
                <c:pt idx="124">
                  <c:v>936.08632884152132</c:v>
                </c:pt>
                <c:pt idx="125">
                  <c:v>936.08632884152132</c:v>
                </c:pt>
                <c:pt idx="126">
                  <c:v>936.08632884152132</c:v>
                </c:pt>
                <c:pt idx="127">
                  <c:v>936.08632884152132</c:v>
                </c:pt>
                <c:pt idx="128">
                  <c:v>936.08632884152132</c:v>
                </c:pt>
                <c:pt idx="129">
                  <c:v>936.08632884152132</c:v>
                </c:pt>
                <c:pt idx="130">
                  <c:v>936.08632884152132</c:v>
                </c:pt>
                <c:pt idx="131">
                  <c:v>936.08632884152132</c:v>
                </c:pt>
                <c:pt idx="132">
                  <c:v>936.08632884152132</c:v>
                </c:pt>
                <c:pt idx="133">
                  <c:v>936.08632884152132</c:v>
                </c:pt>
                <c:pt idx="134">
                  <c:v>936.08632884152132</c:v>
                </c:pt>
                <c:pt idx="135">
                  <c:v>936.08632884152132</c:v>
                </c:pt>
                <c:pt idx="136">
                  <c:v>936.08632884152132</c:v>
                </c:pt>
                <c:pt idx="137">
                  <c:v>936.08632884152132</c:v>
                </c:pt>
                <c:pt idx="138">
                  <c:v>936.08632884152132</c:v>
                </c:pt>
                <c:pt idx="139">
                  <c:v>936.08632884152132</c:v>
                </c:pt>
                <c:pt idx="140">
                  <c:v>936.08632884152132</c:v>
                </c:pt>
                <c:pt idx="141">
                  <c:v>936.08632884152132</c:v>
                </c:pt>
                <c:pt idx="142">
                  <c:v>936.08632884152132</c:v>
                </c:pt>
                <c:pt idx="143">
                  <c:v>936.08632884152132</c:v>
                </c:pt>
                <c:pt idx="144">
                  <c:v>936.08632884152132</c:v>
                </c:pt>
                <c:pt idx="145">
                  <c:v>936.08632884152132</c:v>
                </c:pt>
                <c:pt idx="146">
                  <c:v>936.08632884152132</c:v>
                </c:pt>
                <c:pt idx="147">
                  <c:v>936.08632884152132</c:v>
                </c:pt>
                <c:pt idx="148">
                  <c:v>936.08632884152132</c:v>
                </c:pt>
                <c:pt idx="149">
                  <c:v>936.08632884152132</c:v>
                </c:pt>
                <c:pt idx="150">
                  <c:v>936.08632884152132</c:v>
                </c:pt>
                <c:pt idx="151">
                  <c:v>936.08632884152132</c:v>
                </c:pt>
                <c:pt idx="152">
                  <c:v>936.08632884152132</c:v>
                </c:pt>
                <c:pt idx="153">
                  <c:v>936.08632884152132</c:v>
                </c:pt>
                <c:pt idx="154">
                  <c:v>936.08632884152132</c:v>
                </c:pt>
                <c:pt idx="155">
                  <c:v>936.08632884152132</c:v>
                </c:pt>
                <c:pt idx="156">
                  <c:v>936.08632884152132</c:v>
                </c:pt>
                <c:pt idx="157">
                  <c:v>936.08632884152132</c:v>
                </c:pt>
                <c:pt idx="158">
                  <c:v>936.08632884152132</c:v>
                </c:pt>
                <c:pt idx="159">
                  <c:v>936.08632884152132</c:v>
                </c:pt>
                <c:pt idx="160">
                  <c:v>936.08632884152132</c:v>
                </c:pt>
                <c:pt idx="161">
                  <c:v>936.08632884152132</c:v>
                </c:pt>
                <c:pt idx="162">
                  <c:v>936.08632884152132</c:v>
                </c:pt>
                <c:pt idx="163">
                  <c:v>936.08632884152132</c:v>
                </c:pt>
                <c:pt idx="164">
                  <c:v>936.08632884152132</c:v>
                </c:pt>
                <c:pt idx="165">
                  <c:v>936.08632884152132</c:v>
                </c:pt>
                <c:pt idx="166">
                  <c:v>936.08632884152132</c:v>
                </c:pt>
                <c:pt idx="167">
                  <c:v>936.08632884152132</c:v>
                </c:pt>
                <c:pt idx="168">
                  <c:v>936.08632884152132</c:v>
                </c:pt>
                <c:pt idx="169">
                  <c:v>936.08632884152132</c:v>
                </c:pt>
                <c:pt idx="170">
                  <c:v>936.08632884152132</c:v>
                </c:pt>
                <c:pt idx="171">
                  <c:v>936.08632884152132</c:v>
                </c:pt>
                <c:pt idx="172">
                  <c:v>936.08632884152132</c:v>
                </c:pt>
                <c:pt idx="173">
                  <c:v>936.08632884152132</c:v>
                </c:pt>
                <c:pt idx="174">
                  <c:v>936.08632884152132</c:v>
                </c:pt>
                <c:pt idx="175">
                  <c:v>936.08632884152132</c:v>
                </c:pt>
                <c:pt idx="176">
                  <c:v>936.08632884152132</c:v>
                </c:pt>
                <c:pt idx="177">
                  <c:v>936.08632884152132</c:v>
                </c:pt>
                <c:pt idx="178">
                  <c:v>936.08632884152132</c:v>
                </c:pt>
                <c:pt idx="179">
                  <c:v>936.08632884152132</c:v>
                </c:pt>
                <c:pt idx="180">
                  <c:v>936.08632884152132</c:v>
                </c:pt>
                <c:pt idx="181">
                  <c:v>936.08632884152132</c:v>
                </c:pt>
                <c:pt idx="182">
                  <c:v>936.08632884152132</c:v>
                </c:pt>
                <c:pt idx="183">
                  <c:v>936.08632884152132</c:v>
                </c:pt>
                <c:pt idx="184">
                  <c:v>936.08632884152132</c:v>
                </c:pt>
                <c:pt idx="185">
                  <c:v>936.08632884152132</c:v>
                </c:pt>
                <c:pt idx="186">
                  <c:v>936.08632884152132</c:v>
                </c:pt>
                <c:pt idx="187">
                  <c:v>936.08632884152132</c:v>
                </c:pt>
                <c:pt idx="188">
                  <c:v>936.08632884152132</c:v>
                </c:pt>
                <c:pt idx="189">
                  <c:v>936.08632884152132</c:v>
                </c:pt>
                <c:pt idx="190">
                  <c:v>936.08632884152132</c:v>
                </c:pt>
                <c:pt idx="191">
                  <c:v>936.08632884152132</c:v>
                </c:pt>
                <c:pt idx="192">
                  <c:v>936.08632884152132</c:v>
                </c:pt>
                <c:pt idx="193">
                  <c:v>936.08632884152132</c:v>
                </c:pt>
                <c:pt idx="194">
                  <c:v>936.08632884152132</c:v>
                </c:pt>
                <c:pt idx="195">
                  <c:v>936.08632884152132</c:v>
                </c:pt>
                <c:pt idx="196">
                  <c:v>936.08632884152132</c:v>
                </c:pt>
                <c:pt idx="197">
                  <c:v>936.08632884152132</c:v>
                </c:pt>
                <c:pt idx="198">
                  <c:v>936.08632884152132</c:v>
                </c:pt>
                <c:pt idx="199">
                  <c:v>936.08632884152132</c:v>
                </c:pt>
                <c:pt idx="200">
                  <c:v>936.08632884152132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3.3531909034526346</c:v>
                </c:pt>
                <c:pt idx="2">
                  <c:v>3.8993621266351446</c:v>
                </c:pt>
                <c:pt idx="3">
                  <c:v>4.5348128558611593</c:v>
                </c:pt>
                <c:pt idx="4">
                  <c:v>5.274186229771197</c:v>
                </c:pt>
                <c:pt idx="5">
                  <c:v>6.1345346232520734</c:v>
                </c:pt>
                <c:pt idx="6">
                  <c:v>7.1357171951365972</c:v>
                </c:pt>
                <c:pt idx="7">
                  <c:v>8.3008632116557024</c:v>
                </c:pt>
                <c:pt idx="8">
                  <c:v>9.6569120553483714</c:v>
                </c:pt>
                <c:pt idx="9">
                  <c:v>11.235242642719285</c:v>
                </c:pt>
                <c:pt idx="10">
                  <c:v>13.072407089618954</c:v>
                </c:pt>
                <c:pt idx="11">
                  <c:v>15.210985931522528</c:v>
                </c:pt>
                <c:pt idx="12">
                  <c:v>17.700585085445038</c:v>
                </c:pt>
                <c:pt idx="13">
                  <c:v>20.59899809983532</c:v>
                </c:pt>
                <c:pt idx="14">
                  <c:v>23.973561158606984</c:v>
                </c:pt>
                <c:pt idx="15">
                  <c:v>27.902732879070957</c:v>
                </c:pt>
                <c:pt idx="16">
                  <c:v>32.477936280165608</c:v>
                </c:pt>
                <c:pt idx="17">
                  <c:v>37.805706524550438</c:v>
                </c:pt>
                <c:pt idx="18">
                  <c:v>44.010195304695664</c:v>
                </c:pt>
                <c:pt idx="19">
                  <c:v>51.236091222836599</c:v>
                </c:pt>
                <c:pt idx="20">
                  <c:v>59.652025410442661</c:v>
                </c:pt>
                <c:pt idx="21">
                  <c:v>69.454543181523078</c:v>
                </c:pt>
                <c:pt idx="22">
                  <c:v>80.872735992173858</c:v>
                </c:pt>
                <c:pt idx="23">
                  <c:v>94.173643709111261</c:v>
                </c:pt>
                <c:pt idx="24">
                  <c:v>109.6685555494761</c:v>
                </c:pt>
                <c:pt idx="25">
                  <c:v>127.72035948305029</c:v>
                </c:pt>
                <c:pt idx="26">
                  <c:v>126.2273812432676</c:v>
                </c:pt>
                <c:pt idx="27">
                  <c:v>139.64941580464631</c:v>
                </c:pt>
                <c:pt idx="28">
                  <c:v>153.04047270230222</c:v>
                </c:pt>
                <c:pt idx="29">
                  <c:v>166.40364665536515</c:v>
                </c:pt>
                <c:pt idx="30">
                  <c:v>179.7414938524295</c:v>
                </c:pt>
                <c:pt idx="31">
                  <c:v>175.79204566146828</c:v>
                </c:pt>
                <c:pt idx="32">
                  <c:v>189.11337673305502</c:v>
                </c:pt>
                <c:pt idx="33">
                  <c:v>202.41283960799998</c:v>
                </c:pt>
                <c:pt idx="34">
                  <c:v>215.69207423496596</c:v>
                </c:pt>
                <c:pt idx="35">
                  <c:v>228.95250195734911</c:v>
                </c:pt>
                <c:pt idx="36">
                  <c:v>220.60546688889872</c:v>
                </c:pt>
                <c:pt idx="37">
                  <c:v>234.34979791180618</c:v>
                </c:pt>
                <c:pt idx="38">
                  <c:v>248.07573680658217</c:v>
                </c:pt>
                <c:pt idx="39">
                  <c:v>261.78444483261904</c:v>
                </c:pt>
                <c:pt idx="40">
                  <c:v>275.47695163372038</c:v>
                </c:pt>
                <c:pt idx="41">
                  <c:v>264.71988444011521</c:v>
                </c:pt>
                <c:pt idx="42">
                  <c:v>278.40904253403284</c:v>
                </c:pt>
                <c:pt idx="43">
                  <c:v>292.08310245202915</c:v>
                </c:pt>
                <c:pt idx="44">
                  <c:v>305.74287072083769</c:v>
                </c:pt>
                <c:pt idx="45">
                  <c:v>319.38907589596442</c:v>
                </c:pt>
                <c:pt idx="46">
                  <c:v>307.69314288991097</c:v>
                </c:pt>
                <c:pt idx="47">
                  <c:v>320.36330368900036</c:v>
                </c:pt>
                <c:pt idx="48">
                  <c:v>333.02237917954818</c:v>
                </c:pt>
                <c:pt idx="49">
                  <c:v>345.67085020585563</c:v>
                </c:pt>
                <c:pt idx="50">
                  <c:v>358.3091595424853</c:v>
                </c:pt>
                <c:pt idx="51">
                  <c:v>345.67085020585563</c:v>
                </c:pt>
                <c:pt idx="52">
                  <c:v>357.33733317024149</c:v>
                </c:pt>
                <c:pt idx="53">
                  <c:v>368.99548059727545</c:v>
                </c:pt>
                <c:pt idx="54">
                  <c:v>380.64559302346692</c:v>
                </c:pt>
                <c:pt idx="55">
                  <c:v>392.28795108310896</c:v>
                </c:pt>
                <c:pt idx="56">
                  <c:v>377.24845670484416</c:v>
                </c:pt>
                <c:pt idx="57">
                  <c:v>388.8930485588503</c:v>
                </c:pt>
                <c:pt idx="58">
                  <c:v>400.53007382488323</c:v>
                </c:pt>
                <c:pt idx="59">
                  <c:v>412.15978336556765</c:v>
                </c:pt>
                <c:pt idx="60">
                  <c:v>423.78241272923668</c:v>
                </c:pt>
                <c:pt idx="61">
                  <c:v>408.28401153728754</c:v>
                </c:pt>
                <c:pt idx="62">
                  <c:v>419.42474207074014</c:v>
                </c:pt>
                <c:pt idx="63">
                  <c:v>430.55909884740112</c:v>
                </c:pt>
                <c:pt idx="64">
                  <c:v>441.68726995359702</c:v>
                </c:pt>
                <c:pt idx="65">
                  <c:v>452.80943322358308</c:v>
                </c:pt>
                <c:pt idx="66">
                  <c:v>436.36586142654079</c:v>
                </c:pt>
                <c:pt idx="67">
                  <c:v>446.5237212133386</c:v>
                </c:pt>
                <c:pt idx="68">
                  <c:v>456.67663464562247</c:v>
                </c:pt>
                <c:pt idx="69">
                  <c:v>466.82472721753032</c:v>
                </c:pt>
                <c:pt idx="70">
                  <c:v>476.96811852099813</c:v>
                </c:pt>
                <c:pt idx="71">
                  <c:v>462.47612719521175</c:v>
                </c:pt>
                <c:pt idx="72">
                  <c:v>472.13851116048022</c:v>
                </c:pt>
                <c:pt idx="73">
                  <c:v>481.79668577992373</c:v>
                </c:pt>
                <c:pt idx="74">
                  <c:v>491.45074734836231</c:v>
                </c:pt>
                <c:pt idx="75">
                  <c:v>501.10078806812857</c:v>
                </c:pt>
                <c:pt idx="76">
                  <c:v>485.65879872121496</c:v>
                </c:pt>
                <c:pt idx="77">
                  <c:v>494.34617766082943</c:v>
                </c:pt>
                <c:pt idx="78">
                  <c:v>503.03032155094485</c:v>
                </c:pt>
                <c:pt idx="79">
                  <c:v>511.71129412952837</c:v>
                </c:pt>
                <c:pt idx="80">
                  <c:v>520.38915679508352</c:v>
                </c:pt>
                <c:pt idx="81">
                  <c:v>504.95969843493117</c:v>
                </c:pt>
                <c:pt idx="82">
                  <c:v>513.63997469556193</c:v>
                </c:pt>
                <c:pt idx="83">
                  <c:v>522.31715438224717</c:v>
                </c:pt>
                <c:pt idx="84">
                  <c:v>530.99129620205997</c:v>
                </c:pt>
                <c:pt idx="85">
                  <c:v>539.66245678724056</c:v>
                </c:pt>
                <c:pt idx="86">
                  <c:v>523.76305409401289</c:v>
                </c:pt>
                <c:pt idx="87">
                  <c:v>531.95490469434458</c:v>
                </c:pt>
                <c:pt idx="88">
                  <c:v>540.14410162537126</c:v>
                </c:pt>
                <c:pt idx="89">
                  <c:v>548.33069080140501</c:v>
                </c:pt>
                <c:pt idx="90">
                  <c:v>556.51471665367865</c:v>
                </c:pt>
                <c:pt idx="91">
                  <c:v>540.62573744055442</c:v>
                </c:pt>
                <c:pt idx="92">
                  <c:v>548.81217461703875</c:v>
                </c:pt>
                <c:pt idx="93">
                  <c:v>556.99605103868646</c:v>
                </c:pt>
                <c:pt idx="94">
                  <c:v>565.17740964205359</c:v>
                </c:pt>
                <c:pt idx="95">
                  <c:v>573.35629201905988</c:v>
                </c:pt>
                <c:pt idx="96">
                  <c:v>558.92130154667154</c:v>
                </c:pt>
                <c:pt idx="97">
                  <c:v>566.13975883115904</c:v>
                </c:pt>
                <c:pt idx="98">
                  <c:v>573.35629201905988</c:v>
                </c:pt>
                <c:pt idx="99">
                  <c:v>580.5709287486394</c:v>
                </c:pt>
                <c:pt idx="100">
                  <c:v>587.78369591508908</c:v>
                </c:pt>
                <c:pt idx="101">
                  <c:v>572.87524910914692</c:v>
                </c:pt>
                <c:pt idx="102">
                  <c:v>579.60908578354815</c:v>
                </c:pt>
                <c:pt idx="103">
                  <c:v>586.34129078009812</c:v>
                </c:pt>
                <c:pt idx="104">
                  <c:v>593.07188547985891</c:v>
                </c:pt>
                <c:pt idx="105">
                  <c:v>599.80089073891156</c:v>
                </c:pt>
                <c:pt idx="106">
                  <c:v>585.37964629167129</c:v>
                </c:pt>
                <c:pt idx="107">
                  <c:v>592.59118167071995</c:v>
                </c:pt>
                <c:pt idx="108">
                  <c:v>599.80089073891156</c:v>
                </c:pt>
                <c:pt idx="109">
                  <c:v>607.00879854794766</c:v>
                </c:pt>
                <c:pt idx="110">
                  <c:v>614.2149295059769</c:v>
                </c:pt>
                <c:pt idx="111">
                  <c:v>600.76204864699218</c:v>
                </c:pt>
                <c:pt idx="112">
                  <c:v>606.52832690712012</c:v>
                </c:pt>
                <c:pt idx="113">
                  <c:v>612.2934669656122</c:v>
                </c:pt>
                <c:pt idx="114">
                  <c:v>618.0574810537604</c:v>
                </c:pt>
                <c:pt idx="115">
                  <c:v>623.82038115605383</c:v>
                </c:pt>
                <c:pt idx="116">
                  <c:v>610.85228798421883</c:v>
                </c:pt>
                <c:pt idx="117">
                  <c:v>617.09688971984986</c:v>
                </c:pt>
                <c:pt idx="118">
                  <c:v>623.34018174077721</c:v>
                </c:pt>
                <c:pt idx="119">
                  <c:v>629.58217901744308</c:v>
                </c:pt>
                <c:pt idx="120">
                  <c:v>635.82289619917935</c:v>
                </c:pt>
                <c:pt idx="121">
                  <c:v>616.61658243189299</c:v>
                </c:pt>
                <c:pt idx="122">
                  <c:v>616.61658243189299</c:v>
                </c:pt>
                <c:pt idx="123">
                  <c:v>616.61658243189299</c:v>
                </c:pt>
                <c:pt idx="124">
                  <c:v>616.61658243189299</c:v>
                </c:pt>
                <c:pt idx="125">
                  <c:v>616.61658243189299</c:v>
                </c:pt>
                <c:pt idx="126">
                  <c:v>616.61658243189299</c:v>
                </c:pt>
                <c:pt idx="127">
                  <c:v>616.61658243189299</c:v>
                </c:pt>
                <c:pt idx="128">
                  <c:v>616.61658243189299</c:v>
                </c:pt>
                <c:pt idx="129">
                  <c:v>616.61658243189299</c:v>
                </c:pt>
                <c:pt idx="130">
                  <c:v>616.61658243189299</c:v>
                </c:pt>
                <c:pt idx="131">
                  <c:v>616.61658243189299</c:v>
                </c:pt>
                <c:pt idx="132">
                  <c:v>616.61658243189299</c:v>
                </c:pt>
                <c:pt idx="133">
                  <c:v>616.61658243189299</c:v>
                </c:pt>
                <c:pt idx="134">
                  <c:v>616.61658243189299</c:v>
                </c:pt>
                <c:pt idx="135">
                  <c:v>616.61658243189299</c:v>
                </c:pt>
                <c:pt idx="136">
                  <c:v>616.61658243189299</c:v>
                </c:pt>
                <c:pt idx="137">
                  <c:v>616.61658243189299</c:v>
                </c:pt>
                <c:pt idx="138">
                  <c:v>616.61658243189299</c:v>
                </c:pt>
                <c:pt idx="139">
                  <c:v>616.61658243189299</c:v>
                </c:pt>
                <c:pt idx="140">
                  <c:v>616.61658243189299</c:v>
                </c:pt>
                <c:pt idx="141">
                  <c:v>616.61658243189299</c:v>
                </c:pt>
                <c:pt idx="142">
                  <c:v>616.61658243189299</c:v>
                </c:pt>
                <c:pt idx="143">
                  <c:v>616.61658243189299</c:v>
                </c:pt>
                <c:pt idx="144">
                  <c:v>616.61658243189299</c:v>
                </c:pt>
                <c:pt idx="145">
                  <c:v>616.61658243189299</c:v>
                </c:pt>
                <c:pt idx="146">
                  <c:v>616.61658243189299</c:v>
                </c:pt>
                <c:pt idx="147">
                  <c:v>616.61658243189299</c:v>
                </c:pt>
                <c:pt idx="148">
                  <c:v>616.61658243189299</c:v>
                </c:pt>
                <c:pt idx="149">
                  <c:v>616.61658243189299</c:v>
                </c:pt>
                <c:pt idx="150">
                  <c:v>616.61658243189299</c:v>
                </c:pt>
                <c:pt idx="151">
                  <c:v>616.61658243189299</c:v>
                </c:pt>
                <c:pt idx="152">
                  <c:v>616.61658243189299</c:v>
                </c:pt>
                <c:pt idx="153">
                  <c:v>616.61658243189299</c:v>
                </c:pt>
                <c:pt idx="154">
                  <c:v>616.61658243189299</c:v>
                </c:pt>
                <c:pt idx="155">
                  <c:v>616.61658243189299</c:v>
                </c:pt>
                <c:pt idx="156">
                  <c:v>616.61658243189299</c:v>
                </c:pt>
                <c:pt idx="157">
                  <c:v>616.61658243189299</c:v>
                </c:pt>
                <c:pt idx="158">
                  <c:v>616.61658243189299</c:v>
                </c:pt>
                <c:pt idx="159">
                  <c:v>616.61658243189299</c:v>
                </c:pt>
                <c:pt idx="160">
                  <c:v>616.61658243189299</c:v>
                </c:pt>
                <c:pt idx="161">
                  <c:v>616.61658243189299</c:v>
                </c:pt>
                <c:pt idx="162">
                  <c:v>616.61658243189299</c:v>
                </c:pt>
                <c:pt idx="163">
                  <c:v>616.61658243189299</c:v>
                </c:pt>
                <c:pt idx="164">
                  <c:v>616.61658243189299</c:v>
                </c:pt>
                <c:pt idx="165">
                  <c:v>616.61658243189299</c:v>
                </c:pt>
                <c:pt idx="166">
                  <c:v>616.61658243189299</c:v>
                </c:pt>
                <c:pt idx="167">
                  <c:v>616.61658243189299</c:v>
                </c:pt>
                <c:pt idx="168">
                  <c:v>616.61658243189299</c:v>
                </c:pt>
                <c:pt idx="169">
                  <c:v>616.61658243189299</c:v>
                </c:pt>
                <c:pt idx="170">
                  <c:v>616.61658243189299</c:v>
                </c:pt>
                <c:pt idx="171">
                  <c:v>616.61658243189299</c:v>
                </c:pt>
                <c:pt idx="172">
                  <c:v>616.61658243189299</c:v>
                </c:pt>
                <c:pt idx="173">
                  <c:v>616.61658243189299</c:v>
                </c:pt>
                <c:pt idx="174">
                  <c:v>616.61658243189299</c:v>
                </c:pt>
                <c:pt idx="175">
                  <c:v>616.61658243189299</c:v>
                </c:pt>
                <c:pt idx="176">
                  <c:v>616.61658243189299</c:v>
                </c:pt>
                <c:pt idx="177">
                  <c:v>616.61658243189299</c:v>
                </c:pt>
                <c:pt idx="178">
                  <c:v>616.61658243189299</c:v>
                </c:pt>
                <c:pt idx="179">
                  <c:v>616.61658243189299</c:v>
                </c:pt>
                <c:pt idx="180">
                  <c:v>616.61658243189299</c:v>
                </c:pt>
                <c:pt idx="181">
                  <c:v>616.61658243189299</c:v>
                </c:pt>
                <c:pt idx="182">
                  <c:v>616.61658243189299</c:v>
                </c:pt>
                <c:pt idx="183">
                  <c:v>616.61658243189299</c:v>
                </c:pt>
                <c:pt idx="184">
                  <c:v>616.61658243189299</c:v>
                </c:pt>
                <c:pt idx="185">
                  <c:v>616.61658243189299</c:v>
                </c:pt>
                <c:pt idx="186">
                  <c:v>616.61658243189299</c:v>
                </c:pt>
                <c:pt idx="187">
                  <c:v>616.61658243189299</c:v>
                </c:pt>
                <c:pt idx="188">
                  <c:v>616.61658243189299</c:v>
                </c:pt>
                <c:pt idx="189">
                  <c:v>616.61658243189299</c:v>
                </c:pt>
                <c:pt idx="190">
                  <c:v>616.61658243189299</c:v>
                </c:pt>
                <c:pt idx="191">
                  <c:v>616.61658243189299</c:v>
                </c:pt>
                <c:pt idx="192">
                  <c:v>616.61658243189299</c:v>
                </c:pt>
                <c:pt idx="193">
                  <c:v>616.61658243189299</c:v>
                </c:pt>
                <c:pt idx="194">
                  <c:v>616.61658243189299</c:v>
                </c:pt>
                <c:pt idx="195">
                  <c:v>616.61658243189299</c:v>
                </c:pt>
                <c:pt idx="196">
                  <c:v>616.61658243189299</c:v>
                </c:pt>
                <c:pt idx="197">
                  <c:v>616.61658243189299</c:v>
                </c:pt>
                <c:pt idx="198">
                  <c:v>616.61658243189299</c:v>
                </c:pt>
                <c:pt idx="199">
                  <c:v>616.61658243189299</c:v>
                </c:pt>
                <c:pt idx="200">
                  <c:v>616.61658243189299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3" zoomScale="80" zoomScaleNormal="80" workbookViewId="0">
      <selection activeCell="L109" sqref="L10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0.78</v>
      </c>
      <c r="D9" s="33">
        <f t="shared" ref="D9:D18" si="0">C9*$C$5</f>
        <v>2.262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0.11</v>
      </c>
      <c r="D10" s="33">
        <f t="shared" si="0"/>
        <v>0.31900000000000001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6</v>
      </c>
      <c r="C11" s="32">
        <v>0.03</v>
      </c>
      <c r="D11" s="33">
        <f t="shared" si="0"/>
        <v>8.6999999999999994E-2</v>
      </c>
      <c r="E11" s="34">
        <v>70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156</v>
      </c>
      <c r="C12" s="32">
        <v>0.02</v>
      </c>
      <c r="D12" s="33">
        <f t="shared" si="0"/>
        <v>5.7999999999999996E-2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16</v>
      </c>
      <c r="C13" s="32">
        <v>0.03</v>
      </c>
      <c r="D13" s="33">
        <f t="shared" si="0"/>
        <v>8.6999999999999994E-2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0.97000000000000008</v>
      </c>
      <c r="D19" s="38">
        <f>SUM(D9:D18)</f>
        <v>2.8130000000000002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f>62+8</f>
        <v>70</v>
      </c>
      <c r="C36" s="60">
        <v>1</v>
      </c>
      <c r="D36" s="60">
        <v>8</v>
      </c>
      <c r="E36" s="51"/>
      <c r="F36" s="51"/>
      <c r="G36" s="51"/>
      <c r="H36" s="51">
        <v>1</v>
      </c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f>76+D37</f>
        <v>97</v>
      </c>
      <c r="C37" s="60">
        <v>2</v>
      </c>
      <c r="D37" s="60">
        <v>21</v>
      </c>
      <c r="E37" s="51"/>
      <c r="F37" s="51"/>
      <c r="G37" s="51"/>
      <c r="H37" s="51">
        <v>1</v>
      </c>
      <c r="I37" s="53">
        <f t="shared" ref="I37:I55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35</v>
      </c>
      <c r="B38" s="60">
        <f>95+D38</f>
        <v>116</v>
      </c>
      <c r="C38" s="60">
        <v>3</v>
      </c>
      <c r="D38" s="60">
        <v>21</v>
      </c>
      <c r="E38" s="51">
        <v>0.4</v>
      </c>
      <c r="F38" s="51">
        <v>0.08</v>
      </c>
      <c r="G38" s="51">
        <v>0.12</v>
      </c>
      <c r="H38" s="51">
        <v>0.4</v>
      </c>
      <c r="I38" s="53">
        <f t="shared" si="1"/>
        <v>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40</v>
      </c>
      <c r="B39" s="60">
        <f>116+D39</f>
        <v>137</v>
      </c>
      <c r="C39" s="60">
        <v>4</v>
      </c>
      <c r="D39" s="60">
        <v>21</v>
      </c>
      <c r="E39" s="51">
        <v>0.4</v>
      </c>
      <c r="F39" s="51">
        <v>0.08</v>
      </c>
      <c r="G39" s="51">
        <v>0.12</v>
      </c>
      <c r="H39" s="51">
        <v>0.4</v>
      </c>
      <c r="I39" s="49">
        <f t="shared" si="1"/>
        <v>8.4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45</v>
      </c>
      <c r="B40" s="60">
        <f>137+D40</f>
        <v>158</v>
      </c>
      <c r="C40" s="60">
        <v>5</v>
      </c>
      <c r="D40" s="60">
        <v>21</v>
      </c>
      <c r="E40" s="51">
        <v>0.6</v>
      </c>
      <c r="F40" s="51">
        <v>0.04</v>
      </c>
      <c r="G40" s="51">
        <v>0.06</v>
      </c>
      <c r="H40" s="51">
        <v>0.3</v>
      </c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50</v>
      </c>
      <c r="B41" s="60">
        <f>157+D41</f>
        <v>178</v>
      </c>
      <c r="C41" s="60">
        <v>6</v>
      </c>
      <c r="D41" s="60">
        <v>21</v>
      </c>
      <c r="E41" s="51">
        <v>0.6</v>
      </c>
      <c r="F41" s="51">
        <v>0.04</v>
      </c>
      <c r="G41" s="51">
        <v>0.06</v>
      </c>
      <c r="H41" s="51">
        <v>0.3</v>
      </c>
      <c r="I41" s="53">
        <f t="shared" si="1"/>
        <v>8.1999999999999993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55</v>
      </c>
      <c r="B42" s="60">
        <f>176+D42</f>
        <v>197</v>
      </c>
      <c r="C42" s="60">
        <v>7</v>
      </c>
      <c r="D42" s="60">
        <v>21</v>
      </c>
      <c r="E42" s="51">
        <v>0.8</v>
      </c>
      <c r="F42" s="51">
        <v>0.04</v>
      </c>
      <c r="G42" s="51">
        <v>0.06</v>
      </c>
      <c r="H42" s="51">
        <v>0.1</v>
      </c>
      <c r="I42" s="53">
        <f t="shared" si="1"/>
        <v>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60</v>
      </c>
      <c r="B43" s="60">
        <f>193+D43</f>
        <v>214</v>
      </c>
      <c r="C43" s="60">
        <v>8</v>
      </c>
      <c r="D43" s="60">
        <v>21</v>
      </c>
      <c r="E43" s="51">
        <v>0.8</v>
      </c>
      <c r="F43" s="51">
        <v>0.04</v>
      </c>
      <c r="G43" s="51">
        <v>0.06</v>
      </c>
      <c r="H43" s="51">
        <v>0.1</v>
      </c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65</v>
      </c>
      <c r="B44" s="60">
        <f>208+D44</f>
        <v>229</v>
      </c>
      <c r="C44" s="60">
        <v>9</v>
      </c>
      <c r="D44" s="60">
        <v>21</v>
      </c>
      <c r="E44" s="51">
        <v>0.8</v>
      </c>
      <c r="F44" s="51">
        <v>0.04</v>
      </c>
      <c r="G44" s="51">
        <v>0.06</v>
      </c>
      <c r="H44" s="51">
        <v>0.1</v>
      </c>
      <c r="I44" s="49">
        <f t="shared" si="1"/>
        <v>7.2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70</v>
      </c>
      <c r="B45" s="60">
        <f>221+D45</f>
        <v>242</v>
      </c>
      <c r="C45" s="60">
        <v>10</v>
      </c>
      <c r="D45" s="60">
        <v>21</v>
      </c>
      <c r="E45" s="51">
        <v>0.8</v>
      </c>
      <c r="F45" s="51">
        <v>0.04</v>
      </c>
      <c r="G45" s="51">
        <v>0.06</v>
      </c>
      <c r="H45" s="51">
        <v>0.1</v>
      </c>
      <c r="I45" s="49">
        <f t="shared" si="1"/>
        <v>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75</v>
      </c>
      <c r="B46" s="60">
        <f>231+D46</f>
        <v>252</v>
      </c>
      <c r="C46" s="60">
        <v>11</v>
      </c>
      <c r="D46" s="60">
        <v>21</v>
      </c>
      <c r="E46" s="51">
        <v>0.8</v>
      </c>
      <c r="F46" s="51">
        <v>0.04</v>
      </c>
      <c r="G46" s="51">
        <v>0.06</v>
      </c>
      <c r="H46" s="51">
        <v>0.1</v>
      </c>
      <c r="I46" s="49">
        <f t="shared" si="1"/>
        <v>6.2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80</v>
      </c>
      <c r="B47" s="60">
        <f>240+D47</f>
        <v>261</v>
      </c>
      <c r="C47" s="60">
        <v>12</v>
      </c>
      <c r="D47" s="60">
        <v>21</v>
      </c>
      <c r="E47" s="51">
        <v>0.8</v>
      </c>
      <c r="F47" s="51">
        <v>0.04</v>
      </c>
      <c r="G47" s="51">
        <v>0.06</v>
      </c>
      <c r="H47" s="51">
        <v>0.1</v>
      </c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85</v>
      </c>
      <c r="B48" s="60">
        <f>248+D48</f>
        <v>269</v>
      </c>
      <c r="C48" s="60">
        <v>13</v>
      </c>
      <c r="D48" s="60">
        <v>21</v>
      </c>
      <c r="E48" s="51">
        <v>0.8</v>
      </c>
      <c r="F48" s="51">
        <v>0.04</v>
      </c>
      <c r="G48" s="51">
        <v>0.06</v>
      </c>
      <c r="H48" s="51">
        <v>0.1</v>
      </c>
      <c r="I48" s="49">
        <f t="shared" si="1"/>
        <v>5.8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90</v>
      </c>
      <c r="B49" s="60">
        <f>254+D49</f>
        <v>275</v>
      </c>
      <c r="C49" s="60">
        <v>14</v>
      </c>
      <c r="D49" s="60">
        <v>21</v>
      </c>
      <c r="E49" s="51">
        <v>0.8</v>
      </c>
      <c r="F49" s="51">
        <v>0.04</v>
      </c>
      <c r="G49" s="51">
        <v>0.06</v>
      </c>
      <c r="H49" s="51">
        <v>0.1</v>
      </c>
      <c r="I49" s="49">
        <f t="shared" si="1"/>
        <v>5.4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95</v>
      </c>
      <c r="B50" s="50">
        <v>279</v>
      </c>
      <c r="C50" s="50">
        <v>15</v>
      </c>
      <c r="D50" s="50">
        <v>21</v>
      </c>
      <c r="E50" s="51">
        <v>0.8</v>
      </c>
      <c r="F50" s="51">
        <v>0.04</v>
      </c>
      <c r="G50" s="51">
        <v>0.06</v>
      </c>
      <c r="H50" s="51">
        <v>0.1</v>
      </c>
      <c r="I50" s="49">
        <f t="shared" si="1"/>
        <v>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100</v>
      </c>
      <c r="B51" s="50">
        <v>282</v>
      </c>
      <c r="C51" s="50">
        <v>16</v>
      </c>
      <c r="D51" s="50">
        <v>21</v>
      </c>
      <c r="E51" s="51">
        <v>0.8</v>
      </c>
      <c r="F51" s="51">
        <v>0.04</v>
      </c>
      <c r="G51" s="51">
        <v>0.06</v>
      </c>
      <c r="H51" s="51">
        <v>0.1</v>
      </c>
      <c r="I51" s="49">
        <f t="shared" si="1"/>
        <v>4.8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105</v>
      </c>
      <c r="B52" s="50">
        <v>284</v>
      </c>
      <c r="C52" s="50">
        <v>17</v>
      </c>
      <c r="D52" s="50">
        <v>20</v>
      </c>
      <c r="E52" s="51">
        <v>0.8</v>
      </c>
      <c r="F52" s="51">
        <v>0.04</v>
      </c>
      <c r="G52" s="51">
        <v>0.06</v>
      </c>
      <c r="H52" s="51">
        <v>0.1</v>
      </c>
      <c r="I52" s="49">
        <f t="shared" si="1"/>
        <v>4.5999999999999996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110</v>
      </c>
      <c r="B53" s="50">
        <v>285</v>
      </c>
      <c r="C53" s="50">
        <v>18</v>
      </c>
      <c r="D53" s="50">
        <v>19</v>
      </c>
      <c r="E53" s="51">
        <v>0.8</v>
      </c>
      <c r="F53" s="51">
        <v>0.04</v>
      </c>
      <c r="G53" s="51">
        <v>0.06</v>
      </c>
      <c r="H53" s="51">
        <v>0.1</v>
      </c>
      <c r="I53" s="49">
        <f t="shared" si="1"/>
        <v>4.2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>
        <v>115</v>
      </c>
      <c r="B54" s="50">
        <v>285</v>
      </c>
      <c r="C54" s="50">
        <v>19</v>
      </c>
      <c r="D54" s="50">
        <v>18</v>
      </c>
      <c r="E54" s="51">
        <v>0.8</v>
      </c>
      <c r="F54" s="51">
        <v>0.04</v>
      </c>
      <c r="G54" s="51">
        <v>0.06</v>
      </c>
      <c r="H54" s="51">
        <v>0.1</v>
      </c>
      <c r="I54" s="49">
        <f t="shared" si="1"/>
        <v>3.8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>
        <v>120</v>
      </c>
      <c r="B55" s="50">
        <v>285</v>
      </c>
      <c r="C55" s="50">
        <v>20</v>
      </c>
      <c r="D55" s="50">
        <v>17</v>
      </c>
      <c r="E55" s="51">
        <v>0.8</v>
      </c>
      <c r="F55" s="51">
        <v>0.04</v>
      </c>
      <c r="G55" s="51">
        <v>0.06</v>
      </c>
      <c r="H55" s="51">
        <v>0.1</v>
      </c>
      <c r="I55" s="49">
        <f t="shared" si="1"/>
        <v>3.6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204</v>
      </c>
      <c r="C62" s="60">
        <v>1</v>
      </c>
      <c r="D62" s="60">
        <v>20.399999999999999</v>
      </c>
      <c r="E62" s="51"/>
      <c r="F62" s="51">
        <v>0.4</v>
      </c>
      <c r="G62" s="51">
        <v>0.6</v>
      </c>
      <c r="H62" s="51"/>
      <c r="I62" s="53">
        <f>IFERROR(B62/A62,"")</f>
        <v>8.16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33</v>
      </c>
      <c r="B63" s="60">
        <v>259.60000000000002</v>
      </c>
      <c r="C63" s="60">
        <v>2</v>
      </c>
      <c r="D63" s="60">
        <v>38.94</v>
      </c>
      <c r="E63" s="51"/>
      <c r="F63" s="51">
        <v>0.4</v>
      </c>
      <c r="G63" s="51">
        <v>0.6</v>
      </c>
      <c r="H63" s="51"/>
      <c r="I63" s="49">
        <f>IF(A63&lt;&gt;0,(B63-(B62-D62))/(A63-A62),"")</f>
        <v>9.5000000000000036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41</v>
      </c>
      <c r="B64" s="60">
        <v>302.16000000000003</v>
      </c>
      <c r="C64" s="60">
        <v>3</v>
      </c>
      <c r="D64" s="60">
        <v>60.4</v>
      </c>
      <c r="E64" s="51">
        <v>0.5</v>
      </c>
      <c r="F64" s="51">
        <v>0.2</v>
      </c>
      <c r="G64" s="51">
        <v>0.3</v>
      </c>
      <c r="H64" s="51"/>
      <c r="I64" s="49">
        <f>IF(A64&lt;&gt;0,(B64-(B63-D63))/(A64-A63),"")</f>
        <v>10.1875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52</v>
      </c>
      <c r="B65" s="60">
        <v>372.23</v>
      </c>
      <c r="C65" s="60">
        <v>4</v>
      </c>
      <c r="D65" s="60">
        <v>74.45</v>
      </c>
      <c r="E65" s="51">
        <v>0.5</v>
      </c>
      <c r="F65" s="51">
        <v>0.2</v>
      </c>
      <c r="G65" s="51">
        <v>0.3</v>
      </c>
      <c r="H65" s="51"/>
      <c r="I65" s="49">
        <f>IF(A65&lt;&gt;0,(B65-(B64-D64))/(A65-A64),"")</f>
        <v>11.860909090909091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405.78</v>
      </c>
      <c r="C66" s="60">
        <v>5</v>
      </c>
      <c r="D66" s="60">
        <v>405.78</v>
      </c>
      <c r="E66" s="51">
        <v>0.5</v>
      </c>
      <c r="F66" s="51">
        <v>0.2</v>
      </c>
      <c r="G66" s="51">
        <v>0.3</v>
      </c>
      <c r="H66" s="51"/>
      <c r="I66" s="49">
        <f t="shared" ref="I66:I81" si="2">IF(A66&lt;&gt;0,(B66-(B65-D65))/(A66-A65),"")</f>
        <v>13.499999999999993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38</v>
      </c>
      <c r="C88" s="60">
        <v>1</v>
      </c>
      <c r="D88" s="60">
        <v>8</v>
      </c>
      <c r="E88" s="51"/>
      <c r="F88" s="51"/>
      <c r="G88" s="51"/>
      <c r="H88" s="87">
        <v>1</v>
      </c>
      <c r="I88" s="53">
        <f>IFERROR(B88/A88,"")</f>
        <v>3.8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v>84</v>
      </c>
      <c r="C89" s="60">
        <v>2</v>
      </c>
      <c r="D89" s="60">
        <v>16</v>
      </c>
      <c r="E89" s="51"/>
      <c r="F89" s="51"/>
      <c r="G89" s="51"/>
      <c r="H89" s="87">
        <v>1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131</v>
      </c>
      <c r="C90" s="60">
        <v>3</v>
      </c>
      <c r="D90" s="60">
        <v>21</v>
      </c>
      <c r="E90" s="87">
        <v>0.4</v>
      </c>
      <c r="F90" s="87">
        <v>0.08</v>
      </c>
      <c r="G90" s="87">
        <v>0.12</v>
      </c>
      <c r="H90" s="87">
        <v>0.4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25</v>
      </c>
      <c r="B91" s="60">
        <v>173</v>
      </c>
      <c r="C91" s="60">
        <v>4</v>
      </c>
      <c r="D91" s="60">
        <v>25</v>
      </c>
      <c r="E91" s="87">
        <v>0.4</v>
      </c>
      <c r="F91" s="87">
        <v>0.08</v>
      </c>
      <c r="G91" s="87">
        <v>0.12</v>
      </c>
      <c r="H91" s="87">
        <v>0.4</v>
      </c>
      <c r="I91" s="53">
        <f t="shared" si="3"/>
        <v>12.6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30</v>
      </c>
      <c r="B92" s="60">
        <v>210</v>
      </c>
      <c r="C92" s="60">
        <v>5</v>
      </c>
      <c r="D92" s="60">
        <v>28</v>
      </c>
      <c r="E92" s="87">
        <v>0.4</v>
      </c>
      <c r="F92" s="87">
        <v>0.08</v>
      </c>
      <c r="G92" s="87">
        <v>0.12</v>
      </c>
      <c r="H92" s="87">
        <v>0.4</v>
      </c>
      <c r="I92" s="53">
        <f t="shared" si="3"/>
        <v>12.4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35</v>
      </c>
      <c r="B93" s="60">
        <v>241</v>
      </c>
      <c r="C93" s="60">
        <v>6</v>
      </c>
      <c r="D93" s="60">
        <v>29</v>
      </c>
      <c r="E93" s="87">
        <v>0.6</v>
      </c>
      <c r="F93" s="87">
        <v>0.04</v>
      </c>
      <c r="G93" s="87">
        <v>0.06</v>
      </c>
      <c r="H93" s="87">
        <v>0.3</v>
      </c>
      <c r="I93" s="53">
        <f t="shared" si="3"/>
        <v>11.8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v>268</v>
      </c>
      <c r="C94" s="60">
        <v>7</v>
      </c>
      <c r="D94" s="60">
        <v>29</v>
      </c>
      <c r="E94" s="87">
        <v>0.6</v>
      </c>
      <c r="F94" s="87">
        <v>0.04</v>
      </c>
      <c r="G94" s="87">
        <v>0.06</v>
      </c>
      <c r="H94" s="87">
        <v>0.3</v>
      </c>
      <c r="I94" s="53">
        <f t="shared" si="3"/>
        <v>11.2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45</v>
      </c>
      <c r="B95" s="60">
        <v>291</v>
      </c>
      <c r="C95" s="60">
        <v>8</v>
      </c>
      <c r="D95" s="60">
        <v>29</v>
      </c>
      <c r="E95" s="87">
        <v>0.6</v>
      </c>
      <c r="F95" s="87">
        <v>0.04</v>
      </c>
      <c r="G95" s="87">
        <v>0.06</v>
      </c>
      <c r="H95" s="87">
        <v>0.3</v>
      </c>
      <c r="I95" s="53">
        <f t="shared" si="3"/>
        <v>10.4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50</v>
      </c>
      <c r="B96" s="60">
        <v>311</v>
      </c>
      <c r="C96" s="60">
        <v>9</v>
      </c>
      <c r="D96" s="60">
        <v>29</v>
      </c>
      <c r="E96" s="87">
        <v>0.8</v>
      </c>
      <c r="F96" s="87">
        <v>0.04</v>
      </c>
      <c r="G96" s="87">
        <v>0.06</v>
      </c>
      <c r="H96" s="87">
        <v>0.1</v>
      </c>
      <c r="I96" s="53">
        <f t="shared" si="3"/>
        <v>9.8000000000000007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55</v>
      </c>
      <c r="B97" s="60">
        <v>328</v>
      </c>
      <c r="C97" s="60">
        <v>10</v>
      </c>
      <c r="D97" s="60">
        <v>28</v>
      </c>
      <c r="E97" s="87">
        <v>0.8</v>
      </c>
      <c r="F97" s="87">
        <v>0.04</v>
      </c>
      <c r="G97" s="87">
        <v>0.06</v>
      </c>
      <c r="H97" s="87">
        <v>0.1</v>
      </c>
      <c r="I97" s="53">
        <f t="shared" si="3"/>
        <v>9.1999999999999993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60</v>
      </c>
      <c r="B98" s="60">
        <v>343</v>
      </c>
      <c r="C98" s="60">
        <v>11</v>
      </c>
      <c r="D98" s="60">
        <v>27</v>
      </c>
      <c r="E98" s="87">
        <v>0.8</v>
      </c>
      <c r="F98" s="87">
        <v>0.04</v>
      </c>
      <c r="G98" s="87">
        <v>0.06</v>
      </c>
      <c r="H98" s="87">
        <v>0.1</v>
      </c>
      <c r="I98" s="53">
        <f t="shared" si="3"/>
        <v>8.6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65</v>
      </c>
      <c r="B99" s="60">
        <v>357</v>
      </c>
      <c r="C99" s="60">
        <v>12</v>
      </c>
      <c r="D99" s="60">
        <v>27</v>
      </c>
      <c r="E99" s="87">
        <v>0.8</v>
      </c>
      <c r="F99" s="87">
        <v>0.04</v>
      </c>
      <c r="G99" s="87">
        <v>0.06</v>
      </c>
      <c r="H99" s="87">
        <v>0.1</v>
      </c>
      <c r="I99" s="53">
        <f t="shared" si="3"/>
        <v>8.1999999999999993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70</v>
      </c>
      <c r="B100" s="60">
        <v>369</v>
      </c>
      <c r="C100" s="60">
        <v>13</v>
      </c>
      <c r="D100" s="60">
        <v>26</v>
      </c>
      <c r="E100" s="65">
        <v>0.8</v>
      </c>
      <c r="F100" s="65">
        <v>0.04</v>
      </c>
      <c r="G100" s="65">
        <v>0.06</v>
      </c>
      <c r="H100" s="65">
        <v>0.1</v>
      </c>
      <c r="I100" s="53">
        <f t="shared" si="3"/>
        <v>7.8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Séquoia toujours vert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f>131+D114</f>
        <v>219</v>
      </c>
      <c r="C114" s="50">
        <v>1</v>
      </c>
      <c r="D114" s="60">
        <v>88</v>
      </c>
      <c r="E114" s="51"/>
      <c r="F114" s="51">
        <v>0.6</v>
      </c>
      <c r="G114" s="51">
        <v>0.4</v>
      </c>
      <c r="H114" s="51"/>
      <c r="I114" s="53">
        <f>IFERROR(B114/A114,"")</f>
        <v>10.95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f>226+D115</f>
        <v>317</v>
      </c>
      <c r="C115" s="50">
        <v>2</v>
      </c>
      <c r="D115" s="60">
        <v>91</v>
      </c>
      <c r="E115" s="51">
        <v>0.3</v>
      </c>
      <c r="F115" s="51">
        <v>0.42</v>
      </c>
      <c r="G115" s="51">
        <v>0.28000000000000003</v>
      </c>
      <c r="H115" s="51"/>
      <c r="I115" s="53">
        <f t="shared" ref="I115:I133" si="4">IF(A115&lt;&gt;0,(B115-(B114-D114))/(A115-A114),"")</f>
        <v>37.200000000000003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f>338+D116</f>
        <v>429</v>
      </c>
      <c r="C116" s="50">
        <v>3</v>
      </c>
      <c r="D116" s="60">
        <v>91</v>
      </c>
      <c r="E116" s="51">
        <v>0.5</v>
      </c>
      <c r="F116" s="51">
        <v>0.3</v>
      </c>
      <c r="G116" s="51">
        <v>0.2</v>
      </c>
      <c r="H116" s="51"/>
      <c r="I116" s="53">
        <f t="shared" si="4"/>
        <v>40.6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f>445+D117</f>
        <v>536</v>
      </c>
      <c r="C117" s="50">
        <v>4</v>
      </c>
      <c r="D117" s="60">
        <v>91</v>
      </c>
      <c r="E117" s="51">
        <v>0.5</v>
      </c>
      <c r="F117" s="51">
        <v>0.3</v>
      </c>
      <c r="G117" s="51">
        <v>0.2</v>
      </c>
      <c r="H117" s="51"/>
      <c r="I117" s="53">
        <f t="shared" si="4"/>
        <v>39.6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f>536+D118</f>
        <v>627</v>
      </c>
      <c r="C118" s="50">
        <v>5</v>
      </c>
      <c r="D118" s="60">
        <v>91</v>
      </c>
      <c r="E118" s="51">
        <v>0.5</v>
      </c>
      <c r="F118" s="51">
        <v>0.3</v>
      </c>
      <c r="G118" s="51">
        <v>0.2</v>
      </c>
      <c r="H118" s="51"/>
      <c r="I118" s="53">
        <f t="shared" si="4"/>
        <v>36.4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f>627+D119</f>
        <v>701</v>
      </c>
      <c r="C119" s="50">
        <v>6</v>
      </c>
      <c r="D119" s="60">
        <v>74</v>
      </c>
      <c r="E119" s="51">
        <v>0.5</v>
      </c>
      <c r="F119" s="51">
        <v>0.3</v>
      </c>
      <c r="G119" s="51">
        <v>0.2</v>
      </c>
      <c r="H119" s="51"/>
      <c r="I119" s="53">
        <f t="shared" si="4"/>
        <v>33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50</v>
      </c>
      <c r="B120" s="60">
        <f>710+D120</f>
        <v>773</v>
      </c>
      <c r="C120" s="60">
        <v>7</v>
      </c>
      <c r="D120" s="60">
        <v>63</v>
      </c>
      <c r="E120" s="87">
        <v>0.6</v>
      </c>
      <c r="F120" s="87">
        <v>0.25</v>
      </c>
      <c r="G120" s="87">
        <v>0.15</v>
      </c>
      <c r="H120" s="87"/>
      <c r="I120" s="53">
        <f t="shared" si="4"/>
        <v>29.2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55</v>
      </c>
      <c r="B121" s="60">
        <f>784+D121</f>
        <v>839</v>
      </c>
      <c r="C121" s="60">
        <v>8</v>
      </c>
      <c r="D121" s="60">
        <v>55</v>
      </c>
      <c r="E121" s="87">
        <v>0.6</v>
      </c>
      <c r="F121" s="87">
        <v>0.25</v>
      </c>
      <c r="G121" s="87">
        <v>0.15</v>
      </c>
      <c r="H121" s="87"/>
      <c r="I121" s="53">
        <f t="shared" si="4"/>
        <v>25.8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60</v>
      </c>
      <c r="B122" s="60">
        <f>847+D122</f>
        <v>895</v>
      </c>
      <c r="C122" s="60">
        <v>9</v>
      </c>
      <c r="D122" s="60">
        <v>48</v>
      </c>
      <c r="E122" s="87">
        <v>0.6</v>
      </c>
      <c r="F122" s="87">
        <v>0.25</v>
      </c>
      <c r="G122" s="87">
        <v>0.15</v>
      </c>
      <c r="H122" s="87"/>
      <c r="I122" s="53">
        <f t="shared" si="4"/>
        <v>22.2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65</v>
      </c>
      <c r="B123" s="60">
        <f>899+D123</f>
        <v>942</v>
      </c>
      <c r="C123" s="60">
        <v>10</v>
      </c>
      <c r="D123" s="60">
        <v>43</v>
      </c>
      <c r="E123" s="87">
        <v>0.6</v>
      </c>
      <c r="F123" s="87">
        <v>0.25</v>
      </c>
      <c r="G123" s="87">
        <v>0.15</v>
      </c>
      <c r="H123" s="87"/>
      <c r="I123" s="53">
        <f t="shared" si="4"/>
        <v>19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70</v>
      </c>
      <c r="B124" s="60">
        <f>940+D124</f>
        <v>978</v>
      </c>
      <c r="C124" s="60">
        <v>11</v>
      </c>
      <c r="D124" s="60">
        <v>38</v>
      </c>
      <c r="E124" s="87">
        <v>0.6</v>
      </c>
      <c r="F124" s="87">
        <v>0.25</v>
      </c>
      <c r="G124" s="87">
        <v>0.15</v>
      </c>
      <c r="H124" s="87"/>
      <c r="I124" s="53">
        <f t="shared" si="4"/>
        <v>15.8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75</v>
      </c>
      <c r="B125" s="60">
        <f>972+D125</f>
        <v>1005</v>
      </c>
      <c r="C125" s="60">
        <v>12</v>
      </c>
      <c r="D125" s="60">
        <v>33</v>
      </c>
      <c r="E125" s="87">
        <v>0.6</v>
      </c>
      <c r="F125" s="87">
        <v>0.25</v>
      </c>
      <c r="G125" s="87">
        <v>0.15</v>
      </c>
      <c r="H125" s="87"/>
      <c r="I125" s="53">
        <f t="shared" si="4"/>
        <v>13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80</v>
      </c>
      <c r="B126" s="60">
        <f>991+D126</f>
        <v>1020</v>
      </c>
      <c r="C126" s="60">
        <v>13</v>
      </c>
      <c r="D126" s="60">
        <v>29</v>
      </c>
      <c r="E126" s="65">
        <v>0.6</v>
      </c>
      <c r="F126" s="65">
        <v>0.25</v>
      </c>
      <c r="G126" s="65">
        <v>0.15</v>
      </c>
      <c r="H126" s="65"/>
      <c r="I126" s="53">
        <f t="shared" si="4"/>
        <v>9.6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vert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25</v>
      </c>
      <c r="B140" s="60">
        <f>50</f>
        <v>50</v>
      </c>
      <c r="C140" s="50">
        <v>1</v>
      </c>
      <c r="D140" s="60">
        <v>6</v>
      </c>
      <c r="E140" s="51"/>
      <c r="F140" s="51"/>
      <c r="G140" s="51"/>
      <c r="H140" s="51">
        <v>1</v>
      </c>
      <c r="I140" s="57">
        <f>IFERROR(B140/A140,"")</f>
        <v>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30</v>
      </c>
      <c r="B141" s="60">
        <f>71</f>
        <v>71</v>
      </c>
      <c r="C141" s="50">
        <v>2</v>
      </c>
      <c r="D141" s="60">
        <v>7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5.4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35</v>
      </c>
      <c r="B142" s="60">
        <f>91</f>
        <v>91</v>
      </c>
      <c r="C142" s="50">
        <v>3</v>
      </c>
      <c r="D142" s="60">
        <v>9</v>
      </c>
      <c r="E142" s="51">
        <v>0.1</v>
      </c>
      <c r="F142" s="51">
        <v>0.08</v>
      </c>
      <c r="G142" s="51">
        <v>0.12</v>
      </c>
      <c r="H142" s="51">
        <v>0.7</v>
      </c>
      <c r="I142" s="57">
        <f t="shared" si="5"/>
        <v>5.4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40</v>
      </c>
      <c r="B143" s="60">
        <f>110</f>
        <v>110</v>
      </c>
      <c r="C143" s="50">
        <v>4</v>
      </c>
      <c r="D143" s="60">
        <v>10</v>
      </c>
      <c r="E143" s="51">
        <v>0.1</v>
      </c>
      <c r="F143" s="51">
        <v>0.08</v>
      </c>
      <c r="G143" s="51">
        <v>0.12</v>
      </c>
      <c r="H143" s="51">
        <v>0.7</v>
      </c>
      <c r="I143" s="57">
        <f t="shared" si="5"/>
        <v>5.6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45</v>
      </c>
      <c r="B144" s="60">
        <f>128</f>
        <v>128</v>
      </c>
      <c r="C144" s="50">
        <v>5</v>
      </c>
      <c r="D144" s="60">
        <v>10</v>
      </c>
      <c r="E144" s="51">
        <v>0.2</v>
      </c>
      <c r="F144" s="51">
        <v>0.04</v>
      </c>
      <c r="G144" s="51">
        <v>0.06</v>
      </c>
      <c r="H144" s="51">
        <v>0.7</v>
      </c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50</v>
      </c>
      <c r="B145" s="60">
        <f>144</f>
        <v>144</v>
      </c>
      <c r="C145" s="50">
        <v>6</v>
      </c>
      <c r="D145" s="60">
        <v>10</v>
      </c>
      <c r="E145" s="51">
        <v>0.2</v>
      </c>
      <c r="F145" s="51">
        <v>0.04</v>
      </c>
      <c r="G145" s="51">
        <v>0.06</v>
      </c>
      <c r="H145" s="51">
        <v>0.7</v>
      </c>
      <c r="I145" s="57">
        <f t="shared" si="5"/>
        <v>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55</v>
      </c>
      <c r="B146" s="60">
        <f>158</f>
        <v>158</v>
      </c>
      <c r="C146" s="50">
        <v>7</v>
      </c>
      <c r="D146" s="60">
        <v>11</v>
      </c>
      <c r="E146" s="51">
        <v>0.2</v>
      </c>
      <c r="F146" s="51">
        <v>0.04</v>
      </c>
      <c r="G146" s="51">
        <v>0.06</v>
      </c>
      <c r="H146" s="51">
        <v>0.7</v>
      </c>
      <c r="I146" s="57">
        <f t="shared" si="5"/>
        <v>4.8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60</v>
      </c>
      <c r="B147" s="60">
        <f>171</f>
        <v>171</v>
      </c>
      <c r="C147" s="50">
        <v>8</v>
      </c>
      <c r="D147" s="60">
        <v>11</v>
      </c>
      <c r="E147" s="51">
        <v>0.2</v>
      </c>
      <c r="F147" s="51">
        <v>0.04</v>
      </c>
      <c r="G147" s="51">
        <v>0.06</v>
      </c>
      <c r="H147" s="51">
        <v>0.7</v>
      </c>
      <c r="I147" s="57">
        <f>IF(A147&lt;&gt;0,(B147-(B146-D146))/(A147-A146),"")</f>
        <v>4.8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65</v>
      </c>
      <c r="B148" s="60">
        <f>183</f>
        <v>183</v>
      </c>
      <c r="C148" s="50">
        <v>9</v>
      </c>
      <c r="D148" s="60">
        <v>11</v>
      </c>
      <c r="E148" s="51">
        <v>0.2</v>
      </c>
      <c r="F148" s="51">
        <v>0.04</v>
      </c>
      <c r="G148" s="51">
        <v>0.06</v>
      </c>
      <c r="H148" s="51">
        <v>0.7</v>
      </c>
      <c r="I148" s="57">
        <f t="shared" si="5"/>
        <v>4.5999999999999996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70</v>
      </c>
      <c r="B149" s="60">
        <f>193</f>
        <v>193</v>
      </c>
      <c r="C149" s="50">
        <v>10</v>
      </c>
      <c r="D149" s="60">
        <v>10</v>
      </c>
      <c r="E149" s="51">
        <v>0.2</v>
      </c>
      <c r="F149" s="51">
        <v>0.04</v>
      </c>
      <c r="G149" s="51">
        <v>0.06</v>
      </c>
      <c r="H149" s="51">
        <v>0.7</v>
      </c>
      <c r="I149" s="57">
        <f t="shared" si="5"/>
        <v>4.2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75</v>
      </c>
      <c r="B150" s="60">
        <f>203</f>
        <v>203</v>
      </c>
      <c r="C150" s="50">
        <v>11</v>
      </c>
      <c r="D150" s="60">
        <v>10</v>
      </c>
      <c r="E150" s="51">
        <v>0.3</v>
      </c>
      <c r="F150" s="51">
        <v>0.04</v>
      </c>
      <c r="G150" s="51">
        <v>0.06</v>
      </c>
      <c r="H150" s="51">
        <v>0.6</v>
      </c>
      <c r="I150" s="57">
        <f t="shared" si="5"/>
        <v>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80</v>
      </c>
      <c r="B151" s="60">
        <f>211</f>
        <v>211</v>
      </c>
      <c r="C151" s="50">
        <v>12</v>
      </c>
      <c r="D151" s="60">
        <v>10</v>
      </c>
      <c r="E151" s="51">
        <v>0.3</v>
      </c>
      <c r="F151" s="51">
        <v>0.04</v>
      </c>
      <c r="G151" s="51">
        <v>0.06</v>
      </c>
      <c r="H151" s="51">
        <v>0.6</v>
      </c>
      <c r="I151" s="57">
        <f t="shared" si="5"/>
        <v>3.6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85</v>
      </c>
      <c r="B152" s="60">
        <f>219</f>
        <v>219</v>
      </c>
      <c r="C152" s="50">
        <v>13</v>
      </c>
      <c r="D152" s="60">
        <v>10</v>
      </c>
      <c r="E152" s="54">
        <v>0.3</v>
      </c>
      <c r="F152" s="54">
        <v>0.04</v>
      </c>
      <c r="G152" s="54">
        <v>0.06</v>
      </c>
      <c r="H152" s="54">
        <v>0.6</v>
      </c>
      <c r="I152" s="57">
        <f t="shared" si="5"/>
        <v>3.6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90</v>
      </c>
      <c r="B153" s="60">
        <f>226</f>
        <v>226</v>
      </c>
      <c r="C153" s="50">
        <v>14</v>
      </c>
      <c r="D153" s="60">
        <v>10</v>
      </c>
      <c r="E153" s="54">
        <v>0.3</v>
      </c>
      <c r="F153" s="54">
        <v>0.04</v>
      </c>
      <c r="G153" s="54">
        <v>0.06</v>
      </c>
      <c r="H153" s="54">
        <v>0.6</v>
      </c>
      <c r="I153" s="57">
        <f t="shared" si="5"/>
        <v>3.4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95</v>
      </c>
      <c r="B154" s="56">
        <v>233</v>
      </c>
      <c r="C154" s="50">
        <v>15</v>
      </c>
      <c r="D154" s="50">
        <v>9</v>
      </c>
      <c r="E154" s="54">
        <v>0.3</v>
      </c>
      <c r="F154" s="54">
        <v>0.04</v>
      </c>
      <c r="G154" s="54">
        <v>0.06</v>
      </c>
      <c r="H154" s="54">
        <v>0.6</v>
      </c>
      <c r="I154" s="57">
        <f t="shared" si="5"/>
        <v>3.4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100</v>
      </c>
      <c r="B155" s="56">
        <v>239</v>
      </c>
      <c r="C155" s="50">
        <v>16</v>
      </c>
      <c r="D155" s="50">
        <v>9</v>
      </c>
      <c r="E155" s="54">
        <v>0.4</v>
      </c>
      <c r="F155" s="54">
        <v>0.04</v>
      </c>
      <c r="G155" s="54">
        <v>0.06</v>
      </c>
      <c r="H155" s="54">
        <v>0.5</v>
      </c>
      <c r="I155" s="57">
        <f t="shared" si="5"/>
        <v>3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105</v>
      </c>
      <c r="B156" s="56">
        <v>244</v>
      </c>
      <c r="C156" s="50">
        <v>17</v>
      </c>
      <c r="D156" s="50">
        <v>9</v>
      </c>
      <c r="E156" s="54">
        <v>0.4</v>
      </c>
      <c r="F156" s="54">
        <v>0.04</v>
      </c>
      <c r="G156" s="54">
        <v>0.06</v>
      </c>
      <c r="H156" s="54">
        <v>0.5</v>
      </c>
      <c r="I156" s="57">
        <f t="shared" si="5"/>
        <v>2.8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110</v>
      </c>
      <c r="B157" s="56">
        <v>250</v>
      </c>
      <c r="C157" s="50">
        <v>18</v>
      </c>
      <c r="D157" s="50">
        <v>8</v>
      </c>
      <c r="E157" s="54">
        <v>0.4</v>
      </c>
      <c r="F157" s="54">
        <v>0.04</v>
      </c>
      <c r="G157" s="54">
        <v>0.06</v>
      </c>
      <c r="H157" s="54">
        <v>0.5</v>
      </c>
      <c r="I157" s="57">
        <f t="shared" si="5"/>
        <v>3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115</v>
      </c>
      <c r="B158" s="56">
        <v>254</v>
      </c>
      <c r="C158" s="50">
        <v>19</v>
      </c>
      <c r="D158" s="50">
        <v>8</v>
      </c>
      <c r="E158" s="54">
        <v>0.4</v>
      </c>
      <c r="F158" s="54">
        <v>0.04</v>
      </c>
      <c r="G158" s="54">
        <v>0.06</v>
      </c>
      <c r="H158" s="54">
        <v>0.5</v>
      </c>
      <c r="I158" s="57">
        <f t="shared" si="5"/>
        <v>2.4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>
        <v>120</v>
      </c>
      <c r="B159" s="56">
        <v>259</v>
      </c>
      <c r="C159" s="50">
        <v>20</v>
      </c>
      <c r="D159" s="58">
        <v>8</v>
      </c>
      <c r="E159" s="54">
        <v>0.4</v>
      </c>
      <c r="F159" s="54">
        <v>0.04</v>
      </c>
      <c r="G159" s="54">
        <v>0.06</v>
      </c>
      <c r="H159" s="54">
        <v>0.5</v>
      </c>
      <c r="I159" s="57">
        <f t="shared" si="5"/>
        <v>2.6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Séquoia toujours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vert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371.7282125501186</v>
      </c>
      <c r="T3" s="59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218.32525311070435</v>
      </c>
      <c r="AO3" s="59">
        <f>IF('Données projet'!E10&gt;30,$AM$33-$H$33,LOOKUP('Données projet'!$E$10,$A$3:$A$203,AM3:AM203)-LOOKUP('Données projet'!$E$10,$A$3:$A$203,$H$3:$H$203))</f>
        <v>275.36315264099204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446.62872871405051</v>
      </c>
      <c r="BJ3" s="59">
        <f>IF('Données projet'!E11&gt;30,$BH$33-$H$33,LOOKUP('Données projet'!$E$11,$A$3:$A$203,BH3:BH203)-LOOKUP('Données projet'!$E$11,$A$3:$A$203,$H$3:$H$203))</f>
        <v>471.28934889691658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534.99316143569899</v>
      </c>
      <c r="CE3" s="59">
        <f>IF('Données projet'!E12&gt;30,$CC$33-$H$33,LOOKUP('Données projet'!$E$12,$A$3:$A$203,CC3:CC203)-LOOKUP('Données projet'!$E$12,$A$3:$A$203,$H$3:$H$203))</f>
        <v>449.56965858934262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389.89050053480827</v>
      </c>
      <c r="CZ3" s="59">
        <f>IF('Données projet'!E13&gt;30,$CX$33-$H$33,LOOKUP('Données projet'!$E$13,$A$3:$A$203,CX3:CX203)-LOOKUP('Données projet'!$E$13,$A$3:$A$203,$H$3:$H$203))</f>
        <v>216.40816051909616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1.0723992794783614</v>
      </c>
      <c r="P4" s="13">
        <f>EXP(-1.0587+0.8836*LN(O4)+0.284)</f>
        <v>0.49020200157376026</v>
      </c>
      <c r="Q4" s="20">
        <f t="shared" ref="Q4:Q34" si="2">(O4+P4)*0.475*44/12</f>
        <v>2.7215305644991119</v>
      </c>
      <c r="R4" s="59">
        <f t="shared" si="0"/>
        <v>260.61041945338798</v>
      </c>
      <c r="S4" s="59">
        <f ca="1">AVERAGE(OFFSET($R$3,0,0,'Données projet'!$E$9+1,1))-AVERAGE(OFFSET($H$3,0,0,'Données projet'!$E$9+1,1))</f>
        <v>371.7282125501186</v>
      </c>
      <c r="T4" s="59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8.16</v>
      </c>
      <c r="AI4" s="13">
        <f>IF('Données projet'!$A$62&gt;35,AI3+AH4-AQ3,IF(A4&lt;'Données projet'!$A$62,$AF$205^A4,IF(A4='Données projet'!$A$62,'Données projet'!$B$62,AI3+AH4-AQ3)))</f>
        <v>1.2370441695353693</v>
      </c>
      <c r="AJ4" s="13">
        <f>AI4*VLOOKUP('Données projet'!$B$10,Paramètres!$A$1:$I$89,3,0)*VLOOKUP('Données projet'!$B$10,Paramètres!$A$1:$I$89,5,0)</f>
        <v>0.57893667134255289</v>
      </c>
      <c r="AK4" s="13">
        <f>EXP(-1.0587+0.8836*LN(AJ4)+0.284)</f>
        <v>0.28432357375496231</v>
      </c>
      <c r="AL4" s="20">
        <f t="shared" ref="AL4:AL67" si="4">(AJ4+AK4)*0.475*44/12</f>
        <v>1.5035115935448389</v>
      </c>
      <c r="AM4" s="59">
        <f t="shared" ref="AM4:AM67" si="5">AL4+(AD4+AE4)*44/12</f>
        <v>259.39240048243369</v>
      </c>
      <c r="AN4" s="59">
        <f ca="1">AVERAGE(OFFSET($AM$3,0,0,'Données projet'!$E$10+1,1))-AVERAGE(OFFSET($H$3,0,0,'Données projet'!$E$10+1,1))</f>
        <v>218.32525311070435</v>
      </c>
      <c r="AO4" s="59">
        <f>$AO$3</f>
        <v>275.36315264099204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</v>
      </c>
      <c r="BD4" s="12">
        <f>IF('Données projet'!$A$88&gt;35,BD3+BC4-BL3,IF(A4&lt;'Données projet'!$A$88,$BA$205^A4,IF(A4='Données projet'!$A$88,'Données projet'!$B$88,BD3+BC4-BL3)))</f>
        <v>1.4387268865499157</v>
      </c>
      <c r="BE4" s="13">
        <f>BD4*VLOOKUP('Données projet'!$B$11,Paramètres!$A$1:$I$89,3,0)*VLOOKUP('Données projet'!$B$11,Paramètres!$A$1:$I$89,5,0)</f>
        <v>1.3690925052408998</v>
      </c>
      <c r="BF4" s="13">
        <f>EXP(-1.0587+0.8836*LN(BE4)+0.284)</f>
        <v>0.60828076125947528</v>
      </c>
      <c r="BG4" s="20">
        <f t="shared" ref="BG4:BG67" si="7">(BE4+BF4)*0.475*44/12</f>
        <v>3.4439251058214864</v>
      </c>
      <c r="BH4" s="59">
        <f t="shared" ref="BH4:BH67" si="8">BG4+(AY4+AZ4)*44/12</f>
        <v>261.33281399471036</v>
      </c>
      <c r="BI4" s="59">
        <f ca="1">AVERAGE(OFFSET($BH$3,0,0,'Données projet'!$E$11+1,1))-AVERAGE(OFFSET($H$3,0,0,'Données projet'!$E$11+1,1))</f>
        <v>446.62872871405051</v>
      </c>
      <c r="BJ4" s="59">
        <f>$BJ$3</f>
        <v>471.28934889691658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10.95</v>
      </c>
      <c r="BY4" s="12">
        <f>IF('Données projet'!$A$114&gt;35,BY3+BX4-CG3,IF(A4&lt;'Données projet'!$A$114,$BV$205^A4,IF(A4='Données projet'!$A$114,'Données projet'!$B$114,BY3+BX4-CG3)))</f>
        <v>1.3092488639817661</v>
      </c>
      <c r="BZ4" s="13">
        <f>BY4*VLOOKUP('Données projet'!$B$12,Paramètres!$A$1:$I$89,3,0)*VLOOKUP('Données projet'!$B$12,Paramètres!$A$1:$I$89,5,0)</f>
        <v>0.57868799787994063</v>
      </c>
      <c r="CA4" s="13">
        <f>EXP(-1.0587+0.8836*LN(BZ4)+0.284)</f>
        <v>0.28421565974844443</v>
      </c>
      <c r="CB4" s="20">
        <f t="shared" ref="CB4:CB67" si="10">(BZ4+CA4)*0.475*44/12</f>
        <v>1.5028905370361036</v>
      </c>
      <c r="CC4" s="59">
        <f t="shared" ref="CC4:CC67" si="11">CB4+(BT4+BU4)*44/12</f>
        <v>259.39177942592494</v>
      </c>
      <c r="CD4" s="59">
        <f ca="1">AVERAGE(OFFSET($CC$3,0,0,'Données projet'!$E$12+1,1))-AVERAGE(OFFSET($H$3,0,0,'Données projet'!$E$12+1,1))</f>
        <v>534.99316143569899</v>
      </c>
      <c r="CE4" s="59">
        <f>$CE$3</f>
        <v>449.56965858934262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</v>
      </c>
      <c r="CT4" s="12">
        <f>IF('Données projet'!$A$140&gt;35,CT3+CS4-DB3,IF(A4&lt;'Données projet'!$A$140,$CQ$205^A4,IF(A4='Données projet'!$A$140,'Données projet'!$B$140,CT3+CS4-DB3)))</f>
        <v>1.1693884504284608</v>
      </c>
      <c r="CU4" s="17">
        <f>CT4*VLOOKUP('Données projet'!$B$13,Paramètres!$A$1:$I$89,3,0)*VLOOKUP('Données projet'!$B$13,Paramètres!$A$1:$I$89,5,0)</f>
        <v>1.3316995673479313</v>
      </c>
      <c r="CV4" s="13">
        <f>EXP(-1.0587+0.8836*LN(CU4)+0.284)</f>
        <v>0.59357750640477736</v>
      </c>
      <c r="CW4" s="20">
        <f t="shared" ref="CW4:CW67" si="13">(CU4+CV4)*0.475*44/12</f>
        <v>3.3531909034526346</v>
      </c>
      <c r="CX4" s="59">
        <f t="shared" ref="CX4:CX67" si="14">CW4+(CO4+CP4)*44/12</f>
        <v>261.24207979234149</v>
      </c>
      <c r="CY4" s="59">
        <f ca="1">AVERAGE(OFFSET($CX$3,0,0,'Données projet'!$E$13+1,1))-AVERAGE(OFFSET($H$3,0,0,'Données projet'!$E$13+1,1))</f>
        <v>389.89050053480827</v>
      </c>
      <c r="CZ4" s="59">
        <f>$CZ$3</f>
        <v>216.40816051909616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1.2710435616995015</v>
      </c>
      <c r="P5" s="13">
        <f t="shared" ref="P5:P68" si="33">EXP(-1.0587+0.8836*LN(O5)+0.284)</f>
        <v>0.56962392939903683</v>
      </c>
      <c r="Q5" s="20">
        <f t="shared" si="2"/>
        <v>3.2058292136632871</v>
      </c>
      <c r="R5" s="59">
        <f t="shared" si="0"/>
        <v>262.31694032477441</v>
      </c>
      <c r="S5" s="59">
        <f ca="1">AVERAGE(OFFSET($R$3,0,0,'Données projet'!$E$9+1,1))-AVERAGE(OFFSET($H$3,0,0,'Données projet'!$E$9+1,1))</f>
        <v>371.7282125501186</v>
      </c>
      <c r="T5" s="59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8.16</v>
      </c>
      <c r="AI5" s="13">
        <f>IF('Données projet'!$A$62&gt;35,AI4+AH5-AQ4,IF(A5&lt;'Données projet'!$A$62,$AF$205^A5,IF(A5='Données projet'!$A$62,'Données projet'!$B$62,AI4+AH5-AQ4)))</f>
        <v>1.5302782773814516</v>
      </c>
      <c r="AJ5" s="13">
        <f>AI5*VLOOKUP('Données projet'!$B$10,Paramètres!$A$1:$I$89,3,0)*VLOOKUP('Données projet'!$B$10,Paramètres!$A$1:$I$89,5,0)</f>
        <v>0.71617023381451927</v>
      </c>
      <c r="AK5" s="13">
        <f t="shared" ref="AK5:AK68" si="35">EXP(-1.0587+0.8836*LN(AJ5)+0.284)</f>
        <v>0.34311873960678219</v>
      </c>
      <c r="AL5" s="20">
        <f t="shared" si="4"/>
        <v>1.8449282953754329</v>
      </c>
      <c r="AM5" s="59">
        <f t="shared" si="5"/>
        <v>260.95603940648658</v>
      </c>
      <c r="AN5" s="59">
        <f ca="1">AVERAGE(OFFSET($AM$3,0,0,'Données projet'!$E$10+1,1))-AVERAGE(OFFSET($H$3,0,0,'Données projet'!$E$10+1,1))</f>
        <v>218.32525311070435</v>
      </c>
      <c r="AO5" s="59">
        <f t="shared" ref="AO5:AO68" si="36">$AO$3</f>
        <v>275.36315264099204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</v>
      </c>
      <c r="BD5" s="12">
        <f>IF('Données projet'!$A$88&gt;35,BD4+BC5-BL4,IF(A5&lt;'Données projet'!$A$88,$BA$205^A5,IF(A5='Données projet'!$A$88,'Données projet'!$B$88,BD4+BC5-BL4)))</f>
        <v>2.0699350540816139</v>
      </c>
      <c r="BE5" s="13">
        <f>BD5*VLOOKUP('Données projet'!$B$11,Paramètres!$A$1:$I$89,3,0)*VLOOKUP('Données projet'!$B$11,Paramètres!$A$1:$I$89,5,0)</f>
        <v>1.9697501974640639</v>
      </c>
      <c r="BF5" s="13">
        <f t="shared" ref="BF5:BF68" si="37">EXP(-1.0587+0.8836*LN(BE5)+0.284)</f>
        <v>0.83886825409775678</v>
      </c>
      <c r="BG5" s="20">
        <f t="shared" si="7"/>
        <v>4.8916771364701708</v>
      </c>
      <c r="BH5" s="59">
        <f t="shared" si="8"/>
        <v>264.00278824758129</v>
      </c>
      <c r="BI5" s="59">
        <f ca="1">AVERAGE(OFFSET($BH$3,0,0,'Données projet'!$E$11+1,1))-AVERAGE(OFFSET($H$3,0,0,'Données projet'!$E$11+1,1))</f>
        <v>446.62872871405051</v>
      </c>
      <c r="BJ5" s="59">
        <f t="shared" ref="BJ5:BJ68" si="38">$BJ$3</f>
        <v>471.28934889691658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10.95</v>
      </c>
      <c r="BY5" s="12">
        <f>IF('Données projet'!$A$114&gt;35,BY4+BX5-CG4,IF(A5&lt;'Données projet'!$A$114,$BV$205^A5,IF(A5='Données projet'!$A$114,'Données projet'!$B$114,BY4+BX5-CG4)))</f>
        <v>1.7141325878375451</v>
      </c>
      <c r="BZ5" s="13">
        <f>BY5*VLOOKUP('Données projet'!$B$12,Paramètres!$A$1:$I$89,3,0)*VLOOKUP('Données projet'!$B$12,Paramètres!$A$1:$I$89,5,0)</f>
        <v>0.75764660382419502</v>
      </c>
      <c r="CA5" s="13">
        <f t="shared" ref="CA5:CA68" si="39">EXP(-1.0587+0.8836*LN(BZ5)+0.284)</f>
        <v>0.36061918210601845</v>
      </c>
      <c r="CB5" s="20">
        <f t="shared" si="10"/>
        <v>1.947646243828455</v>
      </c>
      <c r="CC5" s="59">
        <f t="shared" si="11"/>
        <v>261.05875735493959</v>
      </c>
      <c r="CD5" s="59">
        <f ca="1">AVERAGE(OFFSET($CC$3,0,0,'Données projet'!$E$12+1,1))-AVERAGE(OFFSET($H$3,0,0,'Données projet'!$E$12+1,1))</f>
        <v>534.99316143569899</v>
      </c>
      <c r="CE5" s="59">
        <f t="shared" ref="CE5:CE68" si="40">$CE$3</f>
        <v>449.56965858934262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</v>
      </c>
      <c r="CT5" s="12">
        <f>IF('Données projet'!$A$140&gt;35,CT4+CS5-DB4,IF(A5&lt;'Données projet'!$A$140,$CQ$205^A5,IF(A5='Données projet'!$A$140,'Données projet'!$B$140,CT4+CS5-DB4)))</f>
        <v>1.3674693479954769</v>
      </c>
      <c r="CU5" s="17">
        <f>CT5*VLOOKUP('Données projet'!$B$13,Paramètres!$A$1:$I$89,3,0)*VLOOKUP('Données projet'!$B$13,Paramètres!$A$1:$I$89,5,0)</f>
        <v>1.5572740934972491</v>
      </c>
      <c r="CV5" s="13">
        <f t="shared" ref="CV5:CV68" si="41">EXP(-1.0587+0.8836*LN(CU5)+0.284)</f>
        <v>0.6815941131832165</v>
      </c>
      <c r="CW5" s="20">
        <f t="shared" si="13"/>
        <v>3.8993621266351446</v>
      </c>
      <c r="CX5" s="59">
        <f t="shared" si="14"/>
        <v>263.01047323774628</v>
      </c>
      <c r="CY5" s="59">
        <f ca="1">AVERAGE(OFFSET($CX$3,0,0,'Données projet'!$E$13+1,1))-AVERAGE(OFFSET($H$3,0,0,'Données projet'!$E$13+1,1))</f>
        <v>389.89050053480827</v>
      </c>
      <c r="CZ5" s="59">
        <f t="shared" ref="CZ5:CZ68" si="42">$CZ$3</f>
        <v>216.40816051909616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1.5064834214767417</v>
      </c>
      <c r="P6" s="13">
        <f t="shared" si="33"/>
        <v>0.66191370068319888</v>
      </c>
      <c r="Q6" s="20">
        <f t="shared" si="2"/>
        <v>3.7766249877618967</v>
      </c>
      <c r="R6" s="59">
        <f t="shared" si="0"/>
        <v>264.10995832109523</v>
      </c>
      <c r="S6" s="59">
        <f ca="1">AVERAGE(OFFSET($R$3,0,0,'Données projet'!$E$9+1,1))-AVERAGE(OFFSET($H$3,0,0,'Données projet'!$E$9+1,1))</f>
        <v>371.7282125501186</v>
      </c>
      <c r="T6" s="59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8.16</v>
      </c>
      <c r="AI6" s="13">
        <f>IF('Données projet'!$A$62&gt;35,AI5+AH6-AQ5,IF(A6&lt;'Données projet'!$A$62,$AF$205^A6,IF(A6='Données projet'!$A$62,'Données projet'!$B$62,AI5+AH6-AQ5)))</f>
        <v>1.8930218208013534</v>
      </c>
      <c r="AJ6" s="13">
        <f>AI6*VLOOKUP('Données projet'!$B$10,Paramètres!$A$1:$I$89,3,0)*VLOOKUP('Données projet'!$B$10,Paramètres!$A$1:$I$89,5,0)</f>
        <v>0.88593421213503343</v>
      </c>
      <c r="AK6" s="13">
        <f t="shared" si="35"/>
        <v>0.41407213589264363</v>
      </c>
      <c r="AL6" s="20">
        <f t="shared" si="4"/>
        <v>2.2641777228148707</v>
      </c>
      <c r="AM6" s="59">
        <f t="shared" si="5"/>
        <v>262.59751105614816</v>
      </c>
      <c r="AN6" s="59">
        <f ca="1">AVERAGE(OFFSET($AM$3,0,0,'Données projet'!$E$10+1,1))-AVERAGE(OFFSET($H$3,0,0,'Données projet'!$E$10+1,1))</f>
        <v>218.32525311070435</v>
      </c>
      <c r="AO6" s="59">
        <f t="shared" si="36"/>
        <v>275.36315264099204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</v>
      </c>
      <c r="BD6" s="12">
        <f>IF('Données projet'!$A$88&gt;35,BD5+BC6-BL5,IF(A6&lt;'Données projet'!$A$88,$BA$205^A6,IF(A6='Données projet'!$A$88,'Données projet'!$B$88,BD5+BC6-BL5)))</f>
        <v>2.9780712157193716</v>
      </c>
      <c r="BE6" s="13">
        <f>BD6*VLOOKUP('Données projet'!$B$11,Paramètres!$A$1:$I$89,3,0)*VLOOKUP('Données projet'!$B$11,Paramètres!$A$1:$I$89,5,0)</f>
        <v>2.8339325688785544</v>
      </c>
      <c r="BF6" s="13">
        <f t="shared" si="37"/>
        <v>1.1568670136401706</v>
      </c>
      <c r="BG6" s="20">
        <f t="shared" si="7"/>
        <v>6.9506426062201117</v>
      </c>
      <c r="BH6" s="59">
        <f t="shared" si="8"/>
        <v>267.28397593955344</v>
      </c>
      <c r="BI6" s="59">
        <f ca="1">AVERAGE(OFFSET($BH$3,0,0,'Données projet'!$E$11+1,1))-AVERAGE(OFFSET($H$3,0,0,'Données projet'!$E$11+1,1))</f>
        <v>446.62872871405051</v>
      </c>
      <c r="BJ6" s="59">
        <f t="shared" si="38"/>
        <v>471.28934889691658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10.95</v>
      </c>
      <c r="BY6" s="12">
        <f>IF('Données projet'!$A$114&gt;35,BY5+BX6-CG5,IF(A6&lt;'Données projet'!$A$114,$BV$205^A6,IF(A6='Données projet'!$A$114,'Données projet'!$B$114,BY5+BX6-CG5)))</f>
        <v>2.2442261433404309</v>
      </c>
      <c r="BZ6" s="13">
        <f>BY6*VLOOKUP('Données projet'!$B$12,Paramètres!$A$1:$I$89,3,0)*VLOOKUP('Données projet'!$B$12,Paramètres!$A$1:$I$89,5,0)</f>
        <v>0.99194795535647062</v>
      </c>
      <c r="CA6" s="13">
        <f t="shared" si="39"/>
        <v>0.45756167910633733</v>
      </c>
      <c r="CB6" s="20">
        <f t="shared" si="10"/>
        <v>2.524562613356057</v>
      </c>
      <c r="CC6" s="59">
        <f t="shared" si="11"/>
        <v>262.85789594668938</v>
      </c>
      <c r="CD6" s="59">
        <f ca="1">AVERAGE(OFFSET($CC$3,0,0,'Données projet'!$E$12+1,1))-AVERAGE(OFFSET($H$3,0,0,'Données projet'!$E$12+1,1))</f>
        <v>534.99316143569899</v>
      </c>
      <c r="CE6" s="59">
        <f t="shared" si="40"/>
        <v>449.56965858934262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</v>
      </c>
      <c r="CT6" s="12">
        <f>IF('Données projet'!$A$140&gt;35,CT5+CS6-DB5,IF(A6&lt;'Données projet'!$A$140,$CQ$205^A6,IF(A6='Données projet'!$A$140,'Données projet'!$B$140,CT5+CS6-DB5)))</f>
        <v>1.5991028618608485</v>
      </c>
      <c r="CU6" s="17">
        <f>CT6*VLOOKUP('Données projet'!$B$13,Paramètres!$A$1:$I$89,3,0)*VLOOKUP('Données projet'!$B$13,Paramètres!$A$1:$I$89,5,0)</f>
        <v>1.8210583390871342</v>
      </c>
      <c r="CV6" s="13">
        <f t="shared" si="41"/>
        <v>0.7826619609288421</v>
      </c>
      <c r="CW6" s="20">
        <f t="shared" si="13"/>
        <v>4.5348128558611593</v>
      </c>
      <c r="CX6" s="59">
        <f t="shared" si="14"/>
        <v>264.86814618919448</v>
      </c>
      <c r="CY6" s="59">
        <f ca="1">AVERAGE(OFFSET($CX$3,0,0,'Données projet'!$E$13+1,1))-AVERAGE(OFFSET($H$3,0,0,'Données projet'!$E$13+1,1))</f>
        <v>389.89050053480827</v>
      </c>
      <c r="CZ6" s="59">
        <f t="shared" si="42"/>
        <v>216.40816051909616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1.7855346327782433</v>
      </c>
      <c r="P7" s="13">
        <f t="shared" si="33"/>
        <v>0.7691561476610751</v>
      </c>
      <c r="Q7" s="20">
        <f t="shared" si="2"/>
        <v>4.4494197759318128</v>
      </c>
      <c r="R7" s="59">
        <f t="shared" si="0"/>
        <v>266.00497533148734</v>
      </c>
      <c r="S7" s="59">
        <f ca="1">AVERAGE(OFFSET($R$3,0,0,'Données projet'!$E$9+1,1))-AVERAGE(OFFSET($H$3,0,0,'Données projet'!$E$9+1,1))</f>
        <v>371.7282125501186</v>
      </c>
      <c r="T7" s="59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8.16</v>
      </c>
      <c r="AI7" s="13">
        <f>IF('Données projet'!$A$62&gt;35,AI6+AH7-AQ6,IF(A7&lt;'Données projet'!$A$62,$AF$205^A7,IF(A7='Données projet'!$A$62,'Données projet'!$B$62,AI6+AH7-AQ6)))</f>
        <v>2.341751606225543</v>
      </c>
      <c r="AJ7" s="13">
        <f>AI7*VLOOKUP('Données projet'!$B$10,Paramètres!$A$1:$I$89,3,0)*VLOOKUP('Données projet'!$B$10,Paramètres!$A$1:$I$89,5,0)</f>
        <v>1.0959397517135541</v>
      </c>
      <c r="AK7" s="13">
        <f t="shared" si="35"/>
        <v>0.49969795855273308</v>
      </c>
      <c r="AL7" s="20">
        <f t="shared" si="4"/>
        <v>2.7790690120471169</v>
      </c>
      <c r="AM7" s="59">
        <f t="shared" si="5"/>
        <v>264.33462456760265</v>
      </c>
      <c r="AN7" s="59">
        <f ca="1">AVERAGE(OFFSET($AM$3,0,0,'Données projet'!$E$10+1,1))-AVERAGE(OFFSET($H$3,0,0,'Données projet'!$E$10+1,1))</f>
        <v>218.32525311070435</v>
      </c>
      <c r="AO7" s="59">
        <f t="shared" si="36"/>
        <v>275.36315264099204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</v>
      </c>
      <c r="BD7" s="12">
        <f>IF('Données projet'!$A$88&gt;35,BD6+BC7-BL6,IF(A7&lt;'Données projet'!$A$88,$BA$205^A7,IF(A7='Données projet'!$A$88,'Données projet'!$B$88,BD6+BC7-BL6)))</f>
        <v>4.284631128115854</v>
      </c>
      <c r="BE7" s="13">
        <f>BD7*VLOOKUP('Données projet'!$B$11,Paramètres!$A$1:$I$89,3,0)*VLOOKUP('Données projet'!$B$11,Paramètres!$A$1:$I$89,5,0)</f>
        <v>4.0772549815150469</v>
      </c>
      <c r="BF7" s="13">
        <f t="shared" si="37"/>
        <v>1.5954129634911227</v>
      </c>
      <c r="BG7" s="20">
        <f t="shared" si="7"/>
        <v>9.8798966708857439</v>
      </c>
      <c r="BH7" s="59">
        <f t="shared" si="8"/>
        <v>271.43545222644127</v>
      </c>
      <c r="BI7" s="59">
        <f ca="1">AVERAGE(OFFSET($BH$3,0,0,'Données projet'!$E$11+1,1))-AVERAGE(OFFSET($H$3,0,0,'Données projet'!$E$11+1,1))</f>
        <v>446.62872871405051</v>
      </c>
      <c r="BJ7" s="59">
        <f t="shared" si="38"/>
        <v>471.28934889691658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10.95</v>
      </c>
      <c r="BY7" s="12">
        <f>IF('Données projet'!$A$114&gt;35,BY6+BX7-CG6,IF(A7&lt;'Données projet'!$A$114,$BV$205^A7,IF(A7='Données projet'!$A$114,'Données projet'!$B$114,BY6+BX7-CG6)))</f>
        <v>2.9382505286866394</v>
      </c>
      <c r="BZ7" s="13">
        <f>BY7*VLOOKUP('Données projet'!$B$12,Paramètres!$A$1:$I$89,3,0)*VLOOKUP('Données projet'!$B$12,Paramètres!$A$1:$I$89,5,0)</f>
        <v>1.2987067336794949</v>
      </c>
      <c r="CA7" s="13">
        <f t="shared" si="39"/>
        <v>0.58056448623706403</v>
      </c>
      <c r="CB7" s="20">
        <f t="shared" si="10"/>
        <v>3.2730640413546737</v>
      </c>
      <c r="CC7" s="59">
        <f t="shared" si="11"/>
        <v>264.82861959691024</v>
      </c>
      <c r="CD7" s="59">
        <f ca="1">AVERAGE(OFFSET($CC$3,0,0,'Données projet'!$E$12+1,1))-AVERAGE(OFFSET($H$3,0,0,'Données projet'!$E$12+1,1))</f>
        <v>534.99316143569899</v>
      </c>
      <c r="CE7" s="59">
        <f t="shared" si="40"/>
        <v>449.56965858934262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</v>
      </c>
      <c r="CT7" s="12">
        <f>IF('Données projet'!$A$140&gt;35,CT6+CS7-DB6,IF(A7&lt;'Données projet'!$A$140,$CQ$205^A7,IF(A7='Données projet'!$A$140,'Données projet'!$B$140,CT6+CS7-DB6)))</f>
        <v>1.8699724177071748</v>
      </c>
      <c r="CU7" s="17">
        <f>CT7*VLOOKUP('Données projet'!$B$13,Paramètres!$A$1:$I$89,3,0)*VLOOKUP('Données projet'!$B$13,Paramètres!$A$1:$I$89,5,0)</f>
        <v>2.129524589284931</v>
      </c>
      <c r="CV7" s="13">
        <f t="shared" si="41"/>
        <v>0.89871630819135451</v>
      </c>
      <c r="CW7" s="20">
        <f t="shared" si="13"/>
        <v>5.274186229771197</v>
      </c>
      <c r="CX7" s="59">
        <f t="shared" si="14"/>
        <v>266.82974178532675</v>
      </c>
      <c r="CY7" s="59">
        <f ca="1">AVERAGE(OFFSET($CX$3,0,0,'Données projet'!$E$13+1,1))-AVERAGE(OFFSET($H$3,0,0,'Données projet'!$E$13+1,1))</f>
        <v>389.89050053480827</v>
      </c>
      <c r="CZ7" s="59">
        <f t="shared" si="42"/>
        <v>216.40816051909616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2.1162754793048726</v>
      </c>
      <c r="P8" s="13">
        <f t="shared" si="33"/>
        <v>0.89377388453237949</v>
      </c>
      <c r="Q8" s="20">
        <f t="shared" si="2"/>
        <v>5.2425026420165475</v>
      </c>
      <c r="R8" s="59">
        <f t="shared" si="0"/>
        <v>268.02028041979435</v>
      </c>
      <c r="S8" s="59">
        <f ca="1">AVERAGE(OFFSET($R$3,0,0,'Données projet'!$E$9+1,1))-AVERAGE(OFFSET($H$3,0,0,'Données projet'!$E$9+1,1))</f>
        <v>371.7282125501186</v>
      </c>
      <c r="T8" s="59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8.16</v>
      </c>
      <c r="AI8" s="13">
        <f>IF('Données projet'!$A$62&gt;35,AI7+AH8-AQ7,IF(A8&lt;'Données projet'!$A$62,$AF$205^A8,IF(A8='Données projet'!$A$62,'Données projet'!$B$62,AI7+AH8-AQ7)))</f>
        <v>2.8968501709813941</v>
      </c>
      <c r="AJ8" s="13">
        <f>AI8*VLOOKUP('Données projet'!$B$10,Paramètres!$A$1:$I$89,3,0)*VLOOKUP('Données projet'!$B$10,Paramètres!$A$1:$I$89,5,0)</f>
        <v>1.3557258800192924</v>
      </c>
      <c r="AK8" s="13">
        <f t="shared" si="35"/>
        <v>0.60303031316868949</v>
      </c>
      <c r="AL8" s="20">
        <f t="shared" si="4"/>
        <v>3.4115003698024009</v>
      </c>
      <c r="AM8" s="59">
        <f t="shared" si="5"/>
        <v>266.18927814758018</v>
      </c>
      <c r="AN8" s="59">
        <f ca="1">AVERAGE(OFFSET($AM$3,0,0,'Données projet'!$E$10+1,1))-AVERAGE(OFFSET($H$3,0,0,'Données projet'!$E$10+1,1))</f>
        <v>218.32525311070435</v>
      </c>
      <c r="AO8" s="59">
        <f t="shared" si="36"/>
        <v>275.36315264099204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</v>
      </c>
      <c r="BD8" s="12">
        <f>IF('Données projet'!$A$88&gt;35,BD7+BC8-BL7,IF(A8&lt;'Données projet'!$A$88,$BA$205^A8,IF(A8='Données projet'!$A$88,'Données projet'!$B$88,BD7+BC8-BL7)))</f>
        <v>6.1644140029689751</v>
      </c>
      <c r="BE8" s="13">
        <f>BD8*VLOOKUP('Données projet'!$B$11,Paramètres!$A$1:$I$89,3,0)*VLOOKUP('Données projet'!$B$11,Paramètres!$A$1:$I$89,5,0)</f>
        <v>5.8660563652252771</v>
      </c>
      <c r="BF8" s="13">
        <f t="shared" si="37"/>
        <v>2.2002032161556855</v>
      </c>
      <c r="BG8" s="20">
        <f t="shared" si="7"/>
        <v>14.048735437571841</v>
      </c>
      <c r="BH8" s="59">
        <f t="shared" si="8"/>
        <v>276.82651321534962</v>
      </c>
      <c r="BI8" s="59">
        <f ca="1">AVERAGE(OFFSET($BH$3,0,0,'Données projet'!$E$11+1,1))-AVERAGE(OFFSET($H$3,0,0,'Données projet'!$E$11+1,1))</f>
        <v>446.62872871405051</v>
      </c>
      <c r="BJ8" s="59">
        <f t="shared" si="38"/>
        <v>471.28934889691658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10.95</v>
      </c>
      <c r="BY8" s="12">
        <f>IF('Données projet'!$A$114&gt;35,BY7+BX8-CG7,IF(A8&lt;'Données projet'!$A$114,$BV$205^A8,IF(A8='Données projet'!$A$114,'Données projet'!$B$114,BY7+BX8-CG7)))</f>
        <v>3.846901166776806</v>
      </c>
      <c r="BZ8" s="13">
        <f>BY8*VLOOKUP('Données projet'!$B$12,Paramètres!$A$1:$I$89,3,0)*VLOOKUP('Données projet'!$B$12,Paramètres!$A$1:$I$89,5,0)</f>
        <v>1.7003303157153484</v>
      </c>
      <c r="CA8" s="13">
        <f t="shared" si="39"/>
        <v>0.73663319738227995</v>
      </c>
      <c r="CB8" s="20">
        <f t="shared" si="10"/>
        <v>4.2443781186450353</v>
      </c>
      <c r="CC8" s="59">
        <f t="shared" si="11"/>
        <v>267.02215589642282</v>
      </c>
      <c r="CD8" s="59">
        <f ca="1">AVERAGE(OFFSET($CC$3,0,0,'Données projet'!$E$12+1,1))-AVERAGE(OFFSET($H$3,0,0,'Données projet'!$E$12+1,1))</f>
        <v>534.99316143569899</v>
      </c>
      <c r="CE8" s="59">
        <f t="shared" si="40"/>
        <v>449.56965858934262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</v>
      </c>
      <c r="CT8" s="12">
        <f>IF('Données projet'!$A$140&gt;35,CT7+CS8-DB7,IF(A8&lt;'Données projet'!$A$140,$CQ$205^A8,IF(A8='Données projet'!$A$140,'Données projet'!$B$140,CT7+CS8-DB7)))</f>
        <v>2.1867241478865558</v>
      </c>
      <c r="CU8" s="17">
        <f>CT8*VLOOKUP('Données projet'!$B$13,Paramètres!$A$1:$I$89,3,0)*VLOOKUP('Données projet'!$B$13,Paramètres!$A$1:$I$89,5,0)</f>
        <v>2.4902414596132099</v>
      </c>
      <c r="CV8" s="13">
        <f t="shared" si="41"/>
        <v>1.0319793767037706</v>
      </c>
      <c r="CW8" s="20">
        <f t="shared" si="13"/>
        <v>6.1345346232520734</v>
      </c>
      <c r="CX8" s="59">
        <f t="shared" si="14"/>
        <v>268.91231240102985</v>
      </c>
      <c r="CY8" s="59">
        <f ca="1">AVERAGE(OFFSET($CX$3,0,0,'Données projet'!$E$13+1,1))-AVERAGE(OFFSET($H$3,0,0,'Données projet'!$E$13+1,1))</f>
        <v>389.89050053480827</v>
      </c>
      <c r="CZ8" s="59">
        <f t="shared" si="42"/>
        <v>216.40816051909616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2.5082806135988838</v>
      </c>
      <c r="P9" s="13">
        <f t="shared" si="33"/>
        <v>1.0385820344818992</v>
      </c>
      <c r="Q9" s="20">
        <f t="shared" si="2"/>
        <v>6.1774524454073623</v>
      </c>
      <c r="R9" s="59">
        <f t="shared" si="0"/>
        <v>270.17745244540737</v>
      </c>
      <c r="S9" s="59">
        <f ca="1">AVERAGE(OFFSET($R$3,0,0,'Données projet'!$E$9+1,1))-AVERAGE(OFFSET($H$3,0,0,'Données projet'!$E$9+1,1))</f>
        <v>371.7282125501186</v>
      </c>
      <c r="T9" s="59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8.16</v>
      </c>
      <c r="AI9" s="13">
        <f>IF('Données projet'!$A$62&gt;35,AI8+AH9-AQ8,IF(A9&lt;'Données projet'!$A$62,$AF$205^A9,IF(A9='Données projet'!$A$62,'Données projet'!$B$62,AI8+AH9-AQ8)))</f>
        <v>3.5835316140300715</v>
      </c>
      <c r="AJ9" s="13">
        <f>AI9*VLOOKUP('Données projet'!$B$10,Paramètres!$A$1:$I$89,3,0)*VLOOKUP('Données projet'!$B$10,Paramètres!$A$1:$I$89,5,0)</f>
        <v>1.6770927953660735</v>
      </c>
      <c r="AK9" s="13">
        <f t="shared" si="35"/>
        <v>0.72773072688459306</v>
      </c>
      <c r="AL9" s="20">
        <f t="shared" si="4"/>
        <v>4.188400967919911</v>
      </c>
      <c r="AM9" s="59">
        <f t="shared" si="5"/>
        <v>268.1884009679199</v>
      </c>
      <c r="AN9" s="59">
        <f ca="1">AVERAGE(OFFSET($AM$3,0,0,'Données projet'!$E$10+1,1))-AVERAGE(OFFSET($H$3,0,0,'Données projet'!$E$10+1,1))</f>
        <v>218.32525311070435</v>
      </c>
      <c r="AO9" s="59">
        <f t="shared" si="36"/>
        <v>275.36315264099204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</v>
      </c>
      <c r="BD9" s="12">
        <f>IF('Données projet'!$A$88&gt;35,BD8+BC9-BL8,IF(A9&lt;'Données projet'!$A$88,$BA$205^A9,IF(A9='Données projet'!$A$88,'Données projet'!$B$88,BD8+BC9-BL8)))</f>
        <v>8.8689081658962561</v>
      </c>
      <c r="BE9" s="13">
        <f>BD9*VLOOKUP('Données projet'!$B$11,Paramètres!$A$1:$I$89,3,0)*VLOOKUP('Données projet'!$B$11,Paramètres!$A$1:$I$89,5,0)</f>
        <v>8.439653010666877</v>
      </c>
      <c r="BF9" s="13">
        <f t="shared" si="37"/>
        <v>3.0342577772396022</v>
      </c>
      <c r="BG9" s="20">
        <f t="shared" si="7"/>
        <v>19.983727955603786</v>
      </c>
      <c r="BH9" s="59">
        <f t="shared" si="8"/>
        <v>283.9837279556038</v>
      </c>
      <c r="BI9" s="59">
        <f ca="1">AVERAGE(OFFSET($BH$3,0,0,'Données projet'!$E$11+1,1))-AVERAGE(OFFSET($H$3,0,0,'Données projet'!$E$11+1,1))</f>
        <v>446.62872871405051</v>
      </c>
      <c r="BJ9" s="59">
        <f t="shared" si="38"/>
        <v>471.28934889691658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10.95</v>
      </c>
      <c r="BY9" s="12">
        <f>IF('Données projet'!$A$114&gt;35,BY8+BX9-CG8,IF(A9&lt;'Données projet'!$A$114,$BV$205^A9,IF(A9='Données projet'!$A$114,'Données projet'!$B$114,BY8+BX9-CG8)))</f>
        <v>5.0365509824526642</v>
      </c>
      <c r="BZ9" s="13">
        <f>BY9*VLOOKUP('Données projet'!$B$12,Paramètres!$A$1:$I$89,3,0)*VLOOKUP('Données projet'!$B$12,Paramètres!$A$1:$I$89,5,0)</f>
        <v>2.2261555342440777</v>
      </c>
      <c r="CA9" s="13">
        <f t="shared" si="39"/>
        <v>0.93465666665678138</v>
      </c>
      <c r="CB9" s="20">
        <f t="shared" si="10"/>
        <v>5.5050812499023287</v>
      </c>
      <c r="CC9" s="59">
        <f t="shared" si="11"/>
        <v>269.50508124990233</v>
      </c>
      <c r="CD9" s="59">
        <f ca="1">AVERAGE(OFFSET($CC$3,0,0,'Données projet'!$E$12+1,1))-AVERAGE(OFFSET($H$3,0,0,'Données projet'!$E$12+1,1))</f>
        <v>534.99316143569899</v>
      </c>
      <c r="CE9" s="59">
        <f t="shared" si="40"/>
        <v>449.56965858934262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</v>
      </c>
      <c r="CT9" s="12">
        <f>IF('Données projet'!$A$140&gt;35,CT8+CS9-DB8,IF(A9&lt;'Données projet'!$A$140,$CQ$205^A9,IF(A9='Données projet'!$A$140,'Données projet'!$B$140,CT8+CS9-DB8)))</f>
        <v>2.557129962811556</v>
      </c>
      <c r="CU9" s="17">
        <f>CT9*VLOOKUP('Données projet'!$B$13,Paramètres!$A$1:$I$89,3,0)*VLOOKUP('Données projet'!$B$13,Paramètres!$A$1:$I$89,5,0)</f>
        <v>2.9120596016497999</v>
      </c>
      <c r="CV9" s="13">
        <f t="shared" si="41"/>
        <v>1.1850029027348499</v>
      </c>
      <c r="CW9" s="20">
        <f t="shared" si="13"/>
        <v>7.1357171951365972</v>
      </c>
      <c r="CX9" s="59">
        <f t="shared" si="14"/>
        <v>271.13571719513658</v>
      </c>
      <c r="CY9" s="59">
        <f ca="1">AVERAGE(OFFSET($CX$3,0,0,'Données projet'!$E$13+1,1))-AVERAGE(OFFSET($H$3,0,0,'Données projet'!$E$13+1,1))</f>
        <v>389.89050053480827</v>
      </c>
      <c r="CZ9" s="59">
        <f t="shared" si="42"/>
        <v>216.40816051909616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2.9728982346960495</v>
      </c>
      <c r="P10" s="13">
        <f t="shared" si="33"/>
        <v>1.2068518235044534</v>
      </c>
      <c r="Q10" s="20">
        <f t="shared" si="2"/>
        <v>7.279731351365875</v>
      </c>
      <c r="R10" s="59">
        <f t="shared" si="0"/>
        <v>272.50195357358808</v>
      </c>
      <c r="S10" s="59">
        <f ca="1">AVERAGE(OFFSET($R$3,0,0,'Données projet'!$E$9+1,1))-AVERAGE(OFFSET($H$3,0,0,'Données projet'!$E$9+1,1))</f>
        <v>371.7282125501186</v>
      </c>
      <c r="T10" s="59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8.16</v>
      </c>
      <c r="AI10" s="13">
        <f>IF('Données projet'!$A$62&gt;35,AI9+AH10-AQ9,IF(A10&lt;'Données projet'!$A$62,$AF$205^A10,IF(A10='Données projet'!$A$62,'Données projet'!$B$62,AI9+AH10-AQ9)))</f>
        <v>4.4329868894815716</v>
      </c>
      <c r="AJ10" s="13">
        <f>AI10*VLOOKUP('Données projet'!$B$10,Paramètres!$A$1:$I$89,3,0)*VLOOKUP('Données projet'!$B$10,Paramètres!$A$1:$I$89,5,0)</f>
        <v>2.0746378642773755</v>
      </c>
      <c r="AK10" s="13">
        <f t="shared" si="35"/>
        <v>0.87821789267802852</v>
      </c>
      <c r="AL10" s="20">
        <f t="shared" si="4"/>
        <v>5.1428904433639948</v>
      </c>
      <c r="AM10" s="59">
        <f t="shared" si="5"/>
        <v>270.3651126655862</v>
      </c>
      <c r="AN10" s="59">
        <f ca="1">AVERAGE(OFFSET($AM$3,0,0,'Données projet'!$E$10+1,1))-AVERAGE(OFFSET($H$3,0,0,'Données projet'!$E$10+1,1))</f>
        <v>218.32525311070435</v>
      </c>
      <c r="AO10" s="59">
        <f t="shared" si="36"/>
        <v>275.36315264099204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</v>
      </c>
      <c r="BD10" s="12">
        <f>IF('Données projet'!$A$88&gt;35,BD9+BC10-BL9,IF(A10&lt;'Données projet'!$A$88,$BA$205^A10,IF(A10='Données projet'!$A$88,'Données projet'!$B$88,BD9+BC10-BL9)))</f>
        <v>12.759936632617045</v>
      </c>
      <c r="BE10" s="13">
        <f>BD10*VLOOKUP('Données projet'!$B$11,Paramètres!$A$1:$I$89,3,0)*VLOOKUP('Données projet'!$B$11,Paramètres!$A$1:$I$89,5,0)</f>
        <v>12.142355699598381</v>
      </c>
      <c r="BF10" s="13">
        <f t="shared" si="37"/>
        <v>4.1844863197798166</v>
      </c>
      <c r="BG10" s="20">
        <f t="shared" si="7"/>
        <v>28.435916517083694</v>
      </c>
      <c r="BH10" s="59">
        <f t="shared" si="8"/>
        <v>293.65813873930591</v>
      </c>
      <c r="BI10" s="59">
        <f ca="1">AVERAGE(OFFSET($BH$3,0,0,'Données projet'!$E$11+1,1))-AVERAGE(OFFSET($H$3,0,0,'Données projet'!$E$11+1,1))</f>
        <v>446.62872871405051</v>
      </c>
      <c r="BJ10" s="59">
        <f t="shared" si="38"/>
        <v>471.28934889691658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10.95</v>
      </c>
      <c r="BY10" s="12">
        <f>IF('Données projet'!$A$114&gt;35,BY9+BX10-CG9,IF(A10&lt;'Données projet'!$A$114,$BV$205^A10,IF(A10='Données projet'!$A$114,'Données projet'!$B$114,BY9+BX10-CG9)))</f>
        <v>6.5940986521623985</v>
      </c>
      <c r="BZ10" s="13">
        <f>BY10*VLOOKUP('Données projet'!$B$12,Paramètres!$A$1:$I$89,3,0)*VLOOKUP('Données projet'!$B$12,Paramètres!$A$1:$I$89,5,0)</f>
        <v>2.9145916042557807</v>
      </c>
      <c r="CA10" s="13">
        <f t="shared" si="39"/>
        <v>1.1859132708522433</v>
      </c>
      <c r="CB10" s="20">
        <f t="shared" si="10"/>
        <v>7.1417126574798084</v>
      </c>
      <c r="CC10" s="59">
        <f t="shared" si="11"/>
        <v>272.36393487970201</v>
      </c>
      <c r="CD10" s="59">
        <f ca="1">AVERAGE(OFFSET($CC$3,0,0,'Données projet'!$E$12+1,1))-AVERAGE(OFFSET($H$3,0,0,'Données projet'!$E$12+1,1))</f>
        <v>534.99316143569899</v>
      </c>
      <c r="CE10" s="59">
        <f t="shared" si="40"/>
        <v>449.56965858934262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</v>
      </c>
      <c r="CT10" s="12">
        <f>IF('Données projet'!$A$140&gt;35,CT9+CS10-DB9,IF(A10&lt;'Données projet'!$A$140,$CQ$205^A10,IF(A10='Données projet'!$A$140,'Données projet'!$B$140,CT9+CS10-DB9)))</f>
        <v>2.9902782447563934</v>
      </c>
      <c r="CU10" s="17">
        <f>CT10*VLOOKUP('Données projet'!$B$13,Paramètres!$A$1:$I$89,3,0)*VLOOKUP('Données projet'!$B$13,Paramètres!$A$1:$I$89,5,0)</f>
        <v>3.4053288651285811</v>
      </c>
      <c r="CV10" s="13">
        <f t="shared" si="41"/>
        <v>1.3607169980230183</v>
      </c>
      <c r="CW10" s="20">
        <f t="shared" si="13"/>
        <v>8.3008632116557024</v>
      </c>
      <c r="CX10" s="59">
        <f t="shared" si="14"/>
        <v>273.52308543387795</v>
      </c>
      <c r="CY10" s="59">
        <f ca="1">AVERAGE(OFFSET($CX$3,0,0,'Données projet'!$E$13+1,1))-AVERAGE(OFFSET($H$3,0,0,'Données projet'!$E$13+1,1))</f>
        <v>389.89050053480827</v>
      </c>
      <c r="CZ10" s="59">
        <f t="shared" si="42"/>
        <v>216.40816051909616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3.5235786083670826</v>
      </c>
      <c r="P11" s="13">
        <f t="shared" si="33"/>
        <v>1.4023844776234748</v>
      </c>
      <c r="Q11" s="20">
        <f t="shared" si="2"/>
        <v>8.5793857081002205</v>
      </c>
      <c r="R11" s="59">
        <f t="shared" si="0"/>
        <v>275.02383015254469</v>
      </c>
      <c r="S11" s="59">
        <f ca="1">AVERAGE(OFFSET($R$3,0,0,'Données projet'!$E$9+1,1))-AVERAGE(OFFSET($H$3,0,0,'Données projet'!$E$9+1,1))</f>
        <v>371.7282125501186</v>
      </c>
      <c r="T11" s="59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8.16</v>
      </c>
      <c r="AI11" s="13">
        <f>IF('Données projet'!$A$62&gt;35,AI10+AH11-AQ10,IF(A11&lt;'Données projet'!$A$62,$AF$205^A11,IF(A11='Données projet'!$A$62,'Données projet'!$B$62,AI10+AH11-AQ10)))</f>
        <v>5.4838005852599103</v>
      </c>
      <c r="AJ11" s="13">
        <f>AI11*VLOOKUP('Données projet'!$B$10,Paramètres!$A$1:$I$89,3,0)*VLOOKUP('Données projet'!$B$10,Paramètres!$A$1:$I$89,5,0)</f>
        <v>2.5664186739016381</v>
      </c>
      <c r="AK11" s="13">
        <f t="shared" si="35"/>
        <v>1.0598242434006067</v>
      </c>
      <c r="AL11" s="20">
        <f t="shared" si="4"/>
        <v>6.3157064143014097</v>
      </c>
      <c r="AM11" s="59">
        <f t="shared" si="5"/>
        <v>272.76015085874587</v>
      </c>
      <c r="AN11" s="59">
        <f ca="1">AVERAGE(OFFSET($AM$3,0,0,'Données projet'!$E$10+1,1))-AVERAGE(OFFSET($H$3,0,0,'Données projet'!$E$10+1,1))</f>
        <v>218.32525311070435</v>
      </c>
      <c r="AO11" s="59">
        <f t="shared" si="36"/>
        <v>275.36315264099204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</v>
      </c>
      <c r="BD11" s="12">
        <f>IF('Données projet'!$A$88&gt;35,BD10+BC11-BL10,IF(A11&lt;'Données projet'!$A$88,$BA$205^A11,IF(A11='Données projet'!$A$88,'Données projet'!$B$88,BD10+BC11-BL10)))</f>
        <v>18.358063904019335</v>
      </c>
      <c r="BE11" s="13">
        <f>BD11*VLOOKUP('Données projet'!$B$11,Paramètres!$A$1:$I$89,3,0)*VLOOKUP('Données projet'!$B$11,Paramètres!$A$1:$I$89,5,0)</f>
        <v>17.469533611064801</v>
      </c>
      <c r="BF11" s="13">
        <f t="shared" si="37"/>
        <v>5.7707442959424391</v>
      </c>
      <c r="BG11" s="20">
        <f t="shared" si="7"/>
        <v>40.476817354704274</v>
      </c>
      <c r="BH11" s="59">
        <f t="shared" si="8"/>
        <v>306.92126179914874</v>
      </c>
      <c r="BI11" s="59">
        <f ca="1">AVERAGE(OFFSET($BH$3,0,0,'Données projet'!$E$11+1,1))-AVERAGE(OFFSET($H$3,0,0,'Données projet'!$E$11+1,1))</f>
        <v>446.62872871405051</v>
      </c>
      <c r="BJ11" s="59">
        <f t="shared" si="38"/>
        <v>471.28934889691658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10.95</v>
      </c>
      <c r="BY11" s="12">
        <f>IF('Données projet'!$A$114&gt;35,BY10+BX11-CG10,IF(A11&lt;'Données projet'!$A$114,$BV$205^A11,IF(A11='Données projet'!$A$114,'Données projet'!$B$114,BY10+BX11-CG10)))</f>
        <v>8.6333161693273155</v>
      </c>
      <c r="BZ11" s="13">
        <f>BY11*VLOOKUP('Données projet'!$B$12,Paramètres!$A$1:$I$89,3,0)*VLOOKUP('Données projet'!$B$12,Paramètres!$A$1:$I$89,5,0)</f>
        <v>3.8159257468426735</v>
      </c>
      <c r="CA11" s="13">
        <f t="shared" si="39"/>
        <v>1.5047132665452987</v>
      </c>
      <c r="CB11" s="20">
        <f t="shared" si="10"/>
        <v>9.2667796149840509</v>
      </c>
      <c r="CC11" s="59">
        <f t="shared" si="11"/>
        <v>275.7112240594285</v>
      </c>
      <c r="CD11" s="59">
        <f ca="1">AVERAGE(OFFSET($CC$3,0,0,'Données projet'!$E$12+1,1))-AVERAGE(OFFSET($H$3,0,0,'Données projet'!$E$12+1,1))</f>
        <v>534.99316143569899</v>
      </c>
      <c r="CE11" s="59">
        <f t="shared" si="40"/>
        <v>449.56965858934262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</v>
      </c>
      <c r="CT11" s="12">
        <f>IF('Données projet'!$A$140&gt;35,CT10+CS11-DB10,IF(A11&lt;'Données projet'!$A$140,$CQ$205^A11,IF(A11='Données projet'!$A$140,'Données projet'!$B$140,CT10+CS11-DB10)))</f>
        <v>3.4967968429856167</v>
      </c>
      <c r="CU11" s="17">
        <f>CT11*VLOOKUP('Données projet'!$B$13,Paramètres!$A$1:$I$89,3,0)*VLOOKUP('Données projet'!$B$13,Paramètres!$A$1:$I$89,5,0)</f>
        <v>3.9821522447920206</v>
      </c>
      <c r="CV11" s="13">
        <f t="shared" si="41"/>
        <v>1.5624862558864703</v>
      </c>
      <c r="CW11" s="20">
        <f t="shared" si="13"/>
        <v>9.6569120553483714</v>
      </c>
      <c r="CX11" s="59">
        <f t="shared" si="14"/>
        <v>276.10135649979281</v>
      </c>
      <c r="CY11" s="59">
        <f ca="1">AVERAGE(OFFSET($CX$3,0,0,'Données projet'!$E$13+1,1))-AVERAGE(OFFSET($H$3,0,0,'Données projet'!$E$13+1,1))</f>
        <v>389.89050053480827</v>
      </c>
      <c r="CZ11" s="59">
        <f t="shared" si="42"/>
        <v>216.40816051909616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4.176263440316343</v>
      </c>
      <c r="P12" s="13">
        <f t="shared" si="33"/>
        <v>1.6295970928464274</v>
      </c>
      <c r="Q12" s="20">
        <f t="shared" si="2"/>
        <v>10.111873761925157</v>
      </c>
      <c r="R12" s="59">
        <f t="shared" si="0"/>
        <v>277.77854042859184</v>
      </c>
      <c r="S12" s="59">
        <f ca="1">AVERAGE(OFFSET($R$3,0,0,'Données projet'!$E$9+1,1))-AVERAGE(OFFSET($H$3,0,0,'Données projet'!$E$9+1,1))</f>
        <v>371.7282125501186</v>
      </c>
      <c r="T12" s="59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8.16</v>
      </c>
      <c r="AI12" s="13">
        <f>IF('Données projet'!$A$62&gt;35,AI11+AH12-AQ11,IF(A12&lt;'Données projet'!$A$62,$AF$205^A12,IF(A12='Données projet'!$A$62,'Données projet'!$B$62,AI11+AH12-AQ11)))</f>
        <v>6.7837035408904178</v>
      </c>
      <c r="AJ12" s="13">
        <f>AI12*VLOOKUP('Données projet'!$B$10,Paramètres!$A$1:$I$89,3,0)*VLOOKUP('Données projet'!$B$10,Paramètres!$A$1:$I$89,5,0)</f>
        <v>3.1747732571367155</v>
      </c>
      <c r="AK12" s="13">
        <f t="shared" si="35"/>
        <v>1.27898490370597</v>
      </c>
      <c r="AL12" s="20">
        <f t="shared" si="4"/>
        <v>7.7569621301343439</v>
      </c>
      <c r="AM12" s="59">
        <f t="shared" si="5"/>
        <v>275.42362879680104</v>
      </c>
      <c r="AN12" s="59">
        <f ca="1">AVERAGE(OFFSET($AM$3,0,0,'Données projet'!$E$10+1,1))-AVERAGE(OFFSET($H$3,0,0,'Données projet'!$E$10+1,1))</f>
        <v>218.32525311070435</v>
      </c>
      <c r="AO12" s="59">
        <f t="shared" si="36"/>
        <v>275.36315264099204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</v>
      </c>
      <c r="BD12" s="12">
        <f>IF('Données projet'!$A$88&gt;35,BD11+BC12-BL11,IF(A12&lt;'Données projet'!$A$88,$BA$205^A12,IF(A12='Données projet'!$A$88,'Données projet'!$B$88,BD11+BC12-BL11)))</f>
        <v>26.412240123714128</v>
      </c>
      <c r="BE12" s="13">
        <f>BD12*VLOOKUP('Données projet'!$B$11,Paramètres!$A$1:$I$89,3,0)*VLOOKUP('Données projet'!$B$11,Paramètres!$A$1:$I$89,5,0)</f>
        <v>25.133887701726366</v>
      </c>
      <c r="BF12" s="13">
        <f t="shared" si="37"/>
        <v>7.9583220458238904</v>
      </c>
      <c r="BG12" s="20">
        <f t="shared" si="7"/>
        <v>57.635598643650034</v>
      </c>
      <c r="BH12" s="59">
        <f t="shared" si="8"/>
        <v>325.30226531031673</v>
      </c>
      <c r="BI12" s="59">
        <f ca="1">AVERAGE(OFFSET($BH$3,0,0,'Données projet'!$E$11+1,1))-AVERAGE(OFFSET($H$3,0,0,'Données projet'!$E$11+1,1))</f>
        <v>446.62872871405051</v>
      </c>
      <c r="BJ12" s="59">
        <f t="shared" si="38"/>
        <v>471.28934889691658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10.95</v>
      </c>
      <c r="BY12" s="12">
        <f>IF('Données projet'!$A$114&gt;35,BY11+BX12-CG11,IF(A12&lt;'Données projet'!$A$114,$BV$205^A12,IF(A12='Données projet'!$A$114,'Données projet'!$B$114,BY11+BX12-CG11)))</f>
        <v>11.3031593870872</v>
      </c>
      <c r="BZ12" s="13">
        <f>BY12*VLOOKUP('Données projet'!$B$12,Paramètres!$A$1:$I$89,3,0)*VLOOKUP('Données projet'!$B$12,Paramètres!$A$1:$I$89,5,0)</f>
        <v>4.9959964490925426</v>
      </c>
      <c r="CA12" s="13">
        <f t="shared" si="39"/>
        <v>1.9092138271547539</v>
      </c>
      <c r="CB12" s="20">
        <f t="shared" si="10"/>
        <v>12.026574564464042</v>
      </c>
      <c r="CC12" s="59">
        <f t="shared" si="11"/>
        <v>279.69324123113074</v>
      </c>
      <c r="CD12" s="59">
        <f ca="1">AVERAGE(OFFSET($CC$3,0,0,'Données projet'!$E$12+1,1))-AVERAGE(OFFSET($H$3,0,0,'Données projet'!$E$12+1,1))</f>
        <v>534.99316143569899</v>
      </c>
      <c r="CE12" s="59">
        <f t="shared" si="40"/>
        <v>449.56965858934262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</v>
      </c>
      <c r="CT12" s="12">
        <f>IF('Données projet'!$A$140&gt;35,CT11+CS12-DB11,IF(A12&lt;'Données projet'!$A$140,$CQ$205^A12,IF(A12='Données projet'!$A$140,'Données projet'!$B$140,CT11+CS12-DB11)))</f>
        <v>4.0891138416820842</v>
      </c>
      <c r="CU12" s="17">
        <f>CT12*VLOOKUP('Données projet'!$B$13,Paramètres!$A$1:$I$89,3,0)*VLOOKUP('Données projet'!$B$13,Paramètres!$A$1:$I$89,5,0)</f>
        <v>4.656682842907558</v>
      </c>
      <c r="CV12" s="13">
        <f t="shared" si="41"/>
        <v>1.7941741768355726</v>
      </c>
      <c r="CW12" s="20">
        <f t="shared" si="13"/>
        <v>11.235242642719285</v>
      </c>
      <c r="CX12" s="59">
        <f t="shared" si="14"/>
        <v>278.90190930938599</v>
      </c>
      <c r="CY12" s="59">
        <f ca="1">AVERAGE(OFFSET($CX$3,0,0,'Données projet'!$E$13+1,1))-AVERAGE(OFFSET($H$3,0,0,'Données projet'!$E$13+1,1))</f>
        <v>389.89050053480827</v>
      </c>
      <c r="CZ12" s="59">
        <f t="shared" si="42"/>
        <v>216.40816051909616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4.9498473743446834</v>
      </c>
      <c r="P13" s="13">
        <f t="shared" si="33"/>
        <v>1.8936224176652101</v>
      </c>
      <c r="Q13" s="20">
        <f t="shared" si="2"/>
        <v>11.919043221083896</v>
      </c>
      <c r="R13" s="59">
        <f t="shared" si="0"/>
        <v>280.80793210997274</v>
      </c>
      <c r="S13" s="59">
        <f ca="1">AVERAGE(OFFSET($R$3,0,0,'Données projet'!$E$9+1,1))-AVERAGE(OFFSET($H$3,0,0,'Données projet'!$E$9+1,1))</f>
        <v>371.7282125501186</v>
      </c>
      <c r="T13" s="59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8.16</v>
      </c>
      <c r="AI13" s="13">
        <f>IF('Données projet'!$A$62&gt;35,AI12+AH13-AQ12,IF(A13&lt;'Données projet'!$A$62,$AF$205^A13,IF(A13='Données projet'!$A$62,'Données projet'!$B$62,AI12+AH13-AQ12)))</f>
        <v>8.3917409131149316</v>
      </c>
      <c r="AJ13" s="13">
        <f>AI13*VLOOKUP('Données projet'!$B$10,Paramètres!$A$1:$I$89,3,0)*VLOOKUP('Données projet'!$B$10,Paramètres!$A$1:$I$89,5,0)</f>
        <v>3.9273347473377878</v>
      </c>
      <c r="AK13" s="13">
        <f t="shared" si="35"/>
        <v>1.5434657152765723</v>
      </c>
      <c r="AL13" s="20">
        <f t="shared" si="4"/>
        <v>9.5283108057200092</v>
      </c>
      <c r="AM13" s="59">
        <f t="shared" si="5"/>
        <v>278.41719969460888</v>
      </c>
      <c r="AN13" s="59">
        <f ca="1">AVERAGE(OFFSET($AM$3,0,0,'Données projet'!$E$10+1,1))-AVERAGE(OFFSET($H$3,0,0,'Données projet'!$E$10+1,1))</f>
        <v>218.32525311070435</v>
      </c>
      <c r="AO13" s="59">
        <f t="shared" si="36"/>
        <v>275.36315264099204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38</v>
      </c>
      <c r="BB13" s="12">
        <f>VLOOKUP(A13,'Données projet'!$A$87:$I$107,9,0)</f>
        <v>3.8</v>
      </c>
      <c r="BC13" s="12">
        <f t="array" ref="BC13">INDEX(BB:BB,MIN(IF(ISNUMBER(BB13:BB209),ROW(BB13:BB209),"")))</f>
        <v>3.8</v>
      </c>
      <c r="BD13" s="12">
        <f>IF('Données projet'!$A$88&gt;35,BD12+BC13-BL12,IF(A13&lt;'Données projet'!$A$88,$BA$205^A13,IF(A13='Données projet'!$A$88,'Données projet'!$B$88,BD12+BC13-BL12)))</f>
        <v>38</v>
      </c>
      <c r="BE13" s="13">
        <f>BD13*VLOOKUP('Données projet'!$B$11,Paramètres!$A$1:$I$89,3,0)*VLOOKUP('Données projet'!$B$11,Paramètres!$A$1:$I$89,5,0)</f>
        <v>36.160800000000002</v>
      </c>
      <c r="BF13" s="13">
        <f t="shared" si="37"/>
        <v>10.975168286277908</v>
      </c>
      <c r="BG13" s="20">
        <f t="shared" si="7"/>
        <v>82.095144765267349</v>
      </c>
      <c r="BH13" s="59">
        <f t="shared" si="8"/>
        <v>350.98403365415618</v>
      </c>
      <c r="BI13" s="59">
        <f ca="1">AVERAGE(OFFSET($BH$3,0,0,'Données projet'!$E$11+1,1))-AVERAGE(OFFSET($H$3,0,0,'Données projet'!$E$11+1,1))</f>
        <v>446.62872871405051</v>
      </c>
      <c r="BJ13" s="59">
        <f t="shared" si="38"/>
        <v>471.28934889691658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8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10.95</v>
      </c>
      <c r="BY13" s="12">
        <f>IF('Données projet'!$A$114&gt;35,BY12+BX13-CG12,IF(A13&lt;'Données projet'!$A$114,$BV$205^A13,IF(A13='Données projet'!$A$114,'Données projet'!$B$114,BY12+BX13-CG12)))</f>
        <v>14.798648586948753</v>
      </c>
      <c r="BZ13" s="13">
        <f>BY13*VLOOKUP('Données projet'!$B$12,Paramètres!$A$1:$I$89,3,0)*VLOOKUP('Données projet'!$B$12,Paramètres!$A$1:$I$89,5,0)</f>
        <v>6.5410026754313497</v>
      </c>
      <c r="CA13" s="13">
        <f t="shared" si="39"/>
        <v>2.4224531801781453</v>
      </c>
      <c r="CB13" s="20">
        <f t="shared" si="10"/>
        <v>15.611352281853206</v>
      </c>
      <c r="CC13" s="59">
        <f t="shared" si="11"/>
        <v>284.50024117074207</v>
      </c>
      <c r="CD13" s="59">
        <f ca="1">AVERAGE(OFFSET($CC$3,0,0,'Données projet'!$E$12+1,1))-AVERAGE(OFFSET($H$3,0,0,'Données projet'!$E$12+1,1))</f>
        <v>534.99316143569899</v>
      </c>
      <c r="CE13" s="59">
        <f t="shared" si="40"/>
        <v>449.56965858934262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</v>
      </c>
      <c r="CT13" s="12">
        <f>IF('Données projet'!$A$140&gt;35,CT12+CS13-DB12,IF(A13&lt;'Données projet'!$A$140,$CQ$205^A13,IF(A13='Données projet'!$A$140,'Données projet'!$B$140,CT12+CS13-DB12)))</f>
        <v>4.781762498950183</v>
      </c>
      <c r="CU13" s="17">
        <f>CT13*VLOOKUP('Données projet'!$B$13,Paramètres!$A$1:$I$89,3,0)*VLOOKUP('Données projet'!$B$13,Paramètres!$A$1:$I$89,5,0)</f>
        <v>5.4454711338044683</v>
      </c>
      <c r="CV13" s="13">
        <f t="shared" si="41"/>
        <v>2.0602171473164623</v>
      </c>
      <c r="CW13" s="20">
        <f t="shared" si="13"/>
        <v>13.072407089618954</v>
      </c>
      <c r="CX13" s="59">
        <f t="shared" si="14"/>
        <v>281.96129597850779</v>
      </c>
      <c r="CY13" s="59">
        <f ca="1">AVERAGE(OFFSET($CX$3,0,0,'Données projet'!$E$13+1,1))-AVERAGE(OFFSET($H$3,0,0,'Données projet'!$E$13+1,1))</f>
        <v>389.89050053480827</v>
      </c>
      <c r="CZ13" s="59">
        <f t="shared" si="42"/>
        <v>216.40816051909616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5.8667249754366697</v>
      </c>
      <c r="P14" s="13">
        <f t="shared" si="33"/>
        <v>2.2004248021950543</v>
      </c>
      <c r="Q14" s="20">
        <f t="shared" si="2"/>
        <v>14.050285862708584</v>
      </c>
      <c r="R14" s="59">
        <f t="shared" si="0"/>
        <v>284.16139697381971</v>
      </c>
      <c r="S14" s="59">
        <f ca="1">AVERAGE(OFFSET($R$3,0,0,'Données projet'!$E$9+1,1))-AVERAGE(OFFSET($H$3,0,0,'Données projet'!$E$9+1,1))</f>
        <v>371.7282125501186</v>
      </c>
      <c r="T14" s="59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8.16</v>
      </c>
      <c r="AI14" s="13">
        <f>IF('Données projet'!$A$62&gt;35,AI13+AH14-AQ13,IF(A14&lt;'Données projet'!$A$62,$AF$205^A14,IF(A14='Données projet'!$A$62,'Données projet'!$B$62,AI13+AH14-AQ13)))</f>
        <v>10.380954168820242</v>
      </c>
      <c r="AJ14" s="13">
        <f>AI14*VLOOKUP('Données projet'!$B$10,Paramètres!$A$1:$I$89,3,0)*VLOOKUP('Données projet'!$B$10,Paramètres!$A$1:$I$89,5,0)</f>
        <v>4.8582865510078737</v>
      </c>
      <c r="AK14" s="13">
        <f t="shared" si="35"/>
        <v>1.8626384153021189</v>
      </c>
      <c r="AL14" s="20">
        <f t="shared" si="4"/>
        <v>11.705610982989903</v>
      </c>
      <c r="AM14" s="59">
        <f t="shared" si="5"/>
        <v>281.81672209410107</v>
      </c>
      <c r="AN14" s="59">
        <f ca="1">AVERAGE(OFFSET($AM$3,0,0,'Données projet'!$E$10+1,1))-AVERAGE(OFFSET($H$3,0,0,'Données projet'!$E$10+1,1))</f>
        <v>218.32525311070435</v>
      </c>
      <c r="AO14" s="59">
        <f t="shared" si="36"/>
        <v>275.36315264099204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40.799999999999997</v>
      </c>
      <c r="BE14" s="13">
        <f>BD14*VLOOKUP('Données projet'!$B$11,Paramètres!$A$1:$I$89,3,0)*VLOOKUP('Données projet'!$B$11,Paramètres!$A$1:$I$89,5,0)</f>
        <v>38.825279999999999</v>
      </c>
      <c r="BF14" s="13">
        <f t="shared" si="37"/>
        <v>11.686749151685682</v>
      </c>
      <c r="BG14" s="20">
        <f t="shared" si="7"/>
        <v>87.975117439185894</v>
      </c>
      <c r="BH14" s="59">
        <f t="shared" si="8"/>
        <v>358.08622855029705</v>
      </c>
      <c r="BI14" s="59">
        <f ca="1">AVERAGE(OFFSET($BH$3,0,0,'Données projet'!$E$11+1,1))-AVERAGE(OFFSET($H$3,0,0,'Données projet'!$E$11+1,1))</f>
        <v>446.62872871405051</v>
      </c>
      <c r="BJ14" s="59">
        <f t="shared" si="38"/>
        <v>471.28934889691658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10.95</v>
      </c>
      <c r="BY14" s="12">
        <f>IF('Données projet'!$A$114&gt;35,BY13+BX14-CG13,IF(A14&lt;'Données projet'!$A$114,$BV$205^A14,IF(A14='Données projet'!$A$114,'Données projet'!$B$114,BY13+BX14-CG13)))</f>
        <v>19.375113850928024</v>
      </c>
      <c r="BZ14" s="13">
        <f>BY14*VLOOKUP('Données projet'!$B$12,Paramètres!$A$1:$I$89,3,0)*VLOOKUP('Données projet'!$B$12,Paramètres!$A$1:$I$89,5,0)</f>
        <v>8.5638003221101879</v>
      </c>
      <c r="CA14" s="13">
        <f t="shared" si="39"/>
        <v>3.0736627436333483</v>
      </c>
      <c r="CB14" s="20">
        <f t="shared" si="10"/>
        <v>20.268581506169991</v>
      </c>
      <c r="CC14" s="59">
        <f t="shared" si="11"/>
        <v>290.37969261728114</v>
      </c>
      <c r="CD14" s="59">
        <f ca="1">AVERAGE(OFFSET($CC$3,0,0,'Données projet'!$E$12+1,1))-AVERAGE(OFFSET($H$3,0,0,'Données projet'!$E$12+1,1))</f>
        <v>534.99316143569899</v>
      </c>
      <c r="CE14" s="59">
        <f t="shared" si="40"/>
        <v>449.56965858934262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</v>
      </c>
      <c r="CT14" s="12">
        <f>IF('Données projet'!$A$140&gt;35,CT13+CS14-DB13,IF(A14&lt;'Données projet'!$A$140,$CQ$205^A14,IF(A14='Données projet'!$A$140,'Données projet'!$B$140,CT13+CS14-DB13)))</f>
        <v>5.5917378389642796</v>
      </c>
      <c r="CU14" s="17">
        <f>CT14*VLOOKUP('Données projet'!$B$13,Paramètres!$A$1:$I$89,3,0)*VLOOKUP('Données projet'!$B$13,Paramètres!$A$1:$I$89,5,0)</f>
        <v>6.3678710510125214</v>
      </c>
      <c r="CV14" s="13">
        <f t="shared" si="41"/>
        <v>2.3657093881391704</v>
      </c>
      <c r="CW14" s="20">
        <f t="shared" si="13"/>
        <v>15.210985931522528</v>
      </c>
      <c r="CX14" s="59">
        <f t="shared" si="14"/>
        <v>285.32209704263369</v>
      </c>
      <c r="CY14" s="59">
        <f ca="1">AVERAGE(OFFSET($CX$3,0,0,'Données projet'!$E$13+1,1))-AVERAGE(OFFSET($H$3,0,0,'Données projet'!$E$13+1,1))</f>
        <v>389.89050053480827</v>
      </c>
      <c r="CZ14" s="59">
        <f t="shared" si="42"/>
        <v>216.40816051909616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6.9534390324447317</v>
      </c>
      <c r="P15" s="13">
        <f t="shared" si="33"/>
        <v>2.55693493325087</v>
      </c>
      <c r="Q15" s="20">
        <f t="shared" si="2"/>
        <v>16.563901323586503</v>
      </c>
      <c r="R15" s="59">
        <f t="shared" si="0"/>
        <v>287.89723465691981</v>
      </c>
      <c r="S15" s="59">
        <f ca="1">AVERAGE(OFFSET($R$3,0,0,'Données projet'!$E$9+1,1))-AVERAGE(OFFSET($H$3,0,0,'Données projet'!$E$9+1,1))</f>
        <v>371.7282125501186</v>
      </c>
      <c r="T15" s="59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8.16</v>
      </c>
      <c r="AI15" s="13">
        <f>IF('Données projet'!$A$62&gt;35,AI14+AH15-AQ14,IF(A15&lt;'Données projet'!$A$62,$AF$205^A15,IF(A15='Données projet'!$A$62,'Données projet'!$B$62,AI14+AH15-AQ14)))</f>
        <v>12.841698828752968</v>
      </c>
      <c r="AJ15" s="13">
        <f>AI15*VLOOKUP('Données projet'!$B$10,Paramètres!$A$1:$I$89,3,0)*VLOOKUP('Données projet'!$B$10,Paramètres!$A$1:$I$89,5,0)</f>
        <v>6.0099150518563889</v>
      </c>
      <c r="AK15" s="13">
        <f t="shared" si="35"/>
        <v>2.2478127190130075</v>
      </c>
      <c r="AL15" s="20">
        <f t="shared" si="4"/>
        <v>14.382209200930864</v>
      </c>
      <c r="AM15" s="59">
        <f t="shared" si="5"/>
        <v>285.71554253426416</v>
      </c>
      <c r="AN15" s="59">
        <f ca="1">AVERAGE(OFFSET($AM$3,0,0,'Données projet'!$E$10+1,1))-AVERAGE(OFFSET($H$3,0,0,'Données projet'!$E$10+1,1))</f>
        <v>218.32525311070435</v>
      </c>
      <c r="AO15" s="59">
        <f t="shared" si="36"/>
        <v>275.36315264099204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51.599999999999994</v>
      </c>
      <c r="BE15" s="13">
        <f>BD15*VLOOKUP('Données projet'!$B$11,Paramètres!$A$1:$I$89,3,0)*VLOOKUP('Données projet'!$B$11,Paramètres!$A$1:$I$89,5,0)</f>
        <v>49.102559999999997</v>
      </c>
      <c r="BF15" s="13">
        <f t="shared" si="37"/>
        <v>14.38174812794909</v>
      </c>
      <c r="BG15" s="20">
        <f t="shared" si="7"/>
        <v>110.56850332284465</v>
      </c>
      <c r="BH15" s="59">
        <f t="shared" si="8"/>
        <v>381.90183665617798</v>
      </c>
      <c r="BI15" s="59">
        <f ca="1">AVERAGE(OFFSET($BH$3,0,0,'Données projet'!$E$11+1,1))-AVERAGE(OFFSET($H$3,0,0,'Données projet'!$E$11+1,1))</f>
        <v>446.62872871405051</v>
      </c>
      <c r="BJ15" s="59">
        <f t="shared" si="38"/>
        <v>471.28934889691658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10.95</v>
      </c>
      <c r="BY15" s="12">
        <f>IF('Données projet'!$A$114&gt;35,BY14+BX15-CG14,IF(A15&lt;'Données projet'!$A$114,$BV$205^A15,IF(A15='Données projet'!$A$114,'Données projet'!$B$114,BY14+BX15-CG14)))</f>
        <v>25.366845798844896</v>
      </c>
      <c r="BZ15" s="13">
        <f>BY15*VLOOKUP('Données projet'!$B$12,Paramètres!$A$1:$I$89,3,0)*VLOOKUP('Données projet'!$B$12,Paramètres!$A$1:$I$89,5,0)</f>
        <v>11.212145843089445</v>
      </c>
      <c r="CA15" s="13">
        <f t="shared" si="39"/>
        <v>3.8999319941056307</v>
      </c>
      <c r="CB15" s="20">
        <f t="shared" si="10"/>
        <v>26.320202233114756</v>
      </c>
      <c r="CC15" s="59">
        <f t="shared" si="11"/>
        <v>297.65353556644806</v>
      </c>
      <c r="CD15" s="59">
        <f ca="1">AVERAGE(OFFSET($CC$3,0,0,'Données projet'!$E$12+1,1))-AVERAGE(OFFSET($H$3,0,0,'Données projet'!$E$12+1,1))</f>
        <v>534.99316143569899</v>
      </c>
      <c r="CE15" s="59">
        <f t="shared" si="40"/>
        <v>449.56965858934262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</v>
      </c>
      <c r="CT15" s="12">
        <f>IF('Données projet'!$A$140&gt;35,CT14+CS15-DB14,IF(A15&lt;'Données projet'!$A$140,$CQ$205^A15,IF(A15='Données projet'!$A$140,'Données projet'!$B$140,CT14+CS15-DB14)))</f>
        <v>6.5389136467086297</v>
      </c>
      <c r="CU15" s="17">
        <f>CT15*VLOOKUP('Données projet'!$B$13,Paramètres!$A$1:$I$89,3,0)*VLOOKUP('Données projet'!$B$13,Paramètres!$A$1:$I$89,5,0)</f>
        <v>7.4465148608717868</v>
      </c>
      <c r="CV15" s="13">
        <f t="shared" si="41"/>
        <v>2.7165004991923496</v>
      </c>
      <c r="CW15" s="20">
        <f t="shared" si="13"/>
        <v>17.700585085445038</v>
      </c>
      <c r="CX15" s="59">
        <f t="shared" si="14"/>
        <v>289.03391841877834</v>
      </c>
      <c r="CY15" s="59">
        <f ca="1">AVERAGE(OFFSET($CX$3,0,0,'Données projet'!$E$13+1,1))-AVERAGE(OFFSET($H$3,0,0,'Données projet'!$E$13+1,1))</f>
        <v>389.89050053480827</v>
      </c>
      <c r="CZ15" s="59">
        <f t="shared" si="42"/>
        <v>216.40816051909616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8.2414489481547797</v>
      </c>
      <c r="P16" s="13">
        <f t="shared" si="33"/>
        <v>2.971206399035617</v>
      </c>
      <c r="Q16" s="20">
        <f t="shared" si="2"/>
        <v>19.528708063023274</v>
      </c>
      <c r="R16" s="59">
        <f t="shared" si="0"/>
        <v>292.0842636185788</v>
      </c>
      <c r="S16" s="59">
        <f ca="1">AVERAGE(OFFSET($R$3,0,0,'Données projet'!$E$9+1,1))-AVERAGE(OFFSET($H$3,0,0,'Données projet'!$E$9+1,1))</f>
        <v>371.7282125501186</v>
      </c>
      <c r="T16" s="59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8.16</v>
      </c>
      <c r="AI16" s="13">
        <f>IF('Données projet'!$A$62&gt;35,AI15+AH16-AQ15,IF(A16&lt;'Données projet'!$A$62,$AF$205^A16,IF(A16='Données projet'!$A$62,'Données projet'!$B$62,AI15+AH16-AQ15)))</f>
        <v>15.88574866303804</v>
      </c>
      <c r="AJ16" s="13">
        <f>AI16*VLOOKUP('Données projet'!$B$10,Paramètres!$A$1:$I$89,3,0)*VLOOKUP('Données projet'!$B$10,Paramètres!$A$1:$I$89,5,0)</f>
        <v>7.4345303743018025</v>
      </c>
      <c r="AK16" s="13">
        <f t="shared" si="35"/>
        <v>2.7126370734370968</v>
      </c>
      <c r="AL16" s="20">
        <f t="shared" si="4"/>
        <v>17.672983304811915</v>
      </c>
      <c r="AM16" s="59">
        <f t="shared" si="5"/>
        <v>290.22853886036745</v>
      </c>
      <c r="AN16" s="59">
        <f ca="1">AVERAGE(OFFSET($AM$3,0,0,'Données projet'!$E$10+1,1))-AVERAGE(OFFSET($H$3,0,0,'Données projet'!$E$10+1,1))</f>
        <v>218.32525311070435</v>
      </c>
      <c r="AO16" s="59">
        <f t="shared" si="36"/>
        <v>275.36315264099204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62.399999999999991</v>
      </c>
      <c r="BE16" s="13">
        <f>BD16*VLOOKUP('Données projet'!$B$11,Paramètres!$A$1:$I$89,3,0)*VLOOKUP('Données projet'!$B$11,Paramètres!$A$1:$I$89,5,0)</f>
        <v>59.379839999999994</v>
      </c>
      <c r="BF16" s="13">
        <f t="shared" si="37"/>
        <v>17.01137842079887</v>
      </c>
      <c r="BG16" s="20">
        <f t="shared" si="7"/>
        <v>133.048038749558</v>
      </c>
      <c r="BH16" s="59">
        <f t="shared" si="8"/>
        <v>405.60359430511357</v>
      </c>
      <c r="BI16" s="59">
        <f ca="1">AVERAGE(OFFSET($BH$3,0,0,'Données projet'!$E$11+1,1))-AVERAGE(OFFSET($H$3,0,0,'Données projet'!$E$11+1,1))</f>
        <v>446.62872871405051</v>
      </c>
      <c r="BJ16" s="59">
        <f t="shared" si="38"/>
        <v>471.28934889691658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10.95</v>
      </c>
      <c r="BY16" s="12">
        <f>IF('Données projet'!$A$114&gt;35,BY15+BX16-CG15,IF(A16&lt;'Données projet'!$A$114,$BV$205^A16,IF(A16='Données projet'!$A$114,'Données projet'!$B$114,BY15+BX16-CG15)))</f>
        <v>33.211514044938319</v>
      </c>
      <c r="BZ16" s="13">
        <f>BY16*VLOOKUP('Données projet'!$B$12,Paramètres!$A$1:$I$89,3,0)*VLOOKUP('Données projet'!$B$12,Paramètres!$A$1:$I$89,5,0)</f>
        <v>14.679489207862737</v>
      </c>
      <c r="CA16" s="13">
        <f t="shared" si="39"/>
        <v>4.9483208885402146</v>
      </c>
      <c r="CB16" s="20">
        <f t="shared" si="10"/>
        <v>34.185102584568476</v>
      </c>
      <c r="CC16" s="59">
        <f t="shared" si="11"/>
        <v>306.74065814012403</v>
      </c>
      <c r="CD16" s="59">
        <f ca="1">AVERAGE(OFFSET($CC$3,0,0,'Données projet'!$E$12+1,1))-AVERAGE(OFFSET($H$3,0,0,'Données projet'!$E$12+1,1))</f>
        <v>534.99316143569899</v>
      </c>
      <c r="CE16" s="59">
        <f t="shared" si="40"/>
        <v>449.56965858934262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</v>
      </c>
      <c r="CT16" s="12">
        <f>IF('Données projet'!$A$140&gt;35,CT15+CS16-DB15,IF(A16&lt;'Données projet'!$A$140,$CQ$205^A16,IF(A16='Données projet'!$A$140,'Données projet'!$B$140,CT15+CS16-DB15)))</f>
        <v>7.6465300968101211</v>
      </c>
      <c r="CU16" s="17">
        <f>CT16*VLOOKUP('Données projet'!$B$13,Paramètres!$A$1:$I$89,3,0)*VLOOKUP('Données projet'!$B$13,Paramètres!$A$1:$I$89,5,0)</f>
        <v>8.7078684742473662</v>
      </c>
      <c r="CV16" s="13">
        <f t="shared" si="41"/>
        <v>3.1193074682418134</v>
      </c>
      <c r="CW16" s="20">
        <f t="shared" si="13"/>
        <v>20.59899809983532</v>
      </c>
      <c r="CX16" s="59">
        <f t="shared" si="14"/>
        <v>293.15455365539088</v>
      </c>
      <c r="CY16" s="59">
        <f ca="1">AVERAGE(OFFSET($CX$3,0,0,'Données projet'!$E$13+1,1))-AVERAGE(OFFSET($H$3,0,0,'Données projet'!$E$13+1,1))</f>
        <v>389.89050053480827</v>
      </c>
      <c r="CZ16" s="59">
        <f t="shared" si="42"/>
        <v>216.40816051909616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9.7680414609404167</v>
      </c>
      <c r="P17" s="13">
        <f t="shared" si="33"/>
        <v>3.4525976202477158</v>
      </c>
      <c r="Q17" s="20">
        <f t="shared" si="2"/>
        <v>23.025946399735997</v>
      </c>
      <c r="R17" s="59">
        <f t="shared" si="0"/>
        <v>296.80372417751374</v>
      </c>
      <c r="S17" s="59">
        <f ca="1">AVERAGE(OFFSET($R$3,0,0,'Données projet'!$E$9+1,1))-AVERAGE(OFFSET($H$3,0,0,'Données projet'!$E$9+1,1))</f>
        <v>371.7282125501186</v>
      </c>
      <c r="T17" s="59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8.16</v>
      </c>
      <c r="AI17" s="13">
        <f>IF('Données projet'!$A$62&gt;35,AI16+AH17-AQ16,IF(A17&lt;'Données projet'!$A$62,$AF$205^A17,IF(A17='Données projet'!$A$62,'Données projet'!$B$62,AI16+AH17-AQ16)))</f>
        <v>19.651372762315496</v>
      </c>
      <c r="AJ17" s="13">
        <f>AI17*VLOOKUP('Données projet'!$B$10,Paramètres!$A$1:$I$89,3,0)*VLOOKUP('Données projet'!$B$10,Paramètres!$A$1:$I$89,5,0)</f>
        <v>9.1968424527636525</v>
      </c>
      <c r="AK17" s="13">
        <f t="shared" si="35"/>
        <v>3.273582282876474</v>
      </c>
      <c r="AL17" s="20">
        <f t="shared" si="4"/>
        <v>21.719323081239882</v>
      </c>
      <c r="AM17" s="59">
        <f t="shared" si="5"/>
        <v>295.49710085901768</v>
      </c>
      <c r="AN17" s="59">
        <f ca="1">AVERAGE(OFFSET($AM$3,0,0,'Données projet'!$E$10+1,1))-AVERAGE(OFFSET($H$3,0,0,'Données projet'!$E$10+1,1))</f>
        <v>218.32525311070435</v>
      </c>
      <c r="AO17" s="59">
        <f t="shared" si="36"/>
        <v>275.36315264099204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73.199999999999989</v>
      </c>
      <c r="BE17" s="13">
        <f>BD17*VLOOKUP('Données projet'!$B$11,Paramètres!$A$1:$I$89,3,0)*VLOOKUP('Données projet'!$B$11,Paramètres!$A$1:$I$89,5,0)</f>
        <v>69.657119999999992</v>
      </c>
      <c r="BF17" s="13">
        <f t="shared" si="37"/>
        <v>19.588284064056172</v>
      </c>
      <c r="BG17" s="20">
        <f t="shared" si="7"/>
        <v>155.43574541156448</v>
      </c>
      <c r="BH17" s="59">
        <f t="shared" si="8"/>
        <v>429.21352318934225</v>
      </c>
      <c r="BI17" s="59">
        <f ca="1">AVERAGE(OFFSET($BH$3,0,0,'Données projet'!$E$11+1,1))-AVERAGE(OFFSET($H$3,0,0,'Données projet'!$E$11+1,1))</f>
        <v>446.62872871405051</v>
      </c>
      <c r="BJ17" s="59">
        <f t="shared" si="38"/>
        <v>471.28934889691658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10.95</v>
      </c>
      <c r="BY17" s="12">
        <f>IF('Données projet'!$A$114&gt;35,BY16+BX17-CG16,IF(A17&lt;'Données projet'!$A$114,$BV$205^A17,IF(A17='Données projet'!$A$114,'Données projet'!$B$114,BY16+BX17-CG16)))</f>
        <v>43.482137034449963</v>
      </c>
      <c r="BZ17" s="13">
        <f>BY17*VLOOKUP('Données projet'!$B$12,Paramètres!$A$1:$I$89,3,0)*VLOOKUP('Données projet'!$B$12,Paramètres!$A$1:$I$89,5,0)</f>
        <v>19.219104569226886</v>
      </c>
      <c r="CA17" s="13">
        <f t="shared" si="39"/>
        <v>6.2785401522312352</v>
      </c>
      <c r="CB17" s="20">
        <f t="shared" si="10"/>
        <v>44.408397889872894</v>
      </c>
      <c r="CC17" s="59">
        <f t="shared" si="11"/>
        <v>318.18617566765067</v>
      </c>
      <c r="CD17" s="59">
        <f ca="1">AVERAGE(OFFSET($CC$3,0,0,'Données projet'!$E$12+1,1))-AVERAGE(OFFSET($H$3,0,0,'Données projet'!$E$12+1,1))</f>
        <v>534.99316143569899</v>
      </c>
      <c r="CE17" s="59">
        <f t="shared" si="40"/>
        <v>449.56965858934262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</v>
      </c>
      <c r="CT17" s="12">
        <f>IF('Données projet'!$A$140&gt;35,CT16+CS17-DB16,IF(A17&lt;'Données projet'!$A$140,$CQ$205^A17,IF(A17='Données projet'!$A$140,'Données projet'!$B$140,CT16+CS17-DB16)))</f>
        <v>8.9417639810633762</v>
      </c>
      <c r="CU17" s="17">
        <f>CT17*VLOOKUP('Données projet'!$B$13,Paramètres!$A$1:$I$89,3,0)*VLOOKUP('Données projet'!$B$13,Paramètres!$A$1:$I$89,5,0)</f>
        <v>10.182880821634974</v>
      </c>
      <c r="CV17" s="13">
        <f t="shared" si="41"/>
        <v>3.581843288569992</v>
      </c>
      <c r="CW17" s="20">
        <f t="shared" si="13"/>
        <v>23.973561158606984</v>
      </c>
      <c r="CX17" s="59">
        <f t="shared" si="14"/>
        <v>297.75133893638474</v>
      </c>
      <c r="CY17" s="59">
        <f ca="1">AVERAGE(OFFSET($CX$3,0,0,'Données projet'!$E$13+1,1))-AVERAGE(OFFSET($H$3,0,0,'Données projet'!$E$13+1,1))</f>
        <v>389.89050053480827</v>
      </c>
      <c r="CZ17" s="59">
        <f t="shared" si="42"/>
        <v>216.40816051909616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11.577410062585395</v>
      </c>
      <c r="P18" s="13">
        <f t="shared" si="33"/>
        <v>4.0119832574435987</v>
      </c>
      <c r="Q18" s="20">
        <f t="shared" si="2"/>
        <v>27.151526699050493</v>
      </c>
      <c r="R18" s="59">
        <f t="shared" si="0"/>
        <v>302.15152669905046</v>
      </c>
      <c r="S18" s="59">
        <f ca="1">AVERAGE(OFFSET($R$3,0,0,'Données projet'!$E$9+1,1))-AVERAGE(OFFSET($H$3,0,0,'Données projet'!$E$9+1,1))</f>
        <v>371.7282125501186</v>
      </c>
      <c r="T18" s="59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8.16</v>
      </c>
      <c r="AI18" s="13">
        <f>IF('Données projet'!$A$62&gt;35,AI17+AH18-AQ17,IF(A18&lt;'Données projet'!$A$62,$AF$205^A18,IF(A18='Données projet'!$A$62,'Données projet'!$B$62,AI17+AH18-AQ17)))</f>
        <v>24.309616098988553</v>
      </c>
      <c r="AJ18" s="13">
        <f>AI18*VLOOKUP('Données projet'!$B$10,Paramètres!$A$1:$I$89,3,0)*VLOOKUP('Données projet'!$B$10,Paramètres!$A$1:$I$89,5,0)</f>
        <v>11.376900334326642</v>
      </c>
      <c r="AK18" s="13">
        <f t="shared" si="35"/>
        <v>3.9505251431163275</v>
      </c>
      <c r="AL18" s="20">
        <f t="shared" si="4"/>
        <v>26.695266039879836</v>
      </c>
      <c r="AM18" s="59">
        <f t="shared" si="5"/>
        <v>301.69526603987981</v>
      </c>
      <c r="AN18" s="59">
        <f ca="1">AVERAGE(OFFSET($AM$3,0,0,'Données projet'!$E$10+1,1))-AVERAGE(OFFSET($H$3,0,0,'Données projet'!$E$10+1,1))</f>
        <v>218.32525311070435</v>
      </c>
      <c r="AO18" s="59">
        <f t="shared" si="36"/>
        <v>275.36315264099204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84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83.999999999999986</v>
      </c>
      <c r="BE18" s="13">
        <f>BD18*VLOOKUP('Données projet'!$B$11,Paramètres!$A$1:$I$89,3,0)*VLOOKUP('Données projet'!$B$11,Paramètres!$A$1:$I$89,5,0)</f>
        <v>79.934399999999982</v>
      </c>
      <c r="BF18" s="13">
        <f t="shared" si="37"/>
        <v>22.121143821921812</v>
      </c>
      <c r="BG18" s="20">
        <f t="shared" si="7"/>
        <v>177.74673882318044</v>
      </c>
      <c r="BH18" s="59">
        <f t="shared" si="8"/>
        <v>452.74673882318041</v>
      </c>
      <c r="BI18" s="59">
        <f ca="1">AVERAGE(OFFSET($BH$3,0,0,'Données projet'!$E$11+1,1))-AVERAGE(OFFSET($H$3,0,0,'Données projet'!$E$11+1,1))</f>
        <v>446.62872871405051</v>
      </c>
      <c r="BJ18" s="59">
        <f t="shared" si="38"/>
        <v>471.28934889691658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16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10.95</v>
      </c>
      <c r="BY18" s="12">
        <f>IF('Données projet'!$A$114&gt;35,BY17+BX18-CG17,IF(A18&lt;'Données projet'!$A$114,$BV$205^A18,IF(A18='Données projet'!$A$114,'Données projet'!$B$114,BY17+BX18-CG17)))</f>
        <v>56.928938515853091</v>
      </c>
      <c r="BZ18" s="13">
        <f>BY18*VLOOKUP('Données projet'!$B$12,Paramètres!$A$1:$I$89,3,0)*VLOOKUP('Données projet'!$B$12,Paramètres!$A$1:$I$89,5,0)</f>
        <v>25.162590824007069</v>
      </c>
      <c r="CA18" s="13">
        <f t="shared" si="39"/>
        <v>7.9663520881340739</v>
      </c>
      <c r="CB18" s="20">
        <f t="shared" si="10"/>
        <v>57.699575571979153</v>
      </c>
      <c r="CC18" s="59">
        <f t="shared" si="11"/>
        <v>332.69957557197915</v>
      </c>
      <c r="CD18" s="59">
        <f ca="1">AVERAGE(OFFSET($CC$3,0,0,'Données projet'!$E$12+1,1))-AVERAGE(OFFSET($H$3,0,0,'Données projet'!$E$12+1,1))</f>
        <v>534.99316143569899</v>
      </c>
      <c r="CE18" s="59">
        <f t="shared" si="40"/>
        <v>449.56965858934262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</v>
      </c>
      <c r="CT18" s="12">
        <f>IF('Données projet'!$A$140&gt;35,CT17+CS18-DB17,IF(A18&lt;'Données projet'!$A$140,$CQ$205^A18,IF(A18='Données projet'!$A$140,'Données projet'!$B$140,CT17+CS18-DB17)))</f>
        <v>10.456395525912727</v>
      </c>
      <c r="CU18" s="17">
        <f>CT18*VLOOKUP('Données projet'!$B$13,Paramètres!$A$1:$I$89,3,0)*VLOOKUP('Données projet'!$B$13,Paramètres!$A$1:$I$89,5,0)</f>
        <v>11.907743224909414</v>
      </c>
      <c r="CV18" s="13">
        <f t="shared" si="41"/>
        <v>4.1129646482413778</v>
      </c>
      <c r="CW18" s="20">
        <f t="shared" si="13"/>
        <v>27.902732879070957</v>
      </c>
      <c r="CX18" s="59">
        <f t="shared" si="14"/>
        <v>302.90273287907098</v>
      </c>
      <c r="CY18" s="59">
        <f ca="1">AVERAGE(OFFSET($CX$3,0,0,'Données projet'!$E$13+1,1))-AVERAGE(OFFSET($H$3,0,0,'Données projet'!$E$13+1,1))</f>
        <v>389.89050053480827</v>
      </c>
      <c r="CZ18" s="59">
        <f t="shared" si="42"/>
        <v>216.40816051909616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13.721934360457679</v>
      </c>
      <c r="P19" s="13">
        <f t="shared" si="33"/>
        <v>4.6619998703622194</v>
      </c>
      <c r="Q19" s="20">
        <f t="shared" si="2"/>
        <v>32.018685452011319</v>
      </c>
      <c r="R19" s="59">
        <f t="shared" si="0"/>
        <v>308.24090767423354</v>
      </c>
      <c r="S19" s="59">
        <f ca="1">AVERAGE(OFFSET($R$3,0,0,'Données projet'!$E$9+1,1))-AVERAGE(OFFSET($H$3,0,0,'Données projet'!$E$9+1,1))</f>
        <v>371.7282125501186</v>
      </c>
      <c r="T19" s="59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8.16</v>
      </c>
      <c r="AI19" s="13">
        <f>IF('Données projet'!$A$62&gt;35,AI18+AH19-AQ18,IF(A19&lt;'Données projet'!$A$62,$AF$205^A19,IF(A19='Données projet'!$A$62,'Données projet'!$B$62,AI18+AH19-AQ18)))</f>
        <v>30.072068858896934</v>
      </c>
      <c r="AJ19" s="13">
        <f>AI19*VLOOKUP('Données projet'!$B$10,Paramètres!$A$1:$I$89,3,0)*VLOOKUP('Données projet'!$B$10,Paramètres!$A$1:$I$89,5,0)</f>
        <v>14.073728225963766</v>
      </c>
      <c r="AK19" s="13">
        <f t="shared" si="35"/>
        <v>4.767452765134359</v>
      </c>
      <c r="AL19" s="20">
        <f t="shared" si="4"/>
        <v>32.815056892829233</v>
      </c>
      <c r="AM19" s="59">
        <f t="shared" si="5"/>
        <v>309.03727911505143</v>
      </c>
      <c r="AN19" s="59">
        <f ca="1">AVERAGE(OFFSET($AM$3,0,0,'Données projet'!$E$10+1,1))-AVERAGE(OFFSET($H$3,0,0,'Données projet'!$E$10+1,1))</f>
        <v>218.32525311070435</v>
      </c>
      <c r="AO19" s="59">
        <f t="shared" si="36"/>
        <v>275.36315264099204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12.6</v>
      </c>
      <c r="BD19" s="12">
        <f>IF('Données projet'!$A$88&gt;35,BD18+BC19-BL18,IF(A19&lt;'Données projet'!$A$88,$BA$205^A19,IF(A19='Données projet'!$A$88,'Données projet'!$B$88,BD18+BC19-BL18)))</f>
        <v>80.59999999999998</v>
      </c>
      <c r="BE19" s="13">
        <f>BD19*VLOOKUP('Données projet'!$B$11,Paramètres!$A$1:$I$89,3,0)*VLOOKUP('Données projet'!$B$11,Paramètres!$A$1:$I$89,5,0)</f>
        <v>76.698959999999985</v>
      </c>
      <c r="BF19" s="13">
        <f t="shared" si="37"/>
        <v>21.328093949706499</v>
      </c>
      <c r="BG19" s="20">
        <f t="shared" si="7"/>
        <v>170.73045229573881</v>
      </c>
      <c r="BH19" s="59">
        <f t="shared" si="8"/>
        <v>446.95267451796104</v>
      </c>
      <c r="BI19" s="59">
        <f ca="1">AVERAGE(OFFSET($BH$3,0,0,'Données projet'!$E$11+1,1))-AVERAGE(OFFSET($H$3,0,0,'Données projet'!$E$11+1,1))</f>
        <v>446.62872871405051</v>
      </c>
      <c r="BJ19" s="59">
        <f t="shared" si="38"/>
        <v>471.28934889691658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10.95</v>
      </c>
      <c r="BY19" s="12">
        <f>IF('Données projet'!$A$114&gt;35,BY18+BX19-CG18,IF(A19&lt;'Données projet'!$A$114,$BV$205^A19,IF(A19='Données projet'!$A$114,'Données projet'!$B$114,BY18+BX19-CG18)))</f>
        <v>74.534148079568467</v>
      </c>
      <c r="BZ19" s="13">
        <f>BY19*VLOOKUP('Données projet'!$B$12,Paramètres!$A$1:$I$89,3,0)*VLOOKUP('Données projet'!$B$12,Paramètres!$A$1:$I$89,5,0)</f>
        <v>32.944093451169266</v>
      </c>
      <c r="CA19" s="13">
        <f t="shared" si="39"/>
        <v>10.107885599738509</v>
      </c>
      <c r="CB19" s="20">
        <f t="shared" si="10"/>
        <v>74.982196846997709</v>
      </c>
      <c r="CC19" s="59">
        <f t="shared" si="11"/>
        <v>351.20441906921997</v>
      </c>
      <c r="CD19" s="59">
        <f ca="1">AVERAGE(OFFSET($CC$3,0,0,'Données projet'!$E$12+1,1))-AVERAGE(OFFSET($H$3,0,0,'Données projet'!$E$12+1,1))</f>
        <v>534.99316143569899</v>
      </c>
      <c r="CE19" s="59">
        <f t="shared" si="40"/>
        <v>449.56965858934262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</v>
      </c>
      <c r="CT19" s="12">
        <f>IF('Données projet'!$A$140&gt;35,CT18+CS19-DB18,IF(A19&lt;'Données projet'!$A$140,$CQ$205^A19,IF(A19='Données projet'!$A$140,'Données projet'!$B$140,CT18+CS19-DB18)))</f>
        <v>12.227588161114175</v>
      </c>
      <c r="CU19" s="17">
        <f>CT19*VLOOKUP('Données projet'!$B$13,Paramètres!$A$1:$I$89,3,0)*VLOOKUP('Données projet'!$B$13,Paramètres!$A$1:$I$89,5,0)</f>
        <v>13.924777397876824</v>
      </c>
      <c r="CV19" s="13">
        <f t="shared" si="41"/>
        <v>4.7228415189646755</v>
      </c>
      <c r="CW19" s="20">
        <f t="shared" si="13"/>
        <v>32.477936280165608</v>
      </c>
      <c r="CX19" s="59">
        <f t="shared" si="14"/>
        <v>308.70015850238781</v>
      </c>
      <c r="CY19" s="59">
        <f ca="1">AVERAGE(OFFSET($CX$3,0,0,'Données projet'!$E$13+1,1))-AVERAGE(OFFSET($H$3,0,0,'Données projet'!$E$13+1,1))</f>
        <v>389.89050053480827</v>
      </c>
      <c r="CZ19" s="59">
        <f t="shared" si="42"/>
        <v>216.40816051909616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16.263696420429028</v>
      </c>
      <c r="P20" s="13">
        <f t="shared" si="33"/>
        <v>5.4173313786723556</v>
      </c>
      <c r="Q20" s="20">
        <f t="shared" si="2"/>
        <v>37.761123416768235</v>
      </c>
      <c r="R20" s="59">
        <f t="shared" si="0"/>
        <v>315.20556786121267</v>
      </c>
      <c r="S20" s="59">
        <f ca="1">AVERAGE(OFFSET($R$3,0,0,'Données projet'!$E$9+1,1))-AVERAGE(OFFSET($H$3,0,0,'Données projet'!$E$9+1,1))</f>
        <v>371.7282125501186</v>
      </c>
      <c r="T20" s="59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8.16</v>
      </c>
      <c r="AI20" s="13">
        <f>IF('Données projet'!$A$62&gt;35,AI19+AH20-AQ19,IF(A20&lt;'Données projet'!$A$62,$AF$205^A20,IF(A20='Données projet'!$A$62,'Données projet'!$B$62,AI19+AH20-AQ19)))</f>
        <v>37.200477447764598</v>
      </c>
      <c r="AJ20" s="13">
        <f>AI20*VLOOKUP('Données projet'!$B$10,Paramètres!$A$1:$I$89,3,0)*VLOOKUP('Données projet'!$B$10,Paramètres!$A$1:$I$89,5,0)</f>
        <v>17.409823445553833</v>
      </c>
      <c r="AK20" s="13">
        <f t="shared" si="35"/>
        <v>5.753312545647546</v>
      </c>
      <c r="AL20" s="20">
        <f t="shared" si="4"/>
        <v>40.342461851342399</v>
      </c>
      <c r="AM20" s="59">
        <f t="shared" si="5"/>
        <v>317.78690629578688</v>
      </c>
      <c r="AN20" s="59">
        <f ca="1">AVERAGE(OFFSET($AM$3,0,0,'Données projet'!$E$10+1,1))-AVERAGE(OFFSET($H$3,0,0,'Données projet'!$E$10+1,1))</f>
        <v>218.32525311070435</v>
      </c>
      <c r="AO20" s="59">
        <f t="shared" si="36"/>
        <v>275.36315264099204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12.6</v>
      </c>
      <c r="BD20" s="12">
        <f>IF('Données projet'!$A$88&gt;35,BD19+BC20-BL19,IF(A20&lt;'Données projet'!$A$88,$BA$205^A20,IF(A20='Données projet'!$A$88,'Données projet'!$B$88,BD19+BC20-BL19)))</f>
        <v>93.199999999999974</v>
      </c>
      <c r="BE20" s="13">
        <f>BD20*VLOOKUP('Données projet'!$B$11,Paramètres!$A$1:$I$89,3,0)*VLOOKUP('Données projet'!$B$11,Paramètres!$A$1:$I$89,5,0)</f>
        <v>88.689119999999974</v>
      </c>
      <c r="BF20" s="13">
        <f t="shared" si="37"/>
        <v>24.248802836496601</v>
      </c>
      <c r="BG20" s="20">
        <f t="shared" si="7"/>
        <v>196.70021560689815</v>
      </c>
      <c r="BH20" s="59">
        <f t="shared" si="8"/>
        <v>474.14466005134261</v>
      </c>
      <c r="BI20" s="59">
        <f ca="1">AVERAGE(OFFSET($BH$3,0,0,'Données projet'!$E$11+1,1))-AVERAGE(OFFSET($H$3,0,0,'Données projet'!$E$11+1,1))</f>
        <v>446.62872871405051</v>
      </c>
      <c r="BJ20" s="59">
        <f t="shared" si="38"/>
        <v>471.28934889691658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10.95</v>
      </c>
      <c r="BY20" s="12">
        <f>IF('Données projet'!$A$114&gt;35,BY19+BX20-CG19,IF(A20&lt;'Données projet'!$A$114,$BV$205^A20,IF(A20='Données projet'!$A$114,'Données projet'!$B$114,BY19+BX20-CG19)))</f>
        <v>97.583748701023751</v>
      </c>
      <c r="BZ20" s="13">
        <f>BY20*VLOOKUP('Données projet'!$B$12,Paramètres!$A$1:$I$89,3,0)*VLOOKUP('Données projet'!$B$12,Paramètres!$A$1:$I$89,5,0)</f>
        <v>43.132016925852504</v>
      </c>
      <c r="CA20" s="13">
        <f t="shared" si="39"/>
        <v>12.825111188542991</v>
      </c>
      <c r="CB20" s="20">
        <f t="shared" si="10"/>
        <v>97.458664799238818</v>
      </c>
      <c r="CC20" s="59">
        <f t="shared" si="11"/>
        <v>374.90310924368328</v>
      </c>
      <c r="CD20" s="59">
        <f ca="1">AVERAGE(OFFSET($CC$3,0,0,'Données projet'!$E$12+1,1))-AVERAGE(OFFSET($H$3,0,0,'Données projet'!$E$12+1,1))</f>
        <v>534.99316143569899</v>
      </c>
      <c r="CE20" s="59">
        <f t="shared" si="40"/>
        <v>449.56965858934262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</v>
      </c>
      <c r="CT20" s="12">
        <f>IF('Données projet'!$A$140&gt;35,CT19+CS20-DB19,IF(A20&lt;'Données projet'!$A$140,$CQ$205^A20,IF(A20='Données projet'!$A$140,'Données projet'!$B$140,CT19+CS20-DB19)))</f>
        <v>14.298800372202699</v>
      </c>
      <c r="CU20" s="17">
        <f>CT20*VLOOKUP('Données projet'!$B$13,Paramètres!$A$1:$I$89,3,0)*VLOOKUP('Données projet'!$B$13,Paramètres!$A$1:$I$89,5,0)</f>
        <v>16.283473863864433</v>
      </c>
      <c r="CV20" s="13">
        <f t="shared" si="41"/>
        <v>5.4231518918583044</v>
      </c>
      <c r="CW20" s="20">
        <f t="shared" si="13"/>
        <v>37.805706524550438</v>
      </c>
      <c r="CX20" s="59">
        <f t="shared" si="14"/>
        <v>315.25015096899489</v>
      </c>
      <c r="CY20" s="59">
        <f ca="1">AVERAGE(OFFSET($CX$3,0,0,'Données projet'!$E$13+1,1))-AVERAGE(OFFSET($H$3,0,0,'Données projet'!$E$13+1,1))</f>
        <v>389.89050053480827</v>
      </c>
      <c r="CZ20" s="59">
        <f t="shared" si="42"/>
        <v>216.40816051909616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19.276277987315318</v>
      </c>
      <c r="P21" s="13">
        <f t="shared" si="33"/>
        <v>6.2950407727205615</v>
      </c>
      <c r="Q21" s="20">
        <f t="shared" si="2"/>
        <v>44.536713507062494</v>
      </c>
      <c r="R21" s="59">
        <f t="shared" si="0"/>
        <v>323.20338017372916</v>
      </c>
      <c r="S21" s="59">
        <f ca="1">AVERAGE(OFFSET($R$3,0,0,'Données projet'!$E$9+1,1))-AVERAGE(OFFSET($H$3,0,0,'Données projet'!$E$9+1,1))</f>
        <v>371.7282125501186</v>
      </c>
      <c r="T21" s="59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8.16</v>
      </c>
      <c r="AI21" s="13">
        <f>IF('Données projet'!$A$62&gt;35,AI20+AH21-AQ20,IF(A21&lt;'Données projet'!$A$62,$AF$205^A21,IF(A21='Données projet'!$A$62,'Données projet'!$B$62,AI20+AH21-AQ20)))</f>
        <v>46.018633730689196</v>
      </c>
      <c r="AJ21" s="13">
        <f>AI21*VLOOKUP('Données projet'!$B$10,Paramètres!$A$1:$I$89,3,0)*VLOOKUP('Données projet'!$B$10,Paramètres!$A$1:$I$89,5,0)</f>
        <v>21.536720585962545</v>
      </c>
      <c r="AK21" s="13">
        <f t="shared" si="35"/>
        <v>6.9430379027515308</v>
      </c>
      <c r="AL21" s="20">
        <f t="shared" si="4"/>
        <v>49.602246034510351</v>
      </c>
      <c r="AM21" s="59">
        <f t="shared" si="5"/>
        <v>328.26891270117704</v>
      </c>
      <c r="AN21" s="59">
        <f ca="1">AVERAGE(OFFSET($AM$3,0,0,'Données projet'!$E$10+1,1))-AVERAGE(OFFSET($H$3,0,0,'Données projet'!$E$10+1,1))</f>
        <v>218.32525311070435</v>
      </c>
      <c r="AO21" s="59">
        <f t="shared" si="36"/>
        <v>275.36315264099204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12.6</v>
      </c>
      <c r="BD21" s="12">
        <f>IF('Données projet'!$A$88&gt;35,BD20+BC21-BL20,IF(A21&lt;'Données projet'!$A$88,$BA$205^A21,IF(A21='Données projet'!$A$88,'Données projet'!$B$88,BD20+BC21-BL20)))</f>
        <v>105.79999999999997</v>
      </c>
      <c r="BE21" s="13">
        <f>BD21*VLOOKUP('Données projet'!$B$11,Paramètres!$A$1:$I$89,3,0)*VLOOKUP('Données projet'!$B$11,Paramètres!$A$1:$I$89,5,0)</f>
        <v>100.67927999999998</v>
      </c>
      <c r="BF21" s="13">
        <f t="shared" si="37"/>
        <v>27.123762824785597</v>
      </c>
      <c r="BG21" s="20">
        <f t="shared" si="7"/>
        <v>222.59029958650152</v>
      </c>
      <c r="BH21" s="59">
        <f t="shared" si="8"/>
        <v>501.25696625316823</v>
      </c>
      <c r="BI21" s="59">
        <f ca="1">AVERAGE(OFFSET($BH$3,0,0,'Données projet'!$E$11+1,1))-AVERAGE(OFFSET($H$3,0,0,'Données projet'!$E$11+1,1))</f>
        <v>446.62872871405051</v>
      </c>
      <c r="BJ21" s="59">
        <f t="shared" si="38"/>
        <v>471.28934889691658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10.95</v>
      </c>
      <c r="BY21" s="12">
        <f>IF('Données projet'!$A$114&gt;35,BY20+BX21-CG20,IF(A21&lt;'Données projet'!$A$114,$BV$205^A21,IF(A21='Données projet'!$A$114,'Données projet'!$B$114,BY20+BX21-CG20)))</f>
        <v>127.76141212989749</v>
      </c>
      <c r="BZ21" s="13">
        <f>BY21*VLOOKUP('Données projet'!$B$12,Paramètres!$A$1:$I$89,3,0)*VLOOKUP('Données projet'!$B$12,Paramètres!$A$1:$I$89,5,0)</f>
        <v>56.470544161414701</v>
      </c>
      <c r="CA21" s="13">
        <f t="shared" si="39"/>
        <v>16.272787753231583</v>
      </c>
      <c r="CB21" s="20">
        <f t="shared" si="10"/>
        <v>126.69463641800894</v>
      </c>
      <c r="CC21" s="59">
        <f t="shared" si="11"/>
        <v>405.36130308467563</v>
      </c>
      <c r="CD21" s="59">
        <f ca="1">AVERAGE(OFFSET($CC$3,0,0,'Données projet'!$E$12+1,1))-AVERAGE(OFFSET($H$3,0,0,'Données projet'!$E$12+1,1))</f>
        <v>534.99316143569899</v>
      </c>
      <c r="CE21" s="59">
        <f t="shared" si="40"/>
        <v>449.56965858934262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</v>
      </c>
      <c r="CT21" s="12">
        <f>IF('Données projet'!$A$140&gt;35,CT20+CS21-DB20,IF(A21&lt;'Données projet'!$A$140,$CQ$205^A21,IF(A21='Données projet'!$A$140,'Données projet'!$B$140,CT20+CS21-DB20)))</f>
        <v>16.720852010236015</v>
      </c>
      <c r="CU21" s="17">
        <f>CT21*VLOOKUP('Données projet'!$B$13,Paramètres!$A$1:$I$89,3,0)*VLOOKUP('Données projet'!$B$13,Paramètres!$A$1:$I$89,5,0)</f>
        <v>19.041706269256775</v>
      </c>
      <c r="CV21" s="13">
        <f t="shared" si="41"/>
        <v>6.2273053889416978</v>
      </c>
      <c r="CW21" s="20">
        <f t="shared" si="13"/>
        <v>44.010195304695664</v>
      </c>
      <c r="CX21" s="59">
        <f t="shared" si="14"/>
        <v>322.67686197136237</v>
      </c>
      <c r="CY21" s="59">
        <f ca="1">AVERAGE(OFFSET($CX$3,0,0,'Données projet'!$E$13+1,1))-AVERAGE(OFFSET($H$3,0,0,'Données projet'!$E$13+1,1))</f>
        <v>389.89050053480827</v>
      </c>
      <c r="CZ21" s="59">
        <f t="shared" si="42"/>
        <v>216.40816051909616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22.846890610766522</v>
      </c>
      <c r="P22" s="13">
        <f t="shared" si="33"/>
        <v>7.3149555676481315</v>
      </c>
      <c r="Q22" s="20">
        <f t="shared" si="2"/>
        <v>52.531882094072188</v>
      </c>
      <c r="R22" s="59">
        <f t="shared" si="0"/>
        <v>332.42077098296102</v>
      </c>
      <c r="S22" s="59">
        <f ca="1">AVERAGE(OFFSET($R$3,0,0,'Données projet'!$E$9+1,1))-AVERAGE(OFFSET($H$3,0,0,'Données projet'!$E$9+1,1))</f>
        <v>371.7282125501186</v>
      </c>
      <c r="T22" s="59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8.16</v>
      </c>
      <c r="AI22" s="13">
        <f>IF('Données projet'!$A$62&gt;35,AI21+AH22-AQ21,IF(A22&lt;'Données projet'!$A$62,$AF$205^A22,IF(A22='Données projet'!$A$62,'Données projet'!$B$62,AI21+AH22-AQ21)))</f>
        <v>56.927082546532752</v>
      </c>
      <c r="AJ22" s="13">
        <f>AI22*VLOOKUP('Données projet'!$B$10,Paramètres!$A$1:$I$89,3,0)*VLOOKUP('Données projet'!$B$10,Paramètres!$A$1:$I$89,5,0)</f>
        <v>26.641874631777327</v>
      </c>
      <c r="AK22" s="13">
        <f t="shared" si="35"/>
        <v>8.3787861230505634</v>
      </c>
      <c r="AL22" s="20">
        <f t="shared" si="4"/>
        <v>60.994317481325233</v>
      </c>
      <c r="AM22" s="59">
        <f t="shared" si="5"/>
        <v>340.88320637021411</v>
      </c>
      <c r="AN22" s="59">
        <f ca="1">AVERAGE(OFFSET($AM$3,0,0,'Données projet'!$E$10+1,1))-AVERAGE(OFFSET($H$3,0,0,'Données projet'!$E$10+1,1))</f>
        <v>218.32525311070435</v>
      </c>
      <c r="AO22" s="59">
        <f t="shared" si="36"/>
        <v>275.36315264099204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12.6</v>
      </c>
      <c r="BD22" s="12">
        <f>IF('Données projet'!$A$88&gt;35,BD21+BC22-BL21,IF(A22&lt;'Données projet'!$A$88,$BA$205^A22,IF(A22='Données projet'!$A$88,'Données projet'!$B$88,BD21+BC22-BL21)))</f>
        <v>118.39999999999996</v>
      </c>
      <c r="BE22" s="13">
        <f>BD22*VLOOKUP('Données projet'!$B$11,Paramètres!$A$1:$I$89,3,0)*VLOOKUP('Données projet'!$B$11,Paramètres!$A$1:$I$89,5,0)</f>
        <v>112.66943999999997</v>
      </c>
      <c r="BF22" s="13">
        <f t="shared" si="37"/>
        <v>29.959045076733577</v>
      </c>
      <c r="BG22" s="20">
        <f t="shared" si="7"/>
        <v>248.41127817531091</v>
      </c>
      <c r="BH22" s="59">
        <f t="shared" si="8"/>
        <v>528.30016706419974</v>
      </c>
      <c r="BI22" s="59">
        <f ca="1">AVERAGE(OFFSET($BH$3,0,0,'Données projet'!$E$11+1,1))-AVERAGE(OFFSET($H$3,0,0,'Données projet'!$E$11+1,1))</f>
        <v>446.62872871405051</v>
      </c>
      <c r="BJ22" s="59">
        <f t="shared" si="38"/>
        <v>471.28934889691658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10.95</v>
      </c>
      <c r="BY22" s="12">
        <f>IF('Données projet'!$A$114&gt;35,BY21+BX22-CG21,IF(A22&lt;'Données projet'!$A$114,$BV$205^A22,IF(A22='Données projet'!$A$114,'Données projet'!$B$114,BY21+BX22-CG21)))</f>
        <v>167.27148369177453</v>
      </c>
      <c r="BZ22" s="13">
        <f>BY22*VLOOKUP('Données projet'!$B$12,Paramètres!$A$1:$I$89,3,0)*VLOOKUP('Données projet'!$B$12,Paramètres!$A$1:$I$89,5,0)</f>
        <v>73.93399579176436</v>
      </c>
      <c r="CA22" s="13">
        <f t="shared" si="39"/>
        <v>20.64727684375007</v>
      </c>
      <c r="CB22" s="20">
        <f t="shared" si="10"/>
        <v>164.72904984018763</v>
      </c>
      <c r="CC22" s="59">
        <f t="shared" si="11"/>
        <v>444.61793872907651</v>
      </c>
      <c r="CD22" s="59">
        <f ca="1">AVERAGE(OFFSET($CC$3,0,0,'Données projet'!$E$12+1,1))-AVERAGE(OFFSET($H$3,0,0,'Données projet'!$E$12+1,1))</f>
        <v>534.99316143569899</v>
      </c>
      <c r="CE22" s="59">
        <f t="shared" si="40"/>
        <v>449.56965858934262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</v>
      </c>
      <c r="CT22" s="12">
        <f>IF('Données projet'!$A$140&gt;35,CT21+CS22-DB21,IF(A22&lt;'Données projet'!$A$140,$CQ$205^A22,IF(A22='Données projet'!$A$140,'Données projet'!$B$140,CT21+CS22-DB21)))</f>
        <v>19.553171222093507</v>
      </c>
      <c r="CU22" s="17">
        <f>CT22*VLOOKUP('Données projet'!$B$13,Paramètres!$A$1:$I$89,3,0)*VLOOKUP('Données projet'!$B$13,Paramètres!$A$1:$I$89,5,0)</f>
        <v>22.267151387720087</v>
      </c>
      <c r="CV22" s="13">
        <f t="shared" si="41"/>
        <v>7.1507000320904002</v>
      </c>
      <c r="CW22" s="20">
        <f t="shared" si="13"/>
        <v>51.236091222836599</v>
      </c>
      <c r="CX22" s="59">
        <f t="shared" si="14"/>
        <v>331.12498011172545</v>
      </c>
      <c r="CY22" s="59">
        <f ca="1">AVERAGE(OFFSET($CX$3,0,0,'Données projet'!$E$13+1,1))-AVERAGE(OFFSET($H$3,0,0,'Données projet'!$E$13+1,1))</f>
        <v>389.89050053480827</v>
      </c>
      <c r="CZ22" s="59">
        <f t="shared" si="42"/>
        <v>216.40816051909616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27.078900341851195</v>
      </c>
      <c r="P23" s="13">
        <f t="shared" si="33"/>
        <v>8.5001157083119736</v>
      </c>
      <c r="Q23" s="20">
        <f t="shared" si="2"/>
        <v>61.966786287367512</v>
      </c>
      <c r="R23" s="59">
        <f t="shared" si="0"/>
        <v>343.07789739847863</v>
      </c>
      <c r="S23" s="59">
        <f ca="1">AVERAGE(OFFSET($R$3,0,0,'Données projet'!$E$9+1,1))-AVERAGE(OFFSET($H$3,0,0,'Données projet'!$E$9+1,1))</f>
        <v>371.7282125501186</v>
      </c>
      <c r="T23" s="59">
        <f t="shared" si="34"/>
        <v>231.36959598460686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8.16</v>
      </c>
      <c r="AI23" s="13">
        <f>IF('Données projet'!$A$62&gt;35,AI22+AH23-AQ22,IF(A23&lt;'Données projet'!$A$62,$AF$205^A23,IF(A23='Données projet'!$A$62,'Données projet'!$B$62,AI22+AH23-AQ22)))</f>
        <v>70.421315552847034</v>
      </c>
      <c r="AJ23" s="13">
        <f>AI23*VLOOKUP('Données projet'!$B$10,Paramètres!$A$1:$I$89,3,0)*VLOOKUP('Données projet'!$B$10,Paramètres!$A$1:$I$89,5,0)</f>
        <v>32.957175678732412</v>
      </c>
      <c r="AK23" s="13">
        <f t="shared" si="35"/>
        <v>10.111432182734129</v>
      </c>
      <c r="AL23" s="20">
        <f t="shared" si="4"/>
        <v>75.011158692054224</v>
      </c>
      <c r="AM23" s="59">
        <f t="shared" si="5"/>
        <v>356.12226980316535</v>
      </c>
      <c r="AN23" s="59">
        <f ca="1">AVERAGE(OFFSET($AM$3,0,0,'Données projet'!$E$10+1,1))-AVERAGE(OFFSET($H$3,0,0,'Données projet'!$E$10+1,1))</f>
        <v>218.32525311070435</v>
      </c>
      <c r="AO23" s="59">
        <f t="shared" si="36"/>
        <v>275.36315264099204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131</v>
      </c>
      <c r="BB23" s="12">
        <f>VLOOKUP(A23,'Données projet'!$A$87:$I$107,9,0)</f>
        <v>12.6</v>
      </c>
      <c r="BC23" s="12">
        <f t="array" ref="BC23">INDEX(BB:BB,MIN(IF(ISNUMBER(BB23:BB219),ROW(BB23:BB219),"")))</f>
        <v>12.6</v>
      </c>
      <c r="BD23" s="12">
        <f>IF('Données projet'!$A$88&gt;35,BD22+BC23-BL22,IF(A23&lt;'Données projet'!$A$88,$BA$205^A23,IF(A23='Données projet'!$A$88,'Données projet'!$B$88,BD22+BC23-BL22)))</f>
        <v>130.99999999999997</v>
      </c>
      <c r="BE23" s="13">
        <f>BD23*VLOOKUP('Données projet'!$B$11,Paramètres!$A$1:$I$89,3,0)*VLOOKUP('Données projet'!$B$11,Paramètres!$A$1:$I$89,5,0)</f>
        <v>124.65959999999998</v>
      </c>
      <c r="BF23" s="13">
        <f t="shared" si="37"/>
        <v>32.759353242305195</v>
      </c>
      <c r="BG23" s="20">
        <f t="shared" si="7"/>
        <v>274.17134356368149</v>
      </c>
      <c r="BH23" s="59">
        <f t="shared" si="8"/>
        <v>555.28245467479269</v>
      </c>
      <c r="BI23" s="59">
        <f ca="1">AVERAGE(OFFSET($BH$3,0,0,'Données projet'!$E$11+1,1))-AVERAGE(OFFSET($H$3,0,0,'Données projet'!$E$11+1,1))</f>
        <v>446.62872871405051</v>
      </c>
      <c r="BJ23" s="59">
        <f t="shared" si="38"/>
        <v>471.28934889691658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21</v>
      </c>
      <c r="BM23" s="16">
        <f>IF(ISNA(VLOOKUP(A23,'Données projet'!$A$87:$I$107,5,0)),0%,VLOOKUP(A23,'Données projet'!$A$87:$I$107,5,0)*VLOOKUP('Données projet'!$B$11,Paramètres!$A$1:$I$89,7,0))</f>
        <v>0.17200000000000001</v>
      </c>
      <c r="BN23" s="16">
        <f>IF(ISNA(VLOOKUP(A23,'Données projet'!$A$87:$I$107,6,0)),0%,VLOOKUP(A23,'Données projet'!$A$87:$I$107,6,0)*VLOOKUP('Données projet'!$B$11,Paramètres!$A$1:$I$89,7,0))</f>
        <v>3.44E-2</v>
      </c>
      <c r="BO23" s="16">
        <f>IF(ISNA(VLOOKUP(A23,'Données projet'!$A$87:$I$107,7,0)),0%,VLOOKUP(A23,'Données projet'!$A$87:$I$107,7,0))</f>
        <v>0.12</v>
      </c>
      <c r="BP23" s="21">
        <f>EXP(-LN(2)/35)*BP22+(1-EXP(-LN(2)/35))/(LN(2)/35)*BL23*BM23*VLOOKUP('Données projet'!$B$11,Paramètres!$A$1:$I$89,3,0)*0.475*44/12</f>
        <v>3.7996997947467626</v>
      </c>
      <c r="BQ23" s="21">
        <f>EXP(-LN(2)/25)*BQ22+(1-EXP(-LN(2)/25))/(LN(2)/25)*Calculateur!BL23*Calculateur!BN23*VLOOKUP('Données projet'!$B$11,Paramètres!$A$1:$I$89,3,0)*0.475*44/12</f>
        <v>0.75694778577114341</v>
      </c>
      <c r="BR23" s="21">
        <f>EXP(-LN(2)/2)*BR22+(1-EXP(-LN(2)/2))/(LN(2)/2)*BL23*BO23*VLOOKUP('Données projet'!$B$11,Paramètres!$A$1:$I$89,3,0)*0.475*44/12</f>
        <v>2.2626077340849879</v>
      </c>
      <c r="BS23" s="22">
        <f t="shared" si="9"/>
        <v>6.8192553146028931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219</v>
      </c>
      <c r="BW23" s="12">
        <f>VLOOKUP(A23,'Données projet'!$A$113:$I$133,9,0)</f>
        <v>10.95</v>
      </c>
      <c r="BX23" s="12">
        <f t="array" ref="BX23">INDEX(BW:BW,MIN(IF(ISNUMBER(BW23:BW219),ROW(BW23:BW219),"")))</f>
        <v>10.95</v>
      </c>
      <c r="BY23" s="12">
        <f>IF('Données projet'!$A$114&gt;35,BY22+BX23-CG22,IF(A23&lt;'Données projet'!$A$114,$BV$205^A23,IF(A23='Données projet'!$A$114,'Données projet'!$B$114,BY22+BX23-CG22)))</f>
        <v>219</v>
      </c>
      <c r="BZ23" s="13">
        <f>BY23*VLOOKUP('Données projet'!$B$12,Paramètres!$A$1:$I$89,3,0)*VLOOKUP('Données projet'!$B$12,Paramètres!$A$1:$I$89,5,0)</f>
        <v>96.798000000000016</v>
      </c>
      <c r="CA23" s="13">
        <f t="shared" si="39"/>
        <v>26.197726383901067</v>
      </c>
      <c r="CB23" s="20">
        <f t="shared" si="10"/>
        <v>214.21755678529439</v>
      </c>
      <c r="CC23" s="59">
        <f t="shared" si="11"/>
        <v>495.32866789640553</v>
      </c>
      <c r="CD23" s="59">
        <f ca="1">AVERAGE(OFFSET($CC$3,0,0,'Données projet'!$E$12+1,1))-AVERAGE(OFFSET($H$3,0,0,'Données projet'!$E$12+1,1))</f>
        <v>534.99316143569899</v>
      </c>
      <c r="CE23" s="59">
        <f t="shared" si="40"/>
        <v>449.56965858934262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88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0.33</v>
      </c>
      <c r="CJ23" s="16">
        <f>IF(ISNA(VLOOKUP(A23,'Données projet'!$A$113:$I$133,7,0)),0%,VLOOKUP(A23,'Données projet'!$A$113:$I$133,7,0))</f>
        <v>0.4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16.960313657548522</v>
      </c>
      <c r="CM23" s="21">
        <f>EXP(-LN(2)/2)*CM22+(1-EXP(-LN(2)/2))/(LN(2)/2)*CG23*CJ23*VLOOKUP('Données projet'!$B$12,Paramètres!$A$1:$I$89,3,0)*0.475*44/12</f>
        <v>17.61572297783577</v>
      </c>
      <c r="CN23" s="22">
        <f t="shared" si="12"/>
        <v>34.576036635384291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</v>
      </c>
      <c r="CT23" s="12">
        <f>IF('Données projet'!$A$140&gt;35,CT22+CS23-DB22,IF(A23&lt;'Données projet'!$A$140,$CQ$205^A23,IF(A23='Données projet'!$A$140,'Données projet'!$B$140,CT22+CS23-DB22)))</f>
        <v>22.865252596366304</v>
      </c>
      <c r="CU23" s="17">
        <f>CT23*VLOOKUP('Données projet'!$B$13,Paramètres!$A$1:$I$89,3,0)*VLOOKUP('Données projet'!$B$13,Paramètres!$A$1:$I$89,5,0)</f>
        <v>26.038949656741945</v>
      </c>
      <c r="CV23" s="13">
        <f t="shared" si="41"/>
        <v>8.2110170860959464</v>
      </c>
      <c r="CW23" s="20">
        <f t="shared" si="13"/>
        <v>59.652025410442661</v>
      </c>
      <c r="CX23" s="59">
        <f t="shared" si="14"/>
        <v>340.7631365215538</v>
      </c>
      <c r="CY23" s="59">
        <f ca="1">AVERAGE(OFFSET($CX$3,0,0,'Données projet'!$E$13+1,1))-AVERAGE(OFFSET($H$3,0,0,'Données projet'!$E$13+1,1))</f>
        <v>389.89050053480827</v>
      </c>
      <c r="CZ23" s="59">
        <f t="shared" si="42"/>
        <v>216.40816051909616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32.094820088049929</v>
      </c>
      <c r="P24" s="13">
        <f t="shared" si="33"/>
        <v>9.8772940432120837</v>
      </c>
      <c r="Q24" s="20">
        <f t="shared" si="2"/>
        <v>73.101432111948</v>
      </c>
      <c r="R24" s="59">
        <f t="shared" si="0"/>
        <v>355.4347654452813</v>
      </c>
      <c r="S24" s="59">
        <f ca="1">AVERAGE(OFFSET($R$3,0,0,'Données projet'!$E$9+1,1))-AVERAGE(OFFSET($H$3,0,0,'Données projet'!$E$9+1,1))</f>
        <v>371.7282125501186</v>
      </c>
      <c r="T24" s="59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8.16</v>
      </c>
      <c r="AI24" s="13">
        <f>IF('Données projet'!$A$62&gt;35,AI23+AH24-AQ23,IF(A24&lt;'Données projet'!$A$62,$AF$205^A24,IF(A24='Données projet'!$A$62,'Données projet'!$B$62,AI23+AH24-AQ23)))</f>
        <v>87.114277815659833</v>
      </c>
      <c r="AJ24" s="13">
        <f>AI24*VLOOKUP('Données projet'!$B$10,Paramètres!$A$1:$I$89,3,0)*VLOOKUP('Données projet'!$B$10,Paramètres!$A$1:$I$89,5,0)</f>
        <v>40.769482017728798</v>
      </c>
      <c r="AK24" s="13">
        <f t="shared" si="35"/>
        <v>12.202371475357262</v>
      </c>
      <c r="AL24" s="20">
        <f t="shared" si="4"/>
        <v>92.259311500458224</v>
      </c>
      <c r="AM24" s="59">
        <f t="shared" si="5"/>
        <v>374.59264483379155</v>
      </c>
      <c r="AN24" s="59">
        <f ca="1">AVERAGE(OFFSET($AM$3,0,0,'Données projet'!$E$10+1,1))-AVERAGE(OFFSET($H$3,0,0,'Données projet'!$E$10+1,1))</f>
        <v>218.32525311070435</v>
      </c>
      <c r="AO24" s="59">
        <f t="shared" si="36"/>
        <v>275.36315264099204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122.59999999999997</v>
      </c>
      <c r="BE24" s="13">
        <f>BD24*VLOOKUP('Données projet'!$B$11,Paramètres!$A$1:$I$89,3,0)*VLOOKUP('Données projet'!$B$11,Paramètres!$A$1:$I$89,5,0)</f>
        <v>116.66615999999996</v>
      </c>
      <c r="BF24" s="13">
        <f t="shared" si="37"/>
        <v>30.896165417360493</v>
      </c>
      <c r="BG24" s="20">
        <f t="shared" si="7"/>
        <v>257.00438343523615</v>
      </c>
      <c r="BH24" s="59">
        <f t="shared" si="8"/>
        <v>539.33771676856941</v>
      </c>
      <c r="BI24" s="59">
        <f ca="1">AVERAGE(OFFSET($BH$3,0,0,'Données projet'!$E$11+1,1))-AVERAGE(OFFSET($H$3,0,0,'Données projet'!$E$11+1,1))</f>
        <v>446.62872871405051</v>
      </c>
      <c r="BJ24" s="59">
        <f t="shared" si="38"/>
        <v>471.28934889691658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3.7251899993598103</v>
      </c>
      <c r="BQ24" s="21">
        <f>EXP(-LN(2)/25)*BQ23+(1-EXP(-LN(2)/25))/(LN(2)/25)*Calculateur!BL24*Calculateur!BN24*VLOOKUP('Données projet'!$B$11,Paramètres!$A$1:$I$89,3,0)*0.475*44/12</f>
        <v>0.73624900876307742</v>
      </c>
      <c r="BR24" s="21">
        <f>EXP(-LN(2)/2)*BR23+(1-EXP(-LN(2)/2))/(LN(2)/2)*BL24*BO24*VLOOKUP('Données projet'!$B$11,Paramètres!$A$1:$I$89,3,0)*0.475*44/12</f>
        <v>1.5999052719366238</v>
      </c>
      <c r="BS24" s="22">
        <f t="shared" si="9"/>
        <v>6.0613442800595116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37.200000000000003</v>
      </c>
      <c r="BY24" s="12">
        <f>IF('Données projet'!$A$114&gt;35,BY23+BX24-CG23,IF(A24&lt;'Données projet'!$A$114,$BV$205^A24,IF(A24='Données projet'!$A$114,'Données projet'!$B$114,BY23+BX24-CG23)))</f>
        <v>168.2</v>
      </c>
      <c r="BZ24" s="13">
        <f>BY24*VLOOKUP('Données projet'!$B$12,Paramètres!$A$1:$I$89,3,0)*VLOOKUP('Données projet'!$B$12,Paramètres!$A$1:$I$89,5,0)</f>
        <v>74.344400000000007</v>
      </c>
      <c r="CA24" s="13">
        <f t="shared" si="39"/>
        <v>20.748515430944668</v>
      </c>
      <c r="CB24" s="20">
        <f t="shared" si="10"/>
        <v>165.62016104222866</v>
      </c>
      <c r="CC24" s="59">
        <f t="shared" si="11"/>
        <v>447.95349437556195</v>
      </c>
      <c r="CD24" s="59">
        <f ca="1">AVERAGE(OFFSET($CC$3,0,0,'Données projet'!$E$12+1,1))-AVERAGE(OFFSET($H$3,0,0,'Données projet'!$E$12+1,1))</f>
        <v>534.99316143569899</v>
      </c>
      <c r="CE24" s="59">
        <f t="shared" si="40"/>
        <v>449.56965858934262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16.496532988678727</v>
      </c>
      <c r="CM24" s="21">
        <f>EXP(-LN(2)/2)*CM23+(1-EXP(-LN(2)/2))/(LN(2)/2)*CG24*CJ24*VLOOKUP('Données projet'!$B$12,Paramètres!$A$1:$I$89,3,0)*0.475*44/12</f>
        <v>12.456197173131356</v>
      </c>
      <c r="CN24" s="22">
        <f t="shared" si="12"/>
        <v>28.952730161810081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</v>
      </c>
      <c r="CT24" s="12">
        <f>IF('Données projet'!$A$140&gt;35,CT23+CS24-DB23,IF(A24&lt;'Données projet'!$A$140,$CQ$205^A24,IF(A24='Données projet'!$A$140,'Données projet'!$B$140,CT23+CS24-DB23)))</f>
        <v>26.738362302320134</v>
      </c>
      <c r="CU24" s="17">
        <f>CT24*VLOOKUP('Données projet'!$B$13,Paramètres!$A$1:$I$89,3,0)*VLOOKUP('Données projet'!$B$13,Paramètres!$A$1:$I$89,5,0)</f>
        <v>30.449646989882172</v>
      </c>
      <c r="CV24" s="13">
        <f t="shared" si="41"/>
        <v>9.4285596215186462</v>
      </c>
      <c r="CW24" s="20">
        <f t="shared" si="13"/>
        <v>69.454543181523078</v>
      </c>
      <c r="CX24" s="59">
        <f t="shared" si="14"/>
        <v>351.78787651485641</v>
      </c>
      <c r="CY24" s="59">
        <f ca="1">AVERAGE(OFFSET($CX$3,0,0,'Données projet'!$E$13+1,1))-AVERAGE(OFFSET($H$3,0,0,'Données projet'!$E$13+1,1))</f>
        <v>389.89050053480827</v>
      </c>
      <c r="CZ24" s="59">
        <f t="shared" si="42"/>
        <v>216.40816051909616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38.039856252666219</v>
      </c>
      <c r="P25" s="13">
        <f t="shared" si="33"/>
        <v>11.477601124967212</v>
      </c>
      <c r="Q25" s="20">
        <f t="shared" si="2"/>
        <v>86.242904932711554</v>
      </c>
      <c r="R25" s="59">
        <f t="shared" si="0"/>
        <v>369.7984604882671</v>
      </c>
      <c r="S25" s="59">
        <f ca="1">AVERAGE(OFFSET($R$3,0,0,'Données projet'!$E$9+1,1))-AVERAGE(OFFSET($H$3,0,0,'Données projet'!$E$9+1,1))</f>
        <v>371.7282125501186</v>
      </c>
      <c r="T25" s="59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8.16</v>
      </c>
      <c r="AI25" s="13">
        <f>IF('Données projet'!$A$62&gt;35,AI24+AH25-AQ24,IF(A25&lt;'Données projet'!$A$62,$AF$205^A25,IF(A25='Données projet'!$A$62,'Données projet'!$B$62,AI24+AH25-AQ24)))</f>
        <v>107.76420945514639</v>
      </c>
      <c r="AJ25" s="13">
        <f>AI25*VLOOKUP('Données projet'!$B$10,Paramètres!$A$1:$I$89,3,0)*VLOOKUP('Données projet'!$B$10,Paramètres!$A$1:$I$89,5,0)</f>
        <v>50.433650025008511</v>
      </c>
      <c r="AK25" s="13">
        <f t="shared" si="35"/>
        <v>14.725695325026711</v>
      </c>
      <c r="AL25" s="20">
        <f t="shared" si="4"/>
        <v>113.48585981797801</v>
      </c>
      <c r="AM25" s="59">
        <f t="shared" si="5"/>
        <v>397.04141537353354</v>
      </c>
      <c r="AN25" s="59">
        <f ca="1">AVERAGE(OFFSET($AM$3,0,0,'Données projet'!$E$10+1,1))-AVERAGE(OFFSET($H$3,0,0,'Données projet'!$E$10+1,1))</f>
        <v>218.32525311070435</v>
      </c>
      <c r="AO25" s="59">
        <f t="shared" si="36"/>
        <v>275.36315264099204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135.19999999999996</v>
      </c>
      <c r="BE25" s="13">
        <f>BD25*VLOOKUP('Données projet'!$B$11,Paramètres!$A$1:$I$89,3,0)*VLOOKUP('Données projet'!$B$11,Paramètres!$A$1:$I$89,5,0)</f>
        <v>128.65631999999997</v>
      </c>
      <c r="BF25" s="13">
        <f t="shared" si="37"/>
        <v>33.685686839545554</v>
      </c>
      <c r="BG25" s="20">
        <f t="shared" si="7"/>
        <v>282.74566191220845</v>
      </c>
      <c r="BH25" s="59">
        <f t="shared" si="8"/>
        <v>566.30121746776399</v>
      </c>
      <c r="BI25" s="59">
        <f ca="1">AVERAGE(OFFSET($BH$3,0,0,'Données projet'!$E$11+1,1))-AVERAGE(OFFSET($H$3,0,0,'Données projet'!$E$11+1,1))</f>
        <v>446.62872871405051</v>
      </c>
      <c r="BJ25" s="59">
        <f t="shared" si="38"/>
        <v>471.28934889691658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3.6521412956139088</v>
      </c>
      <c r="BQ25" s="21">
        <f>EXP(-LN(2)/25)*BQ24+(1-EXP(-LN(2)/25))/(LN(2)/25)*Calculateur!BL25*Calculateur!BN25*VLOOKUP('Données projet'!$B$11,Paramètres!$A$1:$I$89,3,0)*0.475*44/12</f>
        <v>0.7161162409007984</v>
      </c>
      <c r="BR25" s="21">
        <f>EXP(-LN(2)/2)*BR24+(1-EXP(-LN(2)/2))/(LN(2)/2)*BL25*BO25*VLOOKUP('Données projet'!$B$11,Paramètres!$A$1:$I$89,3,0)*0.475*44/12</f>
        <v>1.1313038670424942</v>
      </c>
      <c r="BS25" s="22">
        <f t="shared" si="9"/>
        <v>5.4995614035572018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37.200000000000003</v>
      </c>
      <c r="BY25" s="12">
        <f>IF('Données projet'!$A$114&gt;35,BY24+BX25-CG24,IF(A25&lt;'Données projet'!$A$114,$BV$205^A25,IF(A25='Données projet'!$A$114,'Données projet'!$B$114,BY24+BX25-CG24)))</f>
        <v>205.39999999999998</v>
      </c>
      <c r="BZ25" s="13">
        <f>BY25*VLOOKUP('Données projet'!$B$12,Paramètres!$A$1:$I$89,3,0)*VLOOKUP('Données projet'!$B$12,Paramètres!$A$1:$I$89,5,0)</f>
        <v>90.786799999999999</v>
      </c>
      <c r="CA25" s="13">
        <f t="shared" si="39"/>
        <v>24.754885972493234</v>
      </c>
      <c r="CB25" s="20">
        <f t="shared" si="10"/>
        <v>201.23510306875903</v>
      </c>
      <c r="CC25" s="59">
        <f t="shared" si="11"/>
        <v>484.79065862431457</v>
      </c>
      <c r="CD25" s="59">
        <f ca="1">AVERAGE(OFFSET($CC$3,0,0,'Données projet'!$E$12+1,1))-AVERAGE(OFFSET($H$3,0,0,'Données projet'!$E$12+1,1))</f>
        <v>534.99316143569899</v>
      </c>
      <c r="CE25" s="59">
        <f t="shared" si="40"/>
        <v>449.56965858934262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16.04543442658834</v>
      </c>
      <c r="CM25" s="21">
        <f>EXP(-LN(2)/2)*CM24+(1-EXP(-LN(2)/2))/(LN(2)/2)*CG25*CJ25*VLOOKUP('Données projet'!$B$12,Paramètres!$A$1:$I$89,3,0)*0.475*44/12</f>
        <v>8.8078614889178866</v>
      </c>
      <c r="CN25" s="22">
        <f t="shared" si="12"/>
        <v>24.853295915506227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</v>
      </c>
      <c r="CT25" s="12">
        <f>IF('Données projet'!$A$140&gt;35,CT24+CS25-DB24,IF(A25&lt;'Données projet'!$A$140,$CQ$205^A25,IF(A25='Données projet'!$A$140,'Données projet'!$B$140,CT24+CS25-DB24)))</f>
        <v>31.267532059704912</v>
      </c>
      <c r="CU25" s="17">
        <f>CT25*VLOOKUP('Données projet'!$B$13,Paramètres!$A$1:$I$89,3,0)*VLOOKUP('Données projet'!$B$13,Paramètres!$A$1:$I$89,5,0)</f>
        <v>35.607465509591954</v>
      </c>
      <c r="CV25" s="13">
        <f t="shared" si="41"/>
        <v>10.826641280172943</v>
      </c>
      <c r="CW25" s="20">
        <f t="shared" si="13"/>
        <v>80.872735992173858</v>
      </c>
      <c r="CX25" s="59">
        <f t="shared" si="14"/>
        <v>364.42829154772937</v>
      </c>
      <c r="CY25" s="59">
        <f ca="1">AVERAGE(OFFSET($CX$3,0,0,'Données projet'!$E$13+1,1))-AVERAGE(OFFSET($H$3,0,0,'Données projet'!$E$13+1,1))</f>
        <v>389.89050053480827</v>
      </c>
      <c r="CZ25" s="59">
        <f t="shared" si="42"/>
        <v>216.40816051909616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45.086112330702591</v>
      </c>
      <c r="P26" s="13">
        <f t="shared" si="33"/>
        <v>13.337187999822708</v>
      </c>
      <c r="Q26" s="20">
        <f t="shared" si="2"/>
        <v>101.75391474233156</v>
      </c>
      <c r="R26" s="59">
        <f t="shared" si="0"/>
        <v>386.53169252010935</v>
      </c>
      <c r="S26" s="59">
        <f ca="1">AVERAGE(OFFSET($R$3,0,0,'Données projet'!$E$9+1,1))-AVERAGE(OFFSET($H$3,0,0,'Données projet'!$E$9+1,1))</f>
        <v>371.7282125501186</v>
      </c>
      <c r="T26" s="59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8.16</v>
      </c>
      <c r="AI26" s="13">
        <f>IF('Données projet'!$A$62&gt;35,AI25+AH26-AQ25,IF(A26&lt;'Données projet'!$A$62,$AF$205^A26,IF(A26='Données projet'!$A$62,'Données projet'!$B$62,AI25+AH26-AQ25)))</f>
        <v>133.30908699107715</v>
      </c>
      <c r="AJ26" s="13">
        <f>AI26*VLOOKUP('Données projet'!$B$10,Paramètres!$A$1:$I$89,3,0)*VLOOKUP('Données projet'!$B$10,Paramètres!$A$1:$I$89,5,0)</f>
        <v>62.388652711824108</v>
      </c>
      <c r="AK26" s="13">
        <f t="shared" si="35"/>
        <v>17.770816373148048</v>
      </c>
      <c r="AL26" s="20">
        <f t="shared" si="4"/>
        <v>139.61107532299317</v>
      </c>
      <c r="AM26" s="59">
        <f t="shared" si="5"/>
        <v>424.38885310077092</v>
      </c>
      <c r="AN26" s="59">
        <f ca="1">AVERAGE(OFFSET($AM$3,0,0,'Données projet'!$E$10+1,1))-AVERAGE(OFFSET($H$3,0,0,'Données projet'!$E$10+1,1))</f>
        <v>218.32525311070435</v>
      </c>
      <c r="AO26" s="59">
        <f t="shared" si="36"/>
        <v>275.36315264099204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147.79999999999995</v>
      </c>
      <c r="BE26" s="13">
        <f>BD26*VLOOKUP('Données projet'!$B$11,Paramètres!$A$1:$I$89,3,0)*VLOOKUP('Données projet'!$B$11,Paramètres!$A$1:$I$89,5,0)</f>
        <v>140.64647999999997</v>
      </c>
      <c r="BF26" s="13">
        <f t="shared" si="37"/>
        <v>36.445065251184843</v>
      </c>
      <c r="BG26" s="20">
        <f t="shared" si="7"/>
        <v>308.4344413124802</v>
      </c>
      <c r="BH26" s="59">
        <f t="shared" si="8"/>
        <v>593.21221909025803</v>
      </c>
      <c r="BI26" s="59">
        <f ca="1">AVERAGE(OFFSET($BH$3,0,0,'Données projet'!$E$11+1,1))-AVERAGE(OFFSET($H$3,0,0,'Données projet'!$E$11+1,1))</f>
        <v>446.62872871405051</v>
      </c>
      <c r="BJ26" s="59">
        <f t="shared" si="38"/>
        <v>471.28934889691658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3.5805250323931546</v>
      </c>
      <c r="BQ26" s="21">
        <f>EXP(-LN(2)/25)*BQ25+(1-EXP(-LN(2)/25))/(LN(2)/25)*Calculateur!BL26*Calculateur!BN26*VLOOKUP('Données projet'!$B$11,Paramètres!$A$1:$I$89,3,0)*0.475*44/12</f>
        <v>0.6965340046344497</v>
      </c>
      <c r="BR26" s="21">
        <f>EXP(-LN(2)/2)*BR25+(1-EXP(-LN(2)/2))/(LN(2)/2)*BL26*BO26*VLOOKUP('Données projet'!$B$11,Paramètres!$A$1:$I$89,3,0)*0.475*44/12</f>
        <v>0.79995263596831201</v>
      </c>
      <c r="BS26" s="22">
        <f t="shared" si="9"/>
        <v>5.0770116729959165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37.200000000000003</v>
      </c>
      <c r="BY26" s="12">
        <f>IF('Données projet'!$A$114&gt;35,BY25+BX26-CG25,IF(A26&lt;'Données projet'!$A$114,$BV$205^A26,IF(A26='Données projet'!$A$114,'Données projet'!$B$114,BY25+BX26-CG25)))</f>
        <v>242.59999999999997</v>
      </c>
      <c r="BZ26" s="13">
        <f>BY26*VLOOKUP('Données projet'!$B$12,Paramètres!$A$1:$I$89,3,0)*VLOOKUP('Données projet'!$B$12,Paramètres!$A$1:$I$89,5,0)</f>
        <v>107.22919999999999</v>
      </c>
      <c r="CA26" s="13">
        <f t="shared" si="39"/>
        <v>28.677196348124994</v>
      </c>
      <c r="CB26" s="20">
        <f t="shared" si="10"/>
        <v>236.70364030631765</v>
      </c>
      <c r="CC26" s="59">
        <f t="shared" si="11"/>
        <v>521.48141808409537</v>
      </c>
      <c r="CD26" s="59">
        <f ca="1">AVERAGE(OFFSET($CC$3,0,0,'Données projet'!$E$12+1,1))-AVERAGE(OFFSET($H$3,0,0,'Données projet'!$E$12+1,1))</f>
        <v>534.99316143569899</v>
      </c>
      <c r="CE26" s="59">
        <f t="shared" si="40"/>
        <v>449.56965858934262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15.606671178400557</v>
      </c>
      <c r="CM26" s="21">
        <f>EXP(-LN(2)/2)*CM25+(1-EXP(-LN(2)/2))/(LN(2)/2)*CG26*CJ26*VLOOKUP('Données projet'!$B$12,Paramètres!$A$1:$I$89,3,0)*0.475*44/12</f>
        <v>6.2280985865656788</v>
      </c>
      <c r="CN26" s="22">
        <f t="shared" si="12"/>
        <v>21.834769764966236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</v>
      </c>
      <c r="CT26" s="12">
        <f>IF('Données projet'!$A$140&gt;35,CT25+CS26-DB25,IF(A26&lt;'Données projet'!$A$140,$CQ$205^A26,IF(A26='Données projet'!$A$140,'Données projet'!$B$140,CT25+CS26-DB25)))</f>
        <v>36.56389086402055</v>
      </c>
      <c r="CU26" s="17">
        <f>CT26*VLOOKUP('Données projet'!$B$13,Paramètres!$A$1:$I$89,3,0)*VLOOKUP('Données projet'!$B$13,Paramètres!$A$1:$I$89,5,0)</f>
        <v>41.638958915946603</v>
      </c>
      <c r="CV26" s="13">
        <f t="shared" si="41"/>
        <v>12.432032687370869</v>
      </c>
      <c r="CW26" s="20">
        <f t="shared" si="13"/>
        <v>94.173643709111261</v>
      </c>
      <c r="CX26" s="59">
        <f t="shared" si="14"/>
        <v>378.95142148688905</v>
      </c>
      <c r="CY26" s="59">
        <f ca="1">AVERAGE(OFFSET($CX$3,0,0,'Données projet'!$E$13+1,1))-AVERAGE(OFFSET($H$3,0,0,'Données projet'!$E$13+1,1))</f>
        <v>389.89050053480827</v>
      </c>
      <c r="CZ26" s="59">
        <f t="shared" si="42"/>
        <v>216.40816051909616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53.437571151553847</v>
      </c>
      <c r="P27" s="13">
        <f t="shared" si="33"/>
        <v>15.498062862253629</v>
      </c>
      <c r="Q27" s="20">
        <f t="shared" si="2"/>
        <v>120.06289590738133</v>
      </c>
      <c r="R27" s="59">
        <f t="shared" si="0"/>
        <v>406.06289590738135</v>
      </c>
      <c r="S27" s="59">
        <f ca="1">AVERAGE(OFFSET($R$3,0,0,'Données projet'!$E$9+1,1))-AVERAGE(OFFSET($H$3,0,0,'Données projet'!$E$9+1,1))</f>
        <v>371.7282125501186</v>
      </c>
      <c r="T27" s="59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8.16</v>
      </c>
      <c r="AI27" s="13">
        <f>IF('Données projet'!$A$62&gt;35,AI26+AH27-AQ26,IF(A27&lt;'Données projet'!$A$62,$AF$205^A27,IF(A27='Données projet'!$A$62,'Données projet'!$B$62,AI26+AH27-AQ26)))</f>
        <v>164.90922880839534</v>
      </c>
      <c r="AJ27" s="13">
        <f>AI27*VLOOKUP('Données projet'!$B$10,Paramètres!$A$1:$I$89,3,0)*VLOOKUP('Données projet'!$B$10,Paramètres!$A$1:$I$89,5,0)</f>
        <v>77.177519082329013</v>
      </c>
      <c r="AK27" s="13">
        <f t="shared" si="35"/>
        <v>21.445636867919784</v>
      </c>
      <c r="AL27" s="20">
        <f t="shared" si="4"/>
        <v>171.76866328001665</v>
      </c>
      <c r="AM27" s="59">
        <f t="shared" si="5"/>
        <v>457.76866328001665</v>
      </c>
      <c r="AN27" s="59">
        <f ca="1">AVERAGE(OFFSET($AM$3,0,0,'Données projet'!$E$10+1,1))-AVERAGE(OFFSET($H$3,0,0,'Données projet'!$E$10+1,1))</f>
        <v>218.32525311070435</v>
      </c>
      <c r="AO27" s="59">
        <f t="shared" si="36"/>
        <v>275.36315264099204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160.39999999999995</v>
      </c>
      <c r="BE27" s="13">
        <f>BD27*VLOOKUP('Données projet'!$B$11,Paramètres!$A$1:$I$89,3,0)*VLOOKUP('Données projet'!$B$11,Paramètres!$A$1:$I$89,5,0)</f>
        <v>152.63663999999994</v>
      </c>
      <c r="BF27" s="13">
        <f t="shared" si="37"/>
        <v>39.177162517846391</v>
      </c>
      <c r="BG27" s="20">
        <f t="shared" si="7"/>
        <v>334.07570605191569</v>
      </c>
      <c r="BH27" s="59">
        <f t="shared" si="8"/>
        <v>620.07570605191563</v>
      </c>
      <c r="BI27" s="59">
        <f ca="1">AVERAGE(OFFSET($BH$3,0,0,'Données projet'!$E$11+1,1))-AVERAGE(OFFSET($H$3,0,0,'Données projet'!$E$11+1,1))</f>
        <v>446.62872871405051</v>
      </c>
      <c r="BJ27" s="59">
        <f t="shared" si="38"/>
        <v>471.28934889691658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3.5103131204125519</v>
      </c>
      <c r="BQ27" s="21">
        <f>EXP(-LN(2)/25)*BQ26+(1-EXP(-LN(2)/25))/(LN(2)/25)*Calculateur!BL27*Calculateur!BN27*VLOOKUP('Données projet'!$B$11,Paramètres!$A$1:$I$89,3,0)*0.475*44/12</f>
        <v>0.67748724564858931</v>
      </c>
      <c r="BR27" s="21">
        <f>EXP(-LN(2)/2)*BR26+(1-EXP(-LN(2)/2))/(LN(2)/2)*BL27*BO27*VLOOKUP('Données projet'!$B$11,Paramètres!$A$1:$I$89,3,0)*0.475*44/12</f>
        <v>0.5656519335212471</v>
      </c>
      <c r="BS27" s="22">
        <f t="shared" si="9"/>
        <v>4.7534522995823885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37.200000000000003</v>
      </c>
      <c r="BY27" s="12">
        <f>IF('Données projet'!$A$114&gt;35,BY26+BX27-CG26,IF(A27&lt;'Données projet'!$A$114,$BV$205^A27,IF(A27='Données projet'!$A$114,'Données projet'!$B$114,BY26+BX27-CG26)))</f>
        <v>279.79999999999995</v>
      </c>
      <c r="BZ27" s="13">
        <f>BY27*VLOOKUP('Données projet'!$B$12,Paramètres!$A$1:$I$89,3,0)*VLOOKUP('Données projet'!$B$12,Paramètres!$A$1:$I$89,5,0)</f>
        <v>123.6716</v>
      </c>
      <c r="CA27" s="13">
        <f t="shared" si="39"/>
        <v>32.529831878811208</v>
      </c>
      <c r="CB27" s="20">
        <f t="shared" si="10"/>
        <v>272.05082718892953</v>
      </c>
      <c r="CC27" s="59">
        <f t="shared" si="11"/>
        <v>558.05082718892959</v>
      </c>
      <c r="CD27" s="59">
        <f ca="1">AVERAGE(OFFSET($CC$3,0,0,'Données projet'!$E$12+1,1))-AVERAGE(OFFSET($H$3,0,0,'Données projet'!$E$12+1,1))</f>
        <v>534.99316143569899</v>
      </c>
      <c r="CE27" s="59">
        <f t="shared" si="40"/>
        <v>449.56965858934262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15.179905934308026</v>
      </c>
      <c r="CM27" s="21">
        <f>EXP(-LN(2)/2)*CM26+(1-EXP(-LN(2)/2))/(LN(2)/2)*CG27*CJ27*VLOOKUP('Données projet'!$B$12,Paramètres!$A$1:$I$89,3,0)*0.475*44/12</f>
        <v>4.4039307444589433</v>
      </c>
      <c r="CN27" s="22">
        <f t="shared" si="12"/>
        <v>19.583836678766971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</v>
      </c>
      <c r="CT27" s="12">
        <f>IF('Données projet'!$A$140&gt;35,CT26+CS27-DB26,IF(A27&lt;'Données projet'!$A$140,$CQ$205^A27,IF(A27='Données projet'!$A$140,'Données projet'!$B$140,CT26+CS27-DB26)))</f>
        <v>42.757391679112352</v>
      </c>
      <c r="CU27" s="17">
        <f>CT27*VLOOKUP('Données projet'!$B$13,Paramètres!$A$1:$I$89,3,0)*VLOOKUP('Données projet'!$B$13,Paramètres!$A$1:$I$89,5,0)</f>
        <v>48.692117644173145</v>
      </c>
      <c r="CV27" s="13">
        <f t="shared" si="41"/>
        <v>14.275474058875341</v>
      </c>
      <c r="CW27" s="20">
        <f t="shared" si="13"/>
        <v>109.6685555494761</v>
      </c>
      <c r="CX27" s="59">
        <f t="shared" si="14"/>
        <v>395.66855554947608</v>
      </c>
      <c r="CY27" s="59">
        <f ca="1">AVERAGE(OFFSET($CX$3,0,0,'Données projet'!$E$13+1,1))-AVERAGE(OFFSET($H$3,0,0,'Données projet'!$E$13+1,1))</f>
        <v>389.89050053480827</v>
      </c>
      <c r="CZ27" s="59">
        <f t="shared" si="42"/>
        <v>216.40816051909616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371.7282125501186</v>
      </c>
      <c r="T28" s="59">
        <f t="shared" si="34"/>
        <v>231.36959598460686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204</v>
      </c>
      <c r="AG28" s="12">
        <f>VLOOKUP(A28,'Données projet'!$A$61:$I$81,9,0)</f>
        <v>8.16</v>
      </c>
      <c r="AH28" s="12">
        <f t="array" ref="AH28">INDEX(AG:AG,MIN(IF(ISNUMBER(AG28:AG224),ROW(AG28:AG224),"")))</f>
        <v>8.16</v>
      </c>
      <c r="AI28" s="13">
        <f>IF('Données projet'!$A$62&gt;35,AI27+AH28-AQ27,IF(A28&lt;'Données projet'!$A$62,$AF$205^A28,IF(A28='Données projet'!$A$62,'Données projet'!$B$62,AI27+AH28-AQ27)))</f>
        <v>204</v>
      </c>
      <c r="AJ28" s="13">
        <f>AI28*VLOOKUP('Données projet'!$B$10,Paramètres!$A$1:$I$89,3,0)*VLOOKUP('Données projet'!$B$10,Paramètres!$A$1:$I$89,5,0)</f>
        <v>95.471999999999994</v>
      </c>
      <c r="AK28" s="13">
        <f t="shared" si="35"/>
        <v>25.880372123231169</v>
      </c>
      <c r="AL28" s="20">
        <f t="shared" si="4"/>
        <v>211.35538144796092</v>
      </c>
      <c r="AM28" s="59">
        <f t="shared" si="5"/>
        <v>498.57760367018318</v>
      </c>
      <c r="AN28" s="59">
        <f ca="1">AVERAGE(OFFSET($AM$3,0,0,'Données projet'!$E$10+1,1))-AVERAGE(OFFSET($H$3,0,0,'Données projet'!$E$10+1,1))</f>
        <v>218.32525311070435</v>
      </c>
      <c r="AO28" s="59">
        <f t="shared" si="36"/>
        <v>275.36315264099204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20.399999999999999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0.22000000000000003</v>
      </c>
      <c r="AT28" s="16">
        <f>IF(ISNA(VLOOKUP(A28,'Données projet'!$A$61:$I$81,7,0)),0%,VLOOKUP(A28,'Données projet'!$A$61:$I$81,7,0))</f>
        <v>0.6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2.775324053053394</v>
      </c>
      <c r="AW28" s="21">
        <f>EXP(-LN(2)/2)*AW27+(1-EXP(-LN(2)/2))/(LN(2)/2)*AQ28*AT28*VLOOKUP('Données projet'!$B$10,Paramètres!$A$1:$I$89,3,0)*0.475*44/12</f>
        <v>6.4857889145668048</v>
      </c>
      <c r="AX28" s="21">
        <f t="shared" si="6"/>
        <v>9.2611129676201998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173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172.99999999999994</v>
      </c>
      <c r="BE28" s="13">
        <f>BD28*VLOOKUP('Données projet'!$B$11,Paramètres!$A$1:$I$89,3,0)*VLOOKUP('Données projet'!$B$11,Paramètres!$A$1:$I$89,5,0)</f>
        <v>164.62679999999995</v>
      </c>
      <c r="BF28" s="13">
        <f t="shared" si="37"/>
        <v>41.884365321551833</v>
      </c>
      <c r="BG28" s="20">
        <f t="shared" si="7"/>
        <v>359.67361293503603</v>
      </c>
      <c r="BH28" s="59">
        <f t="shared" si="8"/>
        <v>646.89583515725826</v>
      </c>
      <c r="BI28" s="59">
        <f ca="1">AVERAGE(OFFSET($BH$3,0,0,'Données projet'!$E$11+1,1))-AVERAGE(OFFSET($H$3,0,0,'Données projet'!$E$11+1,1))</f>
        <v>446.62872871405051</v>
      </c>
      <c r="BJ28" s="59">
        <f t="shared" si="38"/>
        <v>471.28934889691658</v>
      </c>
      <c r="BK28" s="15">
        <f>IF(ISNA(VLOOKUP(A28,'Données projet'!$A$87:$I$107,3,0)),0,VLOOKUP(A28,'Données projet'!$A$87:$I$107,3,0))</f>
        <v>4</v>
      </c>
      <c r="BL28" s="15">
        <f>IF(ISNA(VLOOKUP(A28,'Données projet'!$A$87:$I$107,4,0)),0,VLOOKUP(A28,'Données projet'!$A$87:$I$107,4,0))</f>
        <v>25</v>
      </c>
      <c r="BM28" s="16">
        <f>IF(ISNA(VLOOKUP(A28,'Données projet'!$A$87:$I$107,5,0)),0%,VLOOKUP(A28,'Données projet'!$A$87:$I$107,5,0)*VLOOKUP('Données projet'!$B$11,Paramètres!$A$1:$I$89,7,0))</f>
        <v>0.17200000000000001</v>
      </c>
      <c r="BN28" s="16">
        <f>IF(ISNA(VLOOKUP(A28,'Données projet'!$A$87:$I$107,6,0)),0%,VLOOKUP(A28,'Données projet'!$A$87:$I$107,6,0)*VLOOKUP('Données projet'!$B$11,Paramètres!$A$1:$I$89,7,0))</f>
        <v>3.44E-2</v>
      </c>
      <c r="BO28" s="16">
        <f>IF(ISNA(VLOOKUP(A28,'Données projet'!$A$87:$I$107,7,0)),0%,VLOOKUP(A28,'Données projet'!$A$87:$I$107,7,0))</f>
        <v>0.12</v>
      </c>
      <c r="BP28" s="21">
        <f>EXP(-LN(2)/35)*BP27+(1-EXP(-LN(2)/35))/(LN(2)/35)*BL28*BM28*VLOOKUP('Données projet'!$B$11,Paramètres!$A$1:$I$89,3,0)*0.475*44/12</f>
        <v>7.9649301578041403</v>
      </c>
      <c r="BQ28" s="21">
        <f>EXP(-LN(2)/25)*BQ27+(1-EXP(-LN(2)/25))/(LN(2)/25)*Calculateur!BL28*Calculateur!BN28*VLOOKUP('Données projet'!$B$11,Paramètres!$A$1:$I$89,3,0)*0.475*44/12</f>
        <v>1.5600896376830411</v>
      </c>
      <c r="BR28" s="21">
        <f>EXP(-LN(2)/2)*BR27+(1-EXP(-LN(2)/2))/(LN(2)/2)*BL28*BO28*VLOOKUP('Données projet'!$B$11,Paramètres!$A$1:$I$89,3,0)*0.475*44/12</f>
        <v>3.0935569537996188</v>
      </c>
      <c r="BS28" s="22">
        <f t="shared" si="9"/>
        <v>12.618576749286801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317</v>
      </c>
      <c r="BW28" s="12">
        <f>VLOOKUP(A28,'Données projet'!$A$113:$I$133,9,0)</f>
        <v>37.200000000000003</v>
      </c>
      <c r="BX28" s="12">
        <f t="array" ref="BX28">INDEX(BW:BW,MIN(IF(ISNUMBER(BW28:BW224),ROW(BW28:BW224),"")))</f>
        <v>37.200000000000003</v>
      </c>
      <c r="BY28" s="12">
        <f>IF('Données projet'!$A$114&gt;35,BY27+BX28-CG27,IF(A28&lt;'Données projet'!$A$114,$BV$205^A28,IF(A28='Données projet'!$A$114,'Données projet'!$B$114,BY27+BX28-CG27)))</f>
        <v>316.99999999999994</v>
      </c>
      <c r="BZ28" s="13">
        <f>BY28*VLOOKUP('Données projet'!$B$12,Paramètres!$A$1:$I$89,3,0)*VLOOKUP('Données projet'!$B$12,Paramètres!$A$1:$I$89,5,0)</f>
        <v>140.11399999999998</v>
      </c>
      <c r="CA28" s="13">
        <f t="shared" si="39"/>
        <v>36.323120056877237</v>
      </c>
      <c r="CB28" s="20">
        <f t="shared" si="10"/>
        <v>307.29465076572779</v>
      </c>
      <c r="CC28" s="59">
        <f t="shared" si="11"/>
        <v>594.51687298795002</v>
      </c>
      <c r="CD28" s="59">
        <f ca="1">AVERAGE(OFFSET($CC$3,0,0,'Données projet'!$E$12+1,1))-AVERAGE(OFFSET($H$3,0,0,'Données projet'!$E$12+1,1))</f>
        <v>534.99316143569899</v>
      </c>
      <c r="CE28" s="59">
        <f t="shared" si="40"/>
        <v>449.56965858934262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91</v>
      </c>
      <c r="CH28" s="16">
        <f>IF(ISNA(VLOOKUP(A28,'Données projet'!$A$113:$I$133,5,0)),0%,VLOOKUP(A28,'Données projet'!$A$113:$I$133,5,0)*VLOOKUP('Données projet'!$B$12,Paramètres!$A$1:$I$89,7,0))</f>
        <v>0.16500000000000001</v>
      </c>
      <c r="CI28" s="16">
        <f>IF(ISNA(VLOOKUP(A28,'Données projet'!$A$113:$I$133,6,0)),0%,VLOOKUP(A28,'Données projet'!$A$113:$I$133,6,0)*VLOOKUP('Données projet'!$B$12,Paramètres!$A$1:$I$89,7,0))</f>
        <v>0.23100000000000001</v>
      </c>
      <c r="CJ28" s="16">
        <f>IF(ISNA(VLOOKUP(A28,'Données projet'!$A$113:$I$133,7,0)),0%,VLOOKUP(A28,'Données projet'!$A$113:$I$133,7,0))</f>
        <v>0.28000000000000003</v>
      </c>
      <c r="CK28" s="21">
        <f>EXP(-LN(2)/35)*CK27+(1-EXP(-LN(2)/35))/(LN(2)/35)*CG28*CH28*VLOOKUP('Données projet'!$B$12,Paramètres!$A$1:$I$89,3,0)*0.475*44/12</f>
        <v>8.8039174619037173</v>
      </c>
      <c r="CL28" s="21">
        <f>EXP(-LN(2)/25)*CL27+(1-EXP(-LN(2)/25))/(LN(2)/25)*Calculateur!CG28*Calculateur!CI28*VLOOKUP('Données projet'!$B$12,Paramètres!$A$1:$I$89,3,0)*0.475*44/12</f>
        <v>27.041764926278731</v>
      </c>
      <c r="CM28" s="21">
        <f>EXP(-LN(2)/2)*CM27+(1-EXP(-LN(2)/2))/(LN(2)/2)*CG28*CJ28*VLOOKUP('Données projet'!$B$12,Paramètres!$A$1:$I$89,3,0)*0.475*44/12</f>
        <v>15.865430585193506</v>
      </c>
      <c r="CN28" s="22">
        <f t="shared" si="12"/>
        <v>51.711112973375954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50</v>
      </c>
      <c r="CR28" s="12">
        <f>VLOOKUP(A28,'Données projet'!$A$139:$I$159,9,0)</f>
        <v>2</v>
      </c>
      <c r="CS28" s="12">
        <f t="array" ref="CS28">INDEX(CR:CR,MIN(IF(ISNUMBER(CR28:CR224),ROW(CR28:CR224),"")))</f>
        <v>2</v>
      </c>
      <c r="CT28" s="12">
        <f>IF('Données projet'!$A$140&gt;35,CT27+CS28-DB27,IF(A28&lt;'Données projet'!$A$140,$CQ$205^A28,IF(A28='Données projet'!$A$140,'Données projet'!$B$140,CT27+CS28-DB27)))</f>
        <v>50</v>
      </c>
      <c r="CU28" s="17">
        <f>CT28*VLOOKUP('Données projet'!$B$13,Paramètres!$A$1:$I$89,3,0)*VLOOKUP('Données projet'!$B$13,Paramètres!$A$1:$I$89,5,0)</f>
        <v>56.940000000000005</v>
      </c>
      <c r="CV28" s="13">
        <f t="shared" si="41"/>
        <v>16.392263818019313</v>
      </c>
      <c r="CW28" s="20">
        <f t="shared" si="13"/>
        <v>127.72035948305029</v>
      </c>
      <c r="CX28" s="59">
        <f t="shared" si="14"/>
        <v>414.94258170527252</v>
      </c>
      <c r="CY28" s="59">
        <f ca="1">AVERAGE(OFFSET($CX$3,0,0,'Données projet'!$E$13+1,1))-AVERAGE(OFFSET($H$3,0,0,'Données projet'!$E$13+1,1))</f>
        <v>389.89050053480827</v>
      </c>
      <c r="CZ28" s="59">
        <f t="shared" si="42"/>
        <v>216.40816051909616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6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428.14827288949664</v>
      </c>
      <c r="S29" s="59">
        <f ca="1">AVERAGE(OFFSET($R$3,0,0,'Données projet'!$E$9+1,1))-AVERAGE(OFFSET($H$3,0,0,'Données projet'!$E$9+1,1))</f>
        <v>371.7282125501186</v>
      </c>
      <c r="T29" s="59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9.5000000000000036</v>
      </c>
      <c r="AI29" s="13">
        <f>IF('Données projet'!$A$62&gt;35,AI28+AH29-AQ28,IF(A29&lt;'Données projet'!$A$62,$AF$205^A29,IF(A29='Données projet'!$A$62,'Données projet'!$B$62,AI28+AH29-AQ28)))</f>
        <v>193.1</v>
      </c>
      <c r="AJ29" s="13">
        <f>AI29*VLOOKUP('Données projet'!$B$10,Paramètres!$A$1:$I$89,3,0)*VLOOKUP('Données projet'!$B$10,Paramètres!$A$1:$I$89,5,0)</f>
        <v>90.370799999999988</v>
      </c>
      <c r="AK29" s="13">
        <f t="shared" si="35"/>
        <v>24.654631614458758</v>
      </c>
      <c r="AL29" s="20">
        <f t="shared" si="4"/>
        <v>200.33596006184897</v>
      </c>
      <c r="AM29" s="59">
        <f t="shared" si="5"/>
        <v>488.78040450629339</v>
      </c>
      <c r="AN29" s="59">
        <f ca="1">AVERAGE(OFFSET($AM$3,0,0,'Données projet'!$E$10+1,1))-AVERAGE(OFFSET($H$3,0,0,'Données projet'!$E$10+1,1))</f>
        <v>218.32525311070435</v>
      </c>
      <c r="AO29" s="59">
        <f t="shared" si="36"/>
        <v>275.36315264099204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2.6994326708747001</v>
      </c>
      <c r="AW29" s="21">
        <f>EXP(-LN(2)/2)*AW28+(1-EXP(-LN(2)/2))/(LN(2)/2)*AQ29*AT29*VLOOKUP('Données projet'!$B$10,Paramètres!$A$1:$I$89,3,0)*0.475*44/12</f>
        <v>4.5861453228347253</v>
      </c>
      <c r="AX29" s="21">
        <f t="shared" si="6"/>
        <v>7.2855779937094258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12.4</v>
      </c>
      <c r="BD29" s="12">
        <f>IF('Données projet'!$A$88&gt;35,BD28+BC29-BL28,IF(A29&lt;'Données projet'!$A$88,$BA$205^A29,IF(A29='Données projet'!$A$88,'Données projet'!$B$88,BD28+BC29-BL28)))</f>
        <v>160.39999999999995</v>
      </c>
      <c r="BE29" s="13">
        <f>BD29*VLOOKUP('Données projet'!$B$11,Paramètres!$A$1:$I$89,3,0)*VLOOKUP('Données projet'!$B$11,Paramètres!$A$1:$I$89,5,0)</f>
        <v>152.63663999999994</v>
      </c>
      <c r="BF29" s="13">
        <f t="shared" si="37"/>
        <v>39.177162517846391</v>
      </c>
      <c r="BG29" s="20">
        <f t="shared" si="7"/>
        <v>334.07570605191569</v>
      </c>
      <c r="BH29" s="59">
        <f t="shared" si="8"/>
        <v>622.5201504963602</v>
      </c>
      <c r="BI29" s="59">
        <f ca="1">AVERAGE(OFFSET($BH$3,0,0,'Données projet'!$E$11+1,1))-AVERAGE(OFFSET($H$3,0,0,'Données projet'!$E$11+1,1))</f>
        <v>446.62872871405051</v>
      </c>
      <c r="BJ29" s="59">
        <f t="shared" si="38"/>
        <v>471.28934889691658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7.8087427355372974</v>
      </c>
      <c r="BQ29" s="21">
        <f>EXP(-LN(2)/25)*BQ28+(1-EXP(-LN(2)/25))/(LN(2)/25)*Calculateur!BL29*Calculateur!BN29*VLOOKUP('Données projet'!$B$11,Paramètres!$A$1:$I$89,3,0)*0.475*44/12</f>
        <v>1.5174289044990499</v>
      </c>
      <c r="BR29" s="21">
        <f>EXP(-LN(2)/2)*BR28+(1-EXP(-LN(2)/2))/(LN(2)/2)*BL29*BO29*VLOOKUP('Données projet'!$B$11,Paramètres!$A$1:$I$89,3,0)*0.475*44/12</f>
        <v>2.1874751000185095</v>
      </c>
      <c r="BS29" s="22">
        <f t="shared" si="9"/>
        <v>11.513646740054858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40.6</v>
      </c>
      <c r="BY29" s="12">
        <f>IF('Données projet'!$A$114&gt;35,BY28+BX29-CG28,IF(A29&lt;'Données projet'!$A$114,$BV$205^A29,IF(A29='Données projet'!$A$114,'Données projet'!$B$114,BY28+BX29-CG28)))</f>
        <v>266.59999999999997</v>
      </c>
      <c r="BZ29" s="13">
        <f>BY29*VLOOKUP('Données projet'!$B$12,Paramètres!$A$1:$I$89,3,0)*VLOOKUP('Données projet'!$B$12,Paramètres!$A$1:$I$89,5,0)</f>
        <v>117.8372</v>
      </c>
      <c r="CA29" s="13">
        <f t="shared" si="39"/>
        <v>31.170028994320312</v>
      </c>
      <c r="CB29" s="20">
        <f t="shared" si="10"/>
        <v>259.52092383177455</v>
      </c>
      <c r="CC29" s="59">
        <f t="shared" si="11"/>
        <v>547.96536827621901</v>
      </c>
      <c r="CD29" s="59">
        <f ca="1">AVERAGE(OFFSET($CC$3,0,0,'Données projet'!$E$12+1,1))-AVERAGE(OFFSET($H$3,0,0,'Données projet'!$E$12+1,1))</f>
        <v>534.99316143569899</v>
      </c>
      <c r="CE29" s="59">
        <f t="shared" si="40"/>
        <v>449.56965858934262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8.6312780103352083</v>
      </c>
      <c r="CL29" s="21">
        <f>EXP(-LN(2)/25)*CL28+(1-EXP(-LN(2)/25))/(LN(2)/25)*Calculateur!CG29*Calculateur!CI29*VLOOKUP('Données projet'!$B$12,Paramètres!$A$1:$I$89,3,0)*0.475*44/12</f>
        <v>26.302306442305028</v>
      </c>
      <c r="CM29" s="21">
        <f>EXP(-LN(2)/2)*CM28+(1-EXP(-LN(2)/2))/(LN(2)/2)*CG29*CJ29*VLOOKUP('Données projet'!$B$12,Paramètres!$A$1:$I$89,3,0)*0.475*44/12</f>
        <v>11.218553553234784</v>
      </c>
      <c r="CN29" s="22">
        <f t="shared" si="12"/>
        <v>46.152138005875017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5.4</v>
      </c>
      <c r="CT29" s="12">
        <f>IF('Données projet'!$A$140&gt;35,CT28+CS29-DB28,IF(A29&lt;'Données projet'!$A$140,$CQ$205^A29,IF(A29='Données projet'!$A$140,'Données projet'!$B$140,CT28+CS29-DB28)))</f>
        <v>49.4</v>
      </c>
      <c r="CU29" s="17">
        <f>CT29*VLOOKUP('Données projet'!$B$13,Paramètres!$A$1:$I$89,3,0)*VLOOKUP('Données projet'!$B$13,Paramètres!$A$1:$I$89,5,0)</f>
        <v>56.256720000000001</v>
      </c>
      <c r="CV29" s="13">
        <f t="shared" si="41"/>
        <v>16.218331431541209</v>
      </c>
      <c r="CW29" s="20">
        <f t="shared" si="13"/>
        <v>126.2273812432676</v>
      </c>
      <c r="CX29" s="59">
        <f t="shared" si="14"/>
        <v>414.67182568771204</v>
      </c>
      <c r="CY29" s="59">
        <f ca="1">AVERAGE(OFFSET($CX$3,0,0,'Données projet'!$E$13+1,1))-AVERAGE(OFFSET($H$3,0,0,'Données projet'!$E$13+1,1))</f>
        <v>389.89050053480827</v>
      </c>
      <c r="CZ29" s="59">
        <f t="shared" si="42"/>
        <v>216.40816051909616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443.16183437358302</v>
      </c>
      <c r="S30" s="59">
        <f ca="1">AVERAGE(OFFSET($R$3,0,0,'Données projet'!$E$9+1,1))-AVERAGE(OFFSET($H$3,0,0,'Données projet'!$E$9+1,1))</f>
        <v>371.7282125501186</v>
      </c>
      <c r="T30" s="59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9.5000000000000036</v>
      </c>
      <c r="AI30" s="13">
        <f>IF('Données projet'!$A$62&gt;35,AI29+AH30-AQ29,IF(A30&lt;'Données projet'!$A$62,$AF$205^A30,IF(A30='Données projet'!$A$62,'Données projet'!$B$62,AI29+AH30-AQ29)))</f>
        <v>202.6</v>
      </c>
      <c r="AJ30" s="13">
        <f>AI30*VLOOKUP('Données projet'!$B$10,Paramètres!$A$1:$I$89,3,0)*VLOOKUP('Données projet'!$B$10,Paramètres!$A$1:$I$89,5,0)</f>
        <v>94.816800000000001</v>
      </c>
      <c r="AK30" s="13">
        <f t="shared" si="35"/>
        <v>25.723372733540568</v>
      </c>
      <c r="AL30" s="20">
        <f t="shared" si="4"/>
        <v>209.94080084424982</v>
      </c>
      <c r="AM30" s="59">
        <f t="shared" si="5"/>
        <v>499.60746751091654</v>
      </c>
      <c r="AN30" s="59">
        <f ca="1">AVERAGE(OFFSET($AM$3,0,0,'Données projet'!$E$10+1,1))-AVERAGE(OFFSET($H$3,0,0,'Données projet'!$E$10+1,1))</f>
        <v>218.32525311070435</v>
      </c>
      <c r="AO30" s="59">
        <f t="shared" si="36"/>
        <v>275.36315264099204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2.625616542532637</v>
      </c>
      <c r="AW30" s="21">
        <f>EXP(-LN(2)/2)*AW29+(1-EXP(-LN(2)/2))/(LN(2)/2)*AQ30*AT30*VLOOKUP('Données projet'!$B$10,Paramètres!$A$1:$I$89,3,0)*0.475*44/12</f>
        <v>3.2428944572834029</v>
      </c>
      <c r="AX30" s="21">
        <f t="shared" si="6"/>
        <v>5.8685109998160403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12.4</v>
      </c>
      <c r="BD30" s="12">
        <f>IF('Données projet'!$A$88&gt;35,BD29+BC30-BL29,IF(A30&lt;'Données projet'!$A$88,$BA$205^A30,IF(A30='Données projet'!$A$88,'Données projet'!$B$88,BD29+BC30-BL29)))</f>
        <v>172.79999999999995</v>
      </c>
      <c r="BE30" s="13">
        <f>BD30*VLOOKUP('Données projet'!$B$11,Paramètres!$A$1:$I$89,3,0)*VLOOKUP('Données projet'!$B$11,Paramètres!$A$1:$I$89,5,0)</f>
        <v>164.43647999999996</v>
      </c>
      <c r="BF30" s="13">
        <f t="shared" si="37"/>
        <v>41.841577441370276</v>
      </c>
      <c r="BG30" s="20">
        <f t="shared" si="7"/>
        <v>359.26761671038645</v>
      </c>
      <c r="BH30" s="59">
        <f t="shared" si="8"/>
        <v>648.93428337705313</v>
      </c>
      <c r="BI30" s="59">
        <f ca="1">AVERAGE(OFFSET($BH$3,0,0,'Données projet'!$E$11+1,1))-AVERAGE(OFFSET($H$3,0,0,'Données projet'!$E$11+1,1))</f>
        <v>446.62872871405051</v>
      </c>
      <c r="BJ30" s="59">
        <f t="shared" si="38"/>
        <v>471.28934889691658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7.6556180533561857</v>
      </c>
      <c r="BQ30" s="21">
        <f>EXP(-LN(2)/25)*BQ29+(1-EXP(-LN(2)/25))/(LN(2)/25)*Calculateur!BL30*Calculateur!BN30*VLOOKUP('Données projet'!$B$11,Paramètres!$A$1:$I$89,3,0)*0.475*44/12</f>
        <v>1.4759347313074054</v>
      </c>
      <c r="BR30" s="21">
        <f>EXP(-LN(2)/2)*BR29+(1-EXP(-LN(2)/2))/(LN(2)/2)*BL30*BO30*VLOOKUP('Données projet'!$B$11,Paramètres!$A$1:$I$89,3,0)*0.475*44/12</f>
        <v>1.5467784768998094</v>
      </c>
      <c r="BS30" s="22">
        <f t="shared" si="9"/>
        <v>10.6783312615634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40.6</v>
      </c>
      <c r="BY30" s="12">
        <f>IF('Données projet'!$A$114&gt;35,BY29+BX30-CG29,IF(A30&lt;'Données projet'!$A$114,$BV$205^A30,IF(A30='Données projet'!$A$114,'Données projet'!$B$114,BY29+BX30-CG29)))</f>
        <v>307.2</v>
      </c>
      <c r="BZ30" s="13">
        <f>BY30*VLOOKUP('Données projet'!$B$12,Paramètres!$A$1:$I$89,3,0)*VLOOKUP('Données projet'!$B$12,Paramètres!$A$1:$I$89,5,0)</f>
        <v>135.78240000000002</v>
      </c>
      <c r="CA30" s="13">
        <f t="shared" si="39"/>
        <v>35.329099218353022</v>
      </c>
      <c r="CB30" s="20">
        <f t="shared" si="10"/>
        <v>298.01919447196491</v>
      </c>
      <c r="CC30" s="59">
        <f t="shared" si="11"/>
        <v>587.68586113863159</v>
      </c>
      <c r="CD30" s="59">
        <f ca="1">AVERAGE(OFFSET($CC$3,0,0,'Données projet'!$E$12+1,1))-AVERAGE(OFFSET($H$3,0,0,'Données projet'!$E$12+1,1))</f>
        <v>534.99316143569899</v>
      </c>
      <c r="CE30" s="59">
        <f t="shared" si="40"/>
        <v>449.56965858934262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8.4620239131122883</v>
      </c>
      <c r="CL30" s="21">
        <f>EXP(-LN(2)/25)*CL29+(1-EXP(-LN(2)/25))/(LN(2)/25)*Calculateur!CG30*Calculateur!CI30*VLOOKUP('Données projet'!$B$12,Paramètres!$A$1:$I$89,3,0)*0.475*44/12</f>
        <v>25.583068489462015</v>
      </c>
      <c r="CM30" s="21">
        <f>EXP(-LN(2)/2)*CM29+(1-EXP(-LN(2)/2))/(LN(2)/2)*CG30*CJ30*VLOOKUP('Données projet'!$B$12,Paramètres!$A$1:$I$89,3,0)*0.475*44/12</f>
        <v>7.9327152925967539</v>
      </c>
      <c r="CN30" s="22">
        <f t="shared" si="12"/>
        <v>41.977807695171059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5.4</v>
      </c>
      <c r="CT30" s="12">
        <f>IF('Données projet'!$A$140&gt;35,CT29+CS30-DB29,IF(A30&lt;'Données projet'!$A$140,$CQ$205^A30,IF(A30='Données projet'!$A$140,'Données projet'!$B$140,CT29+CS30-DB29)))</f>
        <v>54.8</v>
      </c>
      <c r="CU30" s="17">
        <f>CT30*VLOOKUP('Données projet'!$B$13,Paramètres!$A$1:$I$89,3,0)*VLOOKUP('Données projet'!$B$13,Paramètres!$A$1:$I$89,5,0)</f>
        <v>62.406239999999997</v>
      </c>
      <c r="CV30" s="13">
        <f t="shared" si="41"/>
        <v>17.775242758648595</v>
      </c>
      <c r="CW30" s="20">
        <f t="shared" si="13"/>
        <v>139.64941580464631</v>
      </c>
      <c r="CX30" s="59">
        <f t="shared" si="14"/>
        <v>429.316082471313</v>
      </c>
      <c r="CY30" s="59">
        <f ca="1">AVERAGE(OFFSET($CX$3,0,0,'Données projet'!$E$13+1,1))-AVERAGE(OFFSET($H$3,0,0,'Données projet'!$E$13+1,1))</f>
        <v>389.89050053480827</v>
      </c>
      <c r="CZ30" s="59">
        <f t="shared" si="42"/>
        <v>216.40816051909616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458.14591643983221</v>
      </c>
      <c r="S31" s="59">
        <f ca="1">AVERAGE(OFFSET($R$3,0,0,'Données projet'!$E$9+1,1))-AVERAGE(OFFSET($H$3,0,0,'Données projet'!$E$9+1,1))</f>
        <v>371.7282125501186</v>
      </c>
      <c r="T31" s="59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9.5000000000000036</v>
      </c>
      <c r="AI31" s="13">
        <f>IF('Données projet'!$A$62&gt;35,AI30+AH31-AQ30,IF(A31&lt;'Données projet'!$A$62,$AF$205^A31,IF(A31='Données projet'!$A$62,'Données projet'!$B$62,AI30+AH31-AQ30)))</f>
        <v>212.1</v>
      </c>
      <c r="AJ31" s="13">
        <f>AI31*VLOOKUP('Données projet'!$B$10,Paramètres!$A$1:$I$89,3,0)*VLOOKUP('Données projet'!$B$10,Paramètres!$A$1:$I$89,5,0)</f>
        <v>99.262799999999999</v>
      </c>
      <c r="AK31" s="13">
        <f t="shared" si="35"/>
        <v>26.786294253409366</v>
      </c>
      <c r="AL31" s="20">
        <f t="shared" si="4"/>
        <v>219.53550582468799</v>
      </c>
      <c r="AM31" s="59">
        <f t="shared" si="5"/>
        <v>510.42439471357682</v>
      </c>
      <c r="AN31" s="59">
        <f ca="1">AVERAGE(OFFSET($AM$3,0,0,'Données projet'!$E$10+1,1))-AVERAGE(OFFSET($H$3,0,0,'Données projet'!$E$10+1,1))</f>
        <v>218.32525311070435</v>
      </c>
      <c r="AO31" s="59">
        <f t="shared" si="36"/>
        <v>275.36315264099204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2.553818920101909</v>
      </c>
      <c r="AW31" s="21">
        <f>EXP(-LN(2)/2)*AW30+(1-EXP(-LN(2)/2))/(LN(2)/2)*AQ31*AT31*VLOOKUP('Données projet'!$B$10,Paramètres!$A$1:$I$89,3,0)*0.475*44/12</f>
        <v>2.2930726614173631</v>
      </c>
      <c r="AX31" s="21">
        <f t="shared" si="6"/>
        <v>4.8468915815192721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12.4</v>
      </c>
      <c r="BD31" s="12">
        <f>IF('Données projet'!$A$88&gt;35,BD30+BC31-BL30,IF(A31&lt;'Données projet'!$A$88,$BA$205^A31,IF(A31='Données projet'!$A$88,'Données projet'!$B$88,BD30+BC31-BL30)))</f>
        <v>185.19999999999996</v>
      </c>
      <c r="BE31" s="13">
        <f>BD31*VLOOKUP('Données projet'!$B$11,Paramètres!$A$1:$I$89,3,0)*VLOOKUP('Données projet'!$B$11,Paramètres!$A$1:$I$89,5,0)</f>
        <v>176.23631999999998</v>
      </c>
      <c r="BF31" s="13">
        <f t="shared" si="37"/>
        <v>44.483809700571747</v>
      </c>
      <c r="BG31" s="20">
        <f t="shared" si="7"/>
        <v>384.42089256182908</v>
      </c>
      <c r="BH31" s="59">
        <f t="shared" si="8"/>
        <v>675.30978145071799</v>
      </c>
      <c r="BI31" s="59">
        <f ca="1">AVERAGE(OFFSET($BH$3,0,0,'Données projet'!$E$11+1,1))-AVERAGE(OFFSET($H$3,0,0,'Données projet'!$E$11+1,1))</f>
        <v>446.62872871405051</v>
      </c>
      <c r="BJ31" s="59">
        <f t="shared" si="38"/>
        <v>471.28934889691658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7.5054960527958121</v>
      </c>
      <c r="BQ31" s="21">
        <f>EXP(-LN(2)/25)*BQ30+(1-EXP(-LN(2)/25))/(LN(2)/25)*Calculateur!BL31*Calculateur!BN31*VLOOKUP('Données projet'!$B$11,Paramètres!$A$1:$I$89,3,0)*0.475*44/12</f>
        <v>1.4355752184637702</v>
      </c>
      <c r="BR31" s="21">
        <f>EXP(-LN(2)/2)*BR30+(1-EXP(-LN(2)/2))/(LN(2)/2)*BL31*BO31*VLOOKUP('Données projet'!$B$11,Paramètres!$A$1:$I$89,3,0)*0.475*44/12</f>
        <v>1.0937375500092548</v>
      </c>
      <c r="BS31" s="22">
        <f t="shared" si="9"/>
        <v>10.034808821268838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40.6</v>
      </c>
      <c r="BY31" s="12">
        <f>IF('Données projet'!$A$114&gt;35,BY30+BX31-CG30,IF(A31&lt;'Données projet'!$A$114,$BV$205^A31,IF(A31='Données projet'!$A$114,'Données projet'!$B$114,BY30+BX31-CG30)))</f>
        <v>347.8</v>
      </c>
      <c r="BZ31" s="13">
        <f>BY31*VLOOKUP('Données projet'!$B$12,Paramètres!$A$1:$I$89,3,0)*VLOOKUP('Données projet'!$B$12,Paramètres!$A$1:$I$89,5,0)</f>
        <v>153.72760000000002</v>
      </c>
      <c r="CA31" s="13">
        <f t="shared" si="39"/>
        <v>39.424482096999981</v>
      </c>
      <c r="CB31" s="20">
        <f t="shared" si="10"/>
        <v>336.40654298560833</v>
      </c>
      <c r="CC31" s="59">
        <f t="shared" si="11"/>
        <v>627.29543187449713</v>
      </c>
      <c r="CD31" s="59">
        <f ca="1">AVERAGE(OFFSET($CC$3,0,0,'Données projet'!$E$12+1,1))-AVERAGE(OFFSET($H$3,0,0,'Données projet'!$E$12+1,1))</f>
        <v>534.99316143569899</v>
      </c>
      <c r="CE31" s="59">
        <f t="shared" si="40"/>
        <v>449.56965858934262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8.2960887855011052</v>
      </c>
      <c r="CL31" s="21">
        <f>EXP(-LN(2)/25)*CL30+(1-EXP(-LN(2)/25))/(LN(2)/25)*Calculateur!CG31*Calculateur!CI31*VLOOKUP('Données projet'!$B$12,Paramètres!$A$1:$I$89,3,0)*0.475*44/12</f>
        <v>24.883498136262574</v>
      </c>
      <c r="CM31" s="21">
        <f>EXP(-LN(2)/2)*CM30+(1-EXP(-LN(2)/2))/(LN(2)/2)*CG31*CJ31*VLOOKUP('Données projet'!$B$12,Paramètres!$A$1:$I$89,3,0)*0.475*44/12</f>
        <v>5.609276776617393</v>
      </c>
      <c r="CN31" s="22">
        <f t="shared" si="12"/>
        <v>38.788863698381071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5.4</v>
      </c>
      <c r="CT31" s="12">
        <f>IF('Données projet'!$A$140&gt;35,CT30+CS31-DB30,IF(A31&lt;'Données projet'!$A$140,$CQ$205^A31,IF(A31='Données projet'!$A$140,'Données projet'!$B$140,CT30+CS31-DB30)))</f>
        <v>60.199999999999996</v>
      </c>
      <c r="CU31" s="17">
        <f>CT31*VLOOKUP('Données projet'!$B$13,Paramètres!$A$1:$I$89,3,0)*VLOOKUP('Données projet'!$B$13,Paramètres!$A$1:$I$89,5,0)</f>
        <v>68.555759999999992</v>
      </c>
      <c r="CV31" s="13">
        <f t="shared" si="41"/>
        <v>19.314367867350576</v>
      </c>
      <c r="CW31" s="20">
        <f t="shared" si="13"/>
        <v>153.04047270230222</v>
      </c>
      <c r="CX31" s="59">
        <f t="shared" si="14"/>
        <v>443.92936159119108</v>
      </c>
      <c r="CY31" s="59">
        <f ca="1">AVERAGE(OFFSET($CX$3,0,0,'Données projet'!$E$13+1,1))-AVERAGE(OFFSET($H$3,0,0,'Données projet'!$E$13+1,1))</f>
        <v>389.89050053480827</v>
      </c>
      <c r="CZ31" s="59">
        <f t="shared" si="42"/>
        <v>216.40816051909616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473.10328796969736</v>
      </c>
      <c r="S32" s="59">
        <f ca="1">AVERAGE(OFFSET($R$3,0,0,'Données projet'!$E$9+1,1))-AVERAGE(OFFSET($H$3,0,0,'Données projet'!$E$9+1,1))</f>
        <v>371.7282125501186</v>
      </c>
      <c r="T32" s="59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9.5000000000000036</v>
      </c>
      <c r="AI32" s="13">
        <f>IF('Données projet'!$A$62&gt;35,AI31+AH32-AQ31,IF(A32&lt;'Données projet'!$A$62,$AF$205^A32,IF(A32='Données projet'!$A$62,'Données projet'!$B$62,AI31+AH32-AQ31)))</f>
        <v>221.6</v>
      </c>
      <c r="AJ32" s="13">
        <f>AI32*VLOOKUP('Données projet'!$B$10,Paramètres!$A$1:$I$89,3,0)*VLOOKUP('Données projet'!$B$10,Paramètres!$A$1:$I$89,5,0)</f>
        <v>103.7088</v>
      </c>
      <c r="AK32" s="13">
        <f t="shared" si="35"/>
        <v>27.84368661708951</v>
      </c>
      <c r="AL32" s="20">
        <f t="shared" si="4"/>
        <v>229.12058085809755</v>
      </c>
      <c r="AM32" s="59">
        <f t="shared" si="5"/>
        <v>521.23169196920867</v>
      </c>
      <c r="AN32" s="59">
        <f ca="1">AVERAGE(OFFSET($AM$3,0,0,'Données projet'!$E$10+1,1))-AVERAGE(OFFSET($H$3,0,0,'Données projet'!$E$10+1,1))</f>
        <v>218.32525311070435</v>
      </c>
      <c r="AO32" s="59">
        <f t="shared" si="36"/>
        <v>275.36315264099204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2.4839846074322223</v>
      </c>
      <c r="AW32" s="21">
        <f>EXP(-LN(2)/2)*AW31+(1-EXP(-LN(2)/2))/(LN(2)/2)*AQ32*AT32*VLOOKUP('Données projet'!$B$10,Paramètres!$A$1:$I$89,3,0)*0.475*44/12</f>
        <v>1.6214472286417017</v>
      </c>
      <c r="AX32" s="21">
        <f t="shared" si="6"/>
        <v>4.1054318360739241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12.4</v>
      </c>
      <c r="BD32" s="12">
        <f>IF('Données projet'!$A$88&gt;35,BD31+BC32-BL31,IF(A32&lt;'Données projet'!$A$88,$BA$205^A32,IF(A32='Données projet'!$A$88,'Données projet'!$B$88,BD31+BC32-BL31)))</f>
        <v>197.59999999999997</v>
      </c>
      <c r="BE32" s="13">
        <f>BD32*VLOOKUP('Données projet'!$B$11,Paramètres!$A$1:$I$89,3,0)*VLOOKUP('Données projet'!$B$11,Paramètres!$A$1:$I$89,5,0)</f>
        <v>188.03615999999997</v>
      </c>
      <c r="BF32" s="13">
        <f t="shared" si="37"/>
        <v>47.105513518601285</v>
      </c>
      <c r="BG32" s="20">
        <f t="shared" si="7"/>
        <v>409.5384147115638</v>
      </c>
      <c r="BH32" s="59">
        <f t="shared" si="8"/>
        <v>701.64952582267495</v>
      </c>
      <c r="BI32" s="59">
        <f ca="1">AVERAGE(OFFSET($BH$3,0,0,'Données projet'!$E$11+1,1))-AVERAGE(OFFSET($H$3,0,0,'Données projet'!$E$11+1,1))</f>
        <v>446.62872871405051</v>
      </c>
      <c r="BJ32" s="59">
        <f t="shared" si="38"/>
        <v>471.28934889691658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7.358317853101048</v>
      </c>
      <c r="BQ32" s="21">
        <f>EXP(-LN(2)/25)*BQ31+(1-EXP(-LN(2)/25))/(LN(2)/25)*Calculateur!BL32*Calculateur!BN32*VLOOKUP('Données projet'!$B$11,Paramètres!$A$1:$I$89,3,0)*0.475*44/12</f>
        <v>1.3963193386212587</v>
      </c>
      <c r="BR32" s="21">
        <f>EXP(-LN(2)/2)*BR31+(1-EXP(-LN(2)/2))/(LN(2)/2)*BL32*BO32*VLOOKUP('Données projet'!$B$11,Paramètres!$A$1:$I$89,3,0)*0.475*44/12</f>
        <v>0.7733892384499047</v>
      </c>
      <c r="BS32" s="22">
        <f t="shared" si="9"/>
        <v>9.5280264301722113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40.6</v>
      </c>
      <c r="BY32" s="12">
        <f>IF('Données projet'!$A$114&gt;35,BY31+BX32-CG31,IF(A32&lt;'Données projet'!$A$114,$BV$205^A32,IF(A32='Données projet'!$A$114,'Données projet'!$B$114,BY31+BX32-CG31)))</f>
        <v>388.40000000000003</v>
      </c>
      <c r="BZ32" s="13">
        <f>BY32*VLOOKUP('Données projet'!$B$12,Paramètres!$A$1:$I$89,3,0)*VLOOKUP('Données projet'!$B$12,Paramètres!$A$1:$I$89,5,0)</f>
        <v>171.67280000000002</v>
      </c>
      <c r="CA32" s="13">
        <f t="shared" si="39"/>
        <v>43.464461361691704</v>
      </c>
      <c r="CB32" s="20">
        <f t="shared" si="10"/>
        <v>374.69739687161314</v>
      </c>
      <c r="CC32" s="59">
        <f t="shared" si="11"/>
        <v>666.80850798272422</v>
      </c>
      <c r="CD32" s="59">
        <f ca="1">AVERAGE(OFFSET($CC$3,0,0,'Données projet'!$E$12+1,1))-AVERAGE(OFFSET($H$3,0,0,'Données projet'!$E$12+1,1))</f>
        <v>534.99316143569899</v>
      </c>
      <c r="CE32" s="59">
        <f t="shared" si="40"/>
        <v>449.56965858934262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8.1334075445319431</v>
      </c>
      <c r="CL32" s="21">
        <f>EXP(-LN(2)/25)*CL31+(1-EXP(-LN(2)/25))/(LN(2)/25)*Calculateur!CG32*Calculateur!CI32*VLOOKUP('Données projet'!$B$12,Paramètres!$A$1:$I$89,3,0)*0.475*44/12</f>
        <v>24.20305757116018</v>
      </c>
      <c r="CM32" s="21">
        <f>EXP(-LN(2)/2)*CM31+(1-EXP(-LN(2)/2))/(LN(2)/2)*CG32*CJ32*VLOOKUP('Données projet'!$B$12,Paramètres!$A$1:$I$89,3,0)*0.475*44/12</f>
        <v>3.9663576462983778</v>
      </c>
      <c r="CN32" s="22">
        <f t="shared" si="12"/>
        <v>36.302822761990498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5.4</v>
      </c>
      <c r="CT32" s="12">
        <f>IF('Données projet'!$A$140&gt;35,CT31+CS32-DB31,IF(A32&lt;'Données projet'!$A$140,$CQ$205^A32,IF(A32='Données projet'!$A$140,'Données projet'!$B$140,CT31+CS32-DB31)))</f>
        <v>65.599999999999994</v>
      </c>
      <c r="CU32" s="17">
        <f>CT32*VLOOKUP('Données projet'!$B$13,Paramètres!$A$1:$I$89,3,0)*VLOOKUP('Données projet'!$B$13,Paramètres!$A$1:$I$89,5,0)</f>
        <v>74.705280000000002</v>
      </c>
      <c r="CV32" s="13">
        <f t="shared" si="41"/>
        <v>20.837483629874729</v>
      </c>
      <c r="CW32" s="20">
        <f t="shared" si="13"/>
        <v>166.40364665536515</v>
      </c>
      <c r="CX32" s="59">
        <f t="shared" si="14"/>
        <v>458.51475776647629</v>
      </c>
      <c r="CY32" s="59">
        <f ca="1">AVERAGE(OFFSET($CX$3,0,0,'Données projet'!$E$13+1,1))-AVERAGE(OFFSET($H$3,0,0,'Données projet'!$E$13+1,1))</f>
        <v>389.89050053480827</v>
      </c>
      <c r="CZ32" s="59">
        <f t="shared" si="42"/>
        <v>216.40816051909616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371.7282125501186</v>
      </c>
      <c r="T33" s="59">
        <f t="shared" si="34"/>
        <v>231.36959598460686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9.5000000000000036</v>
      </c>
      <c r="AI33" s="13">
        <f>IF('Données projet'!$A$62&gt;35,AI32+AH33-AQ32,IF(A33&lt;'Données projet'!$A$62,$AF$205^A33,IF(A33='Données projet'!$A$62,'Données projet'!$B$62,AI32+AH33-AQ32)))</f>
        <v>231.1</v>
      </c>
      <c r="AJ33" s="13">
        <f>AI33*VLOOKUP('Données projet'!$B$10,Paramètres!$A$1:$I$89,3,0)*VLOOKUP('Données projet'!$B$10,Paramètres!$A$1:$I$89,5,0)</f>
        <v>108.15479999999999</v>
      </c>
      <c r="AK33" s="13">
        <f t="shared" si="35"/>
        <v>28.895813956550473</v>
      </c>
      <c r="AL33" s="20">
        <f t="shared" si="4"/>
        <v>238.69648597432544</v>
      </c>
      <c r="AM33" s="59">
        <f t="shared" si="5"/>
        <v>532.02981930765873</v>
      </c>
      <c r="AN33" s="59">
        <f ca="1">AVERAGE(OFFSET($AM$3,0,0,'Données projet'!$E$10+1,1))-AVERAGE(OFFSET($H$3,0,0,'Données projet'!$E$10+1,1))</f>
        <v>218.32525311070435</v>
      </c>
      <c r="AO33" s="59">
        <f t="shared" si="36"/>
        <v>275.36315264099204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2.4160599177149149</v>
      </c>
      <c r="AW33" s="21">
        <f>EXP(-LN(2)/2)*AW32+(1-EXP(-LN(2)/2))/(LN(2)/2)*AQ33*AT33*VLOOKUP('Données projet'!$B$10,Paramètres!$A$1:$I$89,3,0)*0.475*44/12</f>
        <v>1.1465363307086818</v>
      </c>
      <c r="AX33" s="21">
        <f t="shared" si="6"/>
        <v>3.5625962484235965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210</v>
      </c>
      <c r="BB33" s="12">
        <f>VLOOKUP(A33,'Données projet'!$A$87:$I$107,9,0)</f>
        <v>12.4</v>
      </c>
      <c r="BC33" s="12">
        <f t="array" ref="BC33">INDEX(BB:BB,MIN(IF(ISNUMBER(BB33:BB229),ROW(BB33:BB229),"")))</f>
        <v>12.4</v>
      </c>
      <c r="BD33" s="12">
        <f>IF('Données projet'!$A$88&gt;35,BD32+BC33-BL32,IF(A33&lt;'Données projet'!$A$88,$BA$205^A33,IF(A33='Données projet'!$A$88,'Données projet'!$B$88,BD32+BC33-BL32)))</f>
        <v>209.99999999999997</v>
      </c>
      <c r="BE33" s="13">
        <f>BD33*VLOOKUP('Données projet'!$B$11,Paramètres!$A$1:$I$89,3,0)*VLOOKUP('Données projet'!$B$11,Paramètres!$A$1:$I$89,5,0)</f>
        <v>199.83599999999996</v>
      </c>
      <c r="BF33" s="13">
        <f t="shared" si="37"/>
        <v>49.708123768564604</v>
      </c>
      <c r="BG33" s="20">
        <f t="shared" si="7"/>
        <v>434.62268223024995</v>
      </c>
      <c r="BH33" s="59">
        <f t="shared" si="8"/>
        <v>727.95601556358326</v>
      </c>
      <c r="BI33" s="59">
        <f ca="1">AVERAGE(OFFSET($BH$3,0,0,'Données projet'!$E$11+1,1))-AVERAGE(OFFSET($H$3,0,0,'Données projet'!$E$11+1,1))</f>
        <v>446.62872871405051</v>
      </c>
      <c r="BJ33" s="59">
        <f t="shared" si="38"/>
        <v>471.28934889691658</v>
      </c>
      <c r="BK33" s="15">
        <f>IF(ISNA(VLOOKUP(A33,'Données projet'!$A$87:$I$107,3,0)),0,VLOOKUP(A33,'Données projet'!$A$87:$I$107,3,0))</f>
        <v>5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0.17200000000000001</v>
      </c>
      <c r="BN33" s="16">
        <f>IF(ISNA(VLOOKUP(A33,'Données projet'!$A$87:$I$107,6,0)),0%,VLOOKUP(A33,'Données projet'!$A$87:$I$107,6,0)*VLOOKUP('Données projet'!$B$11,Paramètres!$A$1:$I$89,7,0))</f>
        <v>3.44E-2</v>
      </c>
      <c r="BO33" s="16">
        <f>IF(ISNA(VLOOKUP(A33,'Données projet'!$A$87:$I$107,7,0)),0%,VLOOKUP(A33,'Données projet'!$A$87:$I$107,7,0))</f>
        <v>0.12</v>
      </c>
      <c r="BP33" s="21">
        <f>EXP(-LN(2)/35)*BP32+(1-EXP(-LN(2)/35))/(LN(2)/35)*BL33*BM33*VLOOKUP('Données projet'!$B$11,Paramètres!$A$1:$I$89,3,0)*0.475*44/12</f>
        <v>12.280292121128145</v>
      </c>
      <c r="BQ33" s="21">
        <f>EXP(-LN(2)/25)*BQ32+(1-EXP(-LN(2)/25))/(LN(2)/25)*Calculateur!BL33*Calculateur!BN33*VLOOKUP('Données projet'!$B$11,Paramètres!$A$1:$I$89,3,0)*0.475*44/12</f>
        <v>2.3674006272389425</v>
      </c>
      <c r="BR33" s="21">
        <f>EXP(-LN(2)/2)*BR32+(1-EXP(-LN(2)/2))/(LN(2)/2)*BL33*BO33*VLOOKUP('Données projet'!$B$11,Paramètres!$A$1:$I$89,3,0)*0.475*44/12</f>
        <v>3.5636790871179449</v>
      </c>
      <c r="BS33" s="22">
        <f t="shared" si="9"/>
        <v>18.211371835485032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429</v>
      </c>
      <c r="BW33" s="12">
        <f>VLOOKUP(A33,'Données projet'!$A$113:$I$133,9,0)</f>
        <v>40.6</v>
      </c>
      <c r="BX33" s="12">
        <f t="array" ref="BX33">INDEX(BW:BW,MIN(IF(ISNUMBER(BW33:BW229),ROW(BW33:BW229),"")))</f>
        <v>40.6</v>
      </c>
      <c r="BY33" s="12">
        <f>IF('Données projet'!$A$114&gt;35,BY32+BX33-CG32,IF(A33&lt;'Données projet'!$A$114,$BV$205^A33,IF(A33='Données projet'!$A$114,'Données projet'!$B$114,BY32+BX33-CG32)))</f>
        <v>429.00000000000006</v>
      </c>
      <c r="BZ33" s="13">
        <f>BY33*VLOOKUP('Données projet'!$B$12,Paramètres!$A$1:$I$89,3,0)*VLOOKUP('Données projet'!$B$12,Paramètres!$A$1:$I$89,5,0)</f>
        <v>189.61800000000005</v>
      </c>
      <c r="CA33" s="13">
        <f t="shared" si="39"/>
        <v>47.4554881852685</v>
      </c>
      <c r="CB33" s="20">
        <f t="shared" si="10"/>
        <v>412.90299192267599</v>
      </c>
      <c r="CC33" s="59">
        <f t="shared" si="11"/>
        <v>706.23632525600931</v>
      </c>
      <c r="CD33" s="59">
        <f ca="1">AVERAGE(OFFSET($CC$3,0,0,'Données projet'!$E$12+1,1))-AVERAGE(OFFSET($H$3,0,0,'Données projet'!$E$12+1,1))</f>
        <v>534.99316143569899</v>
      </c>
      <c r="CE33" s="59">
        <f t="shared" si="40"/>
        <v>449.56965858934262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91</v>
      </c>
      <c r="CH33" s="16">
        <f>IF(ISNA(VLOOKUP(A33,'Données projet'!$A$113:$I$133,5,0)),0%,VLOOKUP(A33,'Données projet'!$A$113:$I$133,5,0)*VLOOKUP('Données projet'!$B$12,Paramètres!$A$1:$I$89,7,0))</f>
        <v>0.27500000000000002</v>
      </c>
      <c r="CI33" s="16">
        <f>IF(ISNA(VLOOKUP(A33,'Données projet'!$A$113:$I$133,6,0)),0%,VLOOKUP(A33,'Données projet'!$A$113:$I$133,6,0)*VLOOKUP('Données projet'!$B$12,Paramètres!$A$1:$I$89,7,0))</f>
        <v>0.16500000000000001</v>
      </c>
      <c r="CJ33" s="16">
        <f>IF(ISNA(VLOOKUP(A33,'Données projet'!$A$113:$I$133,7,0)),0%,VLOOKUP(A33,'Données projet'!$A$113:$I$133,7,0))</f>
        <v>0.2</v>
      </c>
      <c r="CK33" s="21">
        <f>EXP(-LN(2)/35)*CK32+(1-EXP(-LN(2)/35))/(LN(2)/35)*CG33*CH33*VLOOKUP('Données projet'!$B$12,Paramètres!$A$1:$I$89,3,0)*0.475*44/12</f>
        <v>22.647112153311955</v>
      </c>
      <c r="CL33" s="21">
        <f>EXP(-LN(2)/25)*CL32+(1-EXP(-LN(2)/25))/(LN(2)/25)*Calculateur!CG33*Calculateur!CI33*VLOOKUP('Données projet'!$B$12,Paramètres!$A$1:$I$89,3,0)*0.475*44/12</f>
        <v>32.310476773393979</v>
      </c>
      <c r="CM33" s="21">
        <f>EXP(-LN(2)/2)*CM32+(1-EXP(-LN(2)/2))/(LN(2)/2)*CG33*CJ33*VLOOKUP('Données projet'!$B$12,Paramètres!$A$1:$I$89,3,0)*0.475*44/12</f>
        <v>11.912767882530598</v>
      </c>
      <c r="CN33" s="22">
        <f t="shared" si="12"/>
        <v>66.87035680923654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71</v>
      </c>
      <c r="CR33" s="12">
        <f>VLOOKUP(A33,'Données projet'!$A$139:$I$159,9,0)</f>
        <v>5.4</v>
      </c>
      <c r="CS33" s="12">
        <f t="array" ref="CS33">INDEX(CR:CR,MIN(IF(ISNUMBER(CR33:CR229),ROW(CR33:CR229),"")))</f>
        <v>5.4</v>
      </c>
      <c r="CT33" s="12">
        <f>IF('Données projet'!$A$140&gt;35,CT32+CS33-DB32,IF(A33&lt;'Données projet'!$A$140,$CQ$205^A33,IF(A33='Données projet'!$A$140,'Données projet'!$B$140,CT32+CS33-DB32)))</f>
        <v>71</v>
      </c>
      <c r="CU33" s="17">
        <f>CT33*VLOOKUP('Données projet'!$B$13,Paramètres!$A$1:$I$89,3,0)*VLOOKUP('Données projet'!$B$13,Paramètres!$A$1:$I$89,5,0)</f>
        <v>80.854799999999997</v>
      </c>
      <c r="CV33" s="13">
        <f t="shared" si="41"/>
        <v>22.346057714313609</v>
      </c>
      <c r="CW33" s="20">
        <f t="shared" si="13"/>
        <v>179.7414938524295</v>
      </c>
      <c r="CX33" s="59">
        <f t="shared" si="14"/>
        <v>473.07482718576284</v>
      </c>
      <c r="CY33" s="59">
        <f ca="1">AVERAGE(OFFSET($CX$3,0,0,'Données projet'!$E$13+1,1))-AVERAGE(OFFSET($H$3,0,0,'Données projet'!$E$13+1,1))</f>
        <v>389.89050053480827</v>
      </c>
      <c r="CZ33" s="59">
        <f t="shared" si="42"/>
        <v>216.40816051909616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7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76.003200000000007</v>
      </c>
      <c r="P34" s="13">
        <f t="shared" si="33"/>
        <v>21.157049992000456</v>
      </c>
      <c r="Q34" s="20">
        <f t="shared" si="2"/>
        <v>169.22076873606747</v>
      </c>
      <c r="R34" s="59">
        <f t="shared" si="0"/>
        <v>462.55410206940076</v>
      </c>
      <c r="S34" s="59">
        <f ca="1">AVERAGE(OFFSET($R$3,0,0,'Données projet'!$E$9+1,1))-AVERAGE(OFFSET($H$3,0,0,'Données projet'!$E$9+1,1))</f>
        <v>371.7282125501186</v>
      </c>
      <c r="T34" s="59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9.5000000000000036</v>
      </c>
      <c r="AI34" s="13">
        <f>IF('Données projet'!$A$62&gt;35,AI33+AH34-AQ33,IF(A34&lt;'Données projet'!$A$62,$AF$205^A34,IF(A34='Données projet'!$A$62,'Données projet'!$B$62,AI33+AH34-AQ33)))</f>
        <v>240.6</v>
      </c>
      <c r="AJ34" s="13">
        <f>AI34*VLOOKUP('Données projet'!$B$10,Paramètres!$A$1:$I$89,3,0)*VLOOKUP('Données projet'!$B$10,Paramètres!$A$1:$I$89,5,0)</f>
        <v>112.60080000000001</v>
      </c>
      <c r="AK34" s="13">
        <f t="shared" si="35"/>
        <v>29.94291745924334</v>
      </c>
      <c r="AL34" s="20">
        <f t="shared" si="4"/>
        <v>248.2636412415155</v>
      </c>
      <c r="AM34" s="59">
        <f t="shared" si="5"/>
        <v>541.59697457484879</v>
      </c>
      <c r="AN34" s="59">
        <f ca="1">AVERAGE(OFFSET($AM$3,0,0,'Données projet'!$E$10+1,1))-AVERAGE(OFFSET($H$3,0,0,'Données projet'!$E$10+1,1))</f>
        <v>218.32525311070435</v>
      </c>
      <c r="AO34" s="59">
        <f t="shared" si="36"/>
        <v>275.36315264099204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2.3499926322099314</v>
      </c>
      <c r="AW34" s="21">
        <f>EXP(-LN(2)/2)*AW33+(1-EXP(-LN(2)/2))/(LN(2)/2)*AQ34*AT34*VLOOKUP('Données projet'!$B$10,Paramètres!$A$1:$I$89,3,0)*0.475*44/12</f>
        <v>0.81072361432085094</v>
      </c>
      <c r="AX34" s="21">
        <f t="shared" si="6"/>
        <v>3.1607162465307823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11.8</v>
      </c>
      <c r="BD34" s="12">
        <f>IF('Données projet'!$A$88&gt;35,BD33+BC34-BL33,IF(A34&lt;'Données projet'!$A$88,$BA$205^A34,IF(A34='Données projet'!$A$88,'Données projet'!$B$88,BD33+BC34-BL33)))</f>
        <v>193.79999999999998</v>
      </c>
      <c r="BE34" s="13">
        <f>BD34*VLOOKUP('Données projet'!$B$11,Paramètres!$A$1:$I$89,3,0)*VLOOKUP('Données projet'!$B$11,Paramètres!$A$1:$I$89,5,0)</f>
        <v>184.42007999999998</v>
      </c>
      <c r="BF34" s="13">
        <f t="shared" si="37"/>
        <v>46.304179794239147</v>
      </c>
      <c r="BG34" s="20">
        <f t="shared" si="7"/>
        <v>401.84475247496647</v>
      </c>
      <c r="BH34" s="59">
        <f t="shared" si="8"/>
        <v>695.17808580829978</v>
      </c>
      <c r="BI34" s="59">
        <f ca="1">AVERAGE(OFFSET($BH$3,0,0,'Données projet'!$E$11+1,1))-AVERAGE(OFFSET($H$3,0,0,'Données projet'!$E$11+1,1))</f>
        <v>446.62872871405051</v>
      </c>
      <c r="BJ34" s="59">
        <f t="shared" si="38"/>
        <v>471.28934889691658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12.039483082871417</v>
      </c>
      <c r="BQ34" s="21">
        <f>EXP(-LN(2)/25)*BQ33+(1-EXP(-LN(2)/25))/(LN(2)/25)*Calculateur!BL34*Calculateur!BN34*VLOOKUP('Données projet'!$B$11,Paramètres!$A$1:$I$89,3,0)*0.475*44/12</f>
        <v>2.3026639325909053</v>
      </c>
      <c r="BR34" s="21">
        <f>EXP(-LN(2)/2)*BR33+(1-EXP(-LN(2)/2))/(LN(2)/2)*BL34*BO34*VLOOKUP('Données projet'!$B$11,Paramètres!$A$1:$I$89,3,0)*0.475*44/12</f>
        <v>2.5199016484737844</v>
      </c>
      <c r="BS34" s="22">
        <f t="shared" si="9"/>
        <v>16.862048663936108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39.6</v>
      </c>
      <c r="BY34" s="12">
        <f>IF('Données projet'!$A$114&gt;35,BY33+BX34-CG33,IF(A34&lt;'Données projet'!$A$114,$BV$205^A34,IF(A34='Données projet'!$A$114,'Données projet'!$B$114,BY33+BX34-CG33)))</f>
        <v>377.60000000000008</v>
      </c>
      <c r="BZ34" s="13">
        <f>BY34*VLOOKUP('Données projet'!$B$12,Paramètres!$A$1:$I$89,3,0)*VLOOKUP('Données projet'!$B$12,Paramètres!$A$1:$I$89,5,0)</f>
        <v>166.89920000000006</v>
      </c>
      <c r="CA34" s="13">
        <f t="shared" si="39"/>
        <v>42.394805248900767</v>
      </c>
      <c r="CB34" s="20">
        <f t="shared" si="10"/>
        <v>364.52039247516888</v>
      </c>
      <c r="CC34" s="59">
        <f t="shared" si="11"/>
        <v>657.85372580850219</v>
      </c>
      <c r="CD34" s="59">
        <f ca="1">AVERAGE(OFFSET($CC$3,0,0,'Données projet'!$E$12+1,1))-AVERAGE(OFFSET($H$3,0,0,'Données projet'!$E$12+1,1))</f>
        <v>534.99316143569899</v>
      </c>
      <c r="CE34" s="59">
        <f t="shared" si="40"/>
        <v>449.56965858934262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22.203016097359964</v>
      </c>
      <c r="CL34" s="21">
        <f>EXP(-LN(2)/25)*CL33+(1-EXP(-LN(2)/25))/(LN(2)/25)*Calculateur!CG34*Calculateur!CI34*VLOOKUP('Données projet'!$B$12,Paramètres!$A$1:$I$89,3,0)*0.475*44/12</f>
        <v>31.426945086891394</v>
      </c>
      <c r="CM34" s="21">
        <f>EXP(-LN(2)/2)*CM33+(1-EXP(-LN(2)/2))/(LN(2)/2)*CG34*CJ34*VLOOKUP('Données projet'!$B$12,Paramètres!$A$1:$I$89,3,0)*0.475*44/12</f>
        <v>8.4235989524386952</v>
      </c>
      <c r="CN34" s="22">
        <f t="shared" si="12"/>
        <v>62.053560136690052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5.4</v>
      </c>
      <c r="CT34" s="12">
        <f>IF('Données projet'!$A$140&gt;35,CT33+CS34-DB33,IF(A34&lt;'Données projet'!$A$140,$CQ$205^A34,IF(A34='Données projet'!$A$140,'Données projet'!$B$140,CT33+CS34-DB33)))</f>
        <v>69.400000000000006</v>
      </c>
      <c r="CU34" s="17">
        <f>CT34*VLOOKUP('Données projet'!$B$13,Paramètres!$A$1:$I$89,3,0)*VLOOKUP('Données projet'!$B$13,Paramètres!$A$1:$I$89,5,0)</f>
        <v>79.032720000000012</v>
      </c>
      <c r="CV34" s="13">
        <f t="shared" si="41"/>
        <v>21.900511958737759</v>
      </c>
      <c r="CW34" s="20">
        <f t="shared" si="13"/>
        <v>175.79204566146828</v>
      </c>
      <c r="CX34" s="59">
        <f t="shared" si="14"/>
        <v>469.12537899480162</v>
      </c>
      <c r="CY34" s="59">
        <f ca="1">AVERAGE(OFFSET($CX$3,0,0,'Données projet'!$E$13+1,1))-AVERAGE(OFFSET($H$3,0,0,'Données projet'!$E$13+1,1))</f>
        <v>389.89050053480827</v>
      </c>
      <c r="CZ34" s="59">
        <f t="shared" si="42"/>
        <v>216.40816051909616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83.241600000000005</v>
      </c>
      <c r="P35" s="13">
        <f t="shared" si="33"/>
        <v>22.927930643846508</v>
      </c>
      <c r="Q35" s="20">
        <f t="shared" ref="Q35:Q66" si="53">(O35+P35)*0.475*44/12</f>
        <v>184.91193253803269</v>
      </c>
      <c r="R35" s="59">
        <f t="shared" si="0"/>
        <v>478.24526587136597</v>
      </c>
      <c r="S35" s="59">
        <f ca="1">AVERAGE(OFFSET($R$3,0,0,'Données projet'!$E$9+1,1))-AVERAGE(OFFSET($H$3,0,0,'Données projet'!$E$9+1,1))</f>
        <v>371.7282125501186</v>
      </c>
      <c r="T35" s="59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9.5000000000000036</v>
      </c>
      <c r="AI35" s="13">
        <f>IF('Données projet'!$A$62&gt;35,AI34+AH35-AQ34,IF(A35&lt;'Données projet'!$A$62,$AF$205^A35,IF(A35='Données projet'!$A$62,'Données projet'!$B$62,AI34+AH35-AQ34)))</f>
        <v>250.1</v>
      </c>
      <c r="AJ35" s="13">
        <f>AI35*VLOOKUP('Données projet'!$B$10,Paramètres!$A$1:$I$89,3,0)*VLOOKUP('Données projet'!$B$10,Paramètres!$A$1:$I$89,5,0)</f>
        <v>117.0468</v>
      </c>
      <c r="AK35" s="13">
        <f t="shared" si="35"/>
        <v>30.985218187968854</v>
      </c>
      <c r="AL35" s="20">
        <f t="shared" si="4"/>
        <v>257.82243167737909</v>
      </c>
      <c r="AM35" s="59">
        <f t="shared" si="5"/>
        <v>551.15576501071246</v>
      </c>
      <c r="AN35" s="59">
        <f ca="1">AVERAGE(OFFSET($AM$3,0,0,'Données projet'!$E$10+1,1))-AVERAGE(OFFSET($H$3,0,0,'Données projet'!$E$10+1,1))</f>
        <v>218.32525311070435</v>
      </c>
      <c r="AO35" s="59">
        <f t="shared" si="36"/>
        <v>275.36315264099204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2.2857319601014092</v>
      </c>
      <c r="AW35" s="21">
        <f>EXP(-LN(2)/2)*AW34+(1-EXP(-LN(2)/2))/(LN(2)/2)*AQ35*AT35*VLOOKUP('Données projet'!$B$10,Paramètres!$A$1:$I$89,3,0)*0.475*44/12</f>
        <v>0.57326816535434089</v>
      </c>
      <c r="AX35" s="21">
        <f t="shared" si="6"/>
        <v>2.8590001254557502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11.8</v>
      </c>
      <c r="BD35" s="12">
        <f>IF('Données projet'!$A$88&gt;35,BD34+BC35-BL34,IF(A35&lt;'Données projet'!$A$88,$BA$205^A35,IF(A35='Données projet'!$A$88,'Données projet'!$B$88,BD34+BC35-BL34)))</f>
        <v>205.6</v>
      </c>
      <c r="BE35" s="13">
        <f>BD35*VLOOKUP('Données projet'!$B$11,Paramètres!$A$1:$I$89,3,0)*VLOOKUP('Données projet'!$B$11,Paramètres!$A$1:$I$89,5,0)</f>
        <v>195.64895999999999</v>
      </c>
      <c r="BF35" s="13">
        <f t="shared" si="37"/>
        <v>48.786720180808118</v>
      </c>
      <c r="BG35" s="20">
        <f t="shared" si="7"/>
        <v>425.72547631490744</v>
      </c>
      <c r="BH35" s="59">
        <f t="shared" si="8"/>
        <v>719.05880964824075</v>
      </c>
      <c r="BI35" s="59">
        <f ca="1">AVERAGE(OFFSET($BH$3,0,0,'Données projet'!$E$11+1,1))-AVERAGE(OFFSET($H$3,0,0,'Données projet'!$E$11+1,1))</f>
        <v>446.62872871405051</v>
      </c>
      <c r="BJ35" s="59">
        <f t="shared" si="38"/>
        <v>471.28934889691658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11.803396162975892</v>
      </c>
      <c r="BQ35" s="21">
        <f>EXP(-LN(2)/25)*BQ34+(1-EXP(-LN(2)/25))/(LN(2)/25)*Calculateur!BL35*Calculateur!BN35*VLOOKUP('Données projet'!$B$11,Paramètres!$A$1:$I$89,3,0)*0.475*44/12</f>
        <v>2.2396974662623736</v>
      </c>
      <c r="BR35" s="21">
        <f>EXP(-LN(2)/2)*BR34+(1-EXP(-LN(2)/2))/(LN(2)/2)*BL35*BO35*VLOOKUP('Données projet'!$B$11,Paramètres!$A$1:$I$89,3,0)*0.475*44/12</f>
        <v>1.7818395435589727</v>
      </c>
      <c r="BS35" s="22">
        <f t="shared" si="9"/>
        <v>15.824933172797238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39.6</v>
      </c>
      <c r="BY35" s="12">
        <f>IF('Données projet'!$A$114&gt;35,BY34+BX35-CG34,IF(A35&lt;'Données projet'!$A$114,$BV$205^A35,IF(A35='Données projet'!$A$114,'Données projet'!$B$114,BY34+BX35-CG34)))</f>
        <v>417.2000000000001</v>
      </c>
      <c r="BZ35" s="13">
        <f>BY35*VLOOKUP('Données projet'!$B$12,Paramètres!$A$1:$I$89,3,0)*VLOOKUP('Données projet'!$B$12,Paramètres!$A$1:$I$89,5,0)</f>
        <v>184.40240000000006</v>
      </c>
      <c r="CA35" s="13">
        <f t="shared" si="39"/>
        <v>46.300257389718269</v>
      </c>
      <c r="CB35" s="20">
        <f t="shared" si="10"/>
        <v>401.80712828709278</v>
      </c>
      <c r="CC35" s="59">
        <f t="shared" si="11"/>
        <v>695.14046162042609</v>
      </c>
      <c r="CD35" s="59">
        <f ca="1">AVERAGE(OFFSET($CC$3,0,0,'Données projet'!$E$12+1,1))-AVERAGE(OFFSET($H$3,0,0,'Données projet'!$E$12+1,1))</f>
        <v>534.99316143569899</v>
      </c>
      <c r="CE35" s="59">
        <f t="shared" si="40"/>
        <v>449.56965858934262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21.767628494193342</v>
      </c>
      <c r="CL35" s="21">
        <f>EXP(-LN(2)/25)*CL34+(1-EXP(-LN(2)/25))/(LN(2)/25)*Calculateur!CG35*Calculateur!CI35*VLOOKUP('Données projet'!$B$12,Paramètres!$A$1:$I$89,3,0)*0.475*44/12</f>
        <v>30.567573620819132</v>
      </c>
      <c r="CM35" s="21">
        <f>EXP(-LN(2)/2)*CM34+(1-EXP(-LN(2)/2))/(LN(2)/2)*CG35*CJ35*VLOOKUP('Données projet'!$B$12,Paramètres!$A$1:$I$89,3,0)*0.475*44/12</f>
        <v>5.9563839412653001</v>
      </c>
      <c r="CN35" s="22">
        <f t="shared" si="12"/>
        <v>58.291586056277779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5.4</v>
      </c>
      <c r="CT35" s="12">
        <f>IF('Données projet'!$A$140&gt;35,CT34+CS35-DB34,IF(A35&lt;'Données projet'!$A$140,$CQ$205^A35,IF(A35='Données projet'!$A$140,'Données projet'!$B$140,CT34+CS35-DB34)))</f>
        <v>74.800000000000011</v>
      </c>
      <c r="CU35" s="17">
        <f>CT35*VLOOKUP('Données projet'!$B$13,Paramètres!$A$1:$I$89,3,0)*VLOOKUP('Données projet'!$B$13,Paramètres!$A$1:$I$89,5,0)</f>
        <v>85.182240000000007</v>
      </c>
      <c r="CV35" s="13">
        <f t="shared" si="41"/>
        <v>23.399603100318654</v>
      </c>
      <c r="CW35" s="20">
        <f t="shared" si="13"/>
        <v>189.11337673305502</v>
      </c>
      <c r="CX35" s="59">
        <f t="shared" si="14"/>
        <v>482.44671006638833</v>
      </c>
      <c r="CY35" s="59">
        <f ca="1">AVERAGE(OFFSET($CX$3,0,0,'Données projet'!$E$13+1,1))-AVERAGE(OFFSET($H$3,0,0,'Données projet'!$E$13+1,1))</f>
        <v>389.89050053480827</v>
      </c>
      <c r="CZ35" s="59">
        <f t="shared" si="42"/>
        <v>216.40816051909616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90.47999999999999</v>
      </c>
      <c r="P36" s="13">
        <f t="shared" si="33"/>
        <v>24.680953573367994</v>
      </c>
      <c r="Q36" s="20">
        <f t="shared" si="53"/>
        <v>200.57199414028256</v>
      </c>
      <c r="R36" s="59">
        <f t="shared" si="0"/>
        <v>493.9053274736159</v>
      </c>
      <c r="S36" s="59">
        <f ca="1">AVERAGE(OFFSET($R$3,0,0,'Données projet'!$E$9+1,1))-AVERAGE(OFFSET($H$3,0,0,'Données projet'!$E$9+1,1))</f>
        <v>371.7282125501186</v>
      </c>
      <c r="T36" s="59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259.60000000000002</v>
      </c>
      <c r="AG36" s="12">
        <f>VLOOKUP(A36,'Données projet'!$A$61:$I$81,9,0)</f>
        <v>9.5000000000000036</v>
      </c>
      <c r="AH36" s="12">
        <f t="array" ref="AH36">INDEX(AG:AG,MIN(IF(ISNUMBER(AG36:AG232),ROW(AG36:AG232),"")))</f>
        <v>9.5000000000000036</v>
      </c>
      <c r="AI36" s="13">
        <f>IF('Données projet'!$A$62&gt;35,AI35+AH36-AQ35,IF(A36&lt;'Données projet'!$A$62,$AF$205^A36,IF(A36='Données projet'!$A$62,'Données projet'!$B$62,AI35+AH36-AQ35)))</f>
        <v>259.60000000000002</v>
      </c>
      <c r="AJ36" s="13">
        <f>AI36*VLOOKUP('Données projet'!$B$10,Paramètres!$A$1:$I$89,3,0)*VLOOKUP('Données projet'!$B$10,Paramètres!$A$1:$I$89,5,0)</f>
        <v>121.4928</v>
      </c>
      <c r="AK36" s="13">
        <f t="shared" si="35"/>
        <v>32.02291946024841</v>
      </c>
      <c r="AL36" s="20">
        <f t="shared" si="4"/>
        <v>267.37321139326599</v>
      </c>
      <c r="AM36" s="59">
        <f t="shared" si="5"/>
        <v>560.7065447265993</v>
      </c>
      <c r="AN36" s="59">
        <f ca="1">AVERAGE(OFFSET($AM$3,0,0,'Données projet'!$E$10+1,1))-AVERAGE(OFFSET($H$3,0,0,'Données projet'!$E$10+1,1))</f>
        <v>218.32525311070435</v>
      </c>
      <c r="AO36" s="59">
        <f t="shared" si="36"/>
        <v>275.36315264099204</v>
      </c>
      <c r="AP36" s="15">
        <f>IF(ISNA(VLOOKUP(A36,'Données projet'!$A$61:$I$81,3,0)),0,VLOOKUP(A36,'Données projet'!$A$61:$I$81,3,0))</f>
        <v>2</v>
      </c>
      <c r="AQ36" s="15">
        <f>IF(ISNA(VLOOKUP(A36,'Données projet'!$A$61:$I$81,4,0)),0,VLOOKUP(A36,'Données projet'!$A$61:$I$81,4,0))</f>
        <v>38.94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0.22000000000000003</v>
      </c>
      <c r="AT36" s="16">
        <f>IF(ISNA(VLOOKUP(A36,'Données projet'!$A$61:$I$81,7,0)),0%,VLOOKUP(A36,'Données projet'!$A$61:$I$81,7,0))</f>
        <v>0.6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7.5208323536617598</v>
      </c>
      <c r="AW36" s="21">
        <f>EXP(-LN(2)/2)*AW35+(1-EXP(-LN(2)/2))/(LN(2)/2)*AQ36*AT36*VLOOKUP('Données projet'!$B$10,Paramètres!$A$1:$I$89,3,0)*0.475*44/12</f>
        <v>12.785588294083531</v>
      </c>
      <c r="AX36" s="21">
        <f t="shared" si="6"/>
        <v>20.306420647745291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11.8</v>
      </c>
      <c r="BD36" s="12">
        <f>IF('Données projet'!$A$88&gt;35,BD35+BC36-BL35,IF(A36&lt;'Données projet'!$A$88,$BA$205^A36,IF(A36='Données projet'!$A$88,'Données projet'!$B$88,BD35+BC36-BL35)))</f>
        <v>217.4</v>
      </c>
      <c r="BE36" s="13">
        <f>BD36*VLOOKUP('Données projet'!$B$11,Paramètres!$A$1:$I$89,3,0)*VLOOKUP('Données projet'!$B$11,Paramètres!$A$1:$I$89,5,0)</f>
        <v>206.87784000000002</v>
      </c>
      <c r="BF36" s="13">
        <f t="shared" si="37"/>
        <v>51.252721535720376</v>
      </c>
      <c r="BG36" s="20">
        <f t="shared" si="7"/>
        <v>449.57739467471305</v>
      </c>
      <c r="BH36" s="59">
        <f t="shared" si="8"/>
        <v>742.91072800804636</v>
      </c>
      <c r="BI36" s="59">
        <f ca="1">AVERAGE(OFFSET($BH$3,0,0,'Données projet'!$E$11+1,1))-AVERAGE(OFFSET($H$3,0,0,'Données projet'!$E$11+1,1))</f>
        <v>446.62872871405051</v>
      </c>
      <c r="BJ36" s="59">
        <f t="shared" si="38"/>
        <v>471.28934889691658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11.571938763580716</v>
      </c>
      <c r="BQ36" s="21">
        <f>EXP(-LN(2)/25)*BQ35+(1-EXP(-LN(2)/25))/(LN(2)/25)*Calculateur!BL36*Calculateur!BN36*VLOOKUP('Données projet'!$B$11,Paramètres!$A$1:$I$89,3,0)*0.475*44/12</f>
        <v>2.1784528212668581</v>
      </c>
      <c r="BR36" s="21">
        <f>EXP(-LN(2)/2)*BR35+(1-EXP(-LN(2)/2))/(LN(2)/2)*BL36*BO36*VLOOKUP('Données projet'!$B$11,Paramètres!$A$1:$I$89,3,0)*0.475*44/12</f>
        <v>1.2599508242368922</v>
      </c>
      <c r="BS36" s="22">
        <f t="shared" si="9"/>
        <v>15.010342409084465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39.6</v>
      </c>
      <c r="BY36" s="12">
        <f>IF('Données projet'!$A$114&gt;35,BY35+BX36-CG35,IF(A36&lt;'Données projet'!$A$114,$BV$205^A36,IF(A36='Données projet'!$A$114,'Données projet'!$B$114,BY35+BX36-CG35)))</f>
        <v>456.80000000000013</v>
      </c>
      <c r="BZ36" s="13">
        <f>BY36*VLOOKUP('Données projet'!$B$12,Paramètres!$A$1:$I$89,3,0)*VLOOKUP('Données projet'!$B$12,Paramètres!$A$1:$I$89,5,0)</f>
        <v>201.90560000000005</v>
      </c>
      <c r="CA36" s="13">
        <f t="shared" si="39"/>
        <v>50.162729514680564</v>
      </c>
      <c r="CB36" s="20">
        <f t="shared" si="10"/>
        <v>439.01900723806875</v>
      </c>
      <c r="CC36" s="59">
        <f t="shared" si="11"/>
        <v>732.35234057140201</v>
      </c>
      <c r="CD36" s="59">
        <f ca="1">AVERAGE(OFFSET($CC$3,0,0,'Données projet'!$E$12+1,1))-AVERAGE(OFFSET($H$3,0,0,'Données projet'!$E$12+1,1))</f>
        <v>534.99316143569899</v>
      </c>
      <c r="CE36" s="59">
        <f t="shared" si="40"/>
        <v>449.56965858934262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21.340778576364603</v>
      </c>
      <c r="CL36" s="21">
        <f>EXP(-LN(2)/25)*CL35+(1-EXP(-LN(2)/25))/(LN(2)/25)*Calculateur!CG36*Calculateur!CI36*VLOOKUP('Données projet'!$B$12,Paramètres!$A$1:$I$89,3,0)*0.475*44/12</f>
        <v>29.731701712679001</v>
      </c>
      <c r="CM36" s="21">
        <f>EXP(-LN(2)/2)*CM35+(1-EXP(-LN(2)/2))/(LN(2)/2)*CG36*CJ36*VLOOKUP('Données projet'!$B$12,Paramètres!$A$1:$I$89,3,0)*0.475*44/12</f>
        <v>4.2117994762193485</v>
      </c>
      <c r="CN36" s="22">
        <f t="shared" si="12"/>
        <v>55.284279765262951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5.4</v>
      </c>
      <c r="CT36" s="12">
        <f>IF('Données projet'!$A$140&gt;35,CT35+CS36-DB35,IF(A36&lt;'Données projet'!$A$140,$CQ$205^A36,IF(A36='Données projet'!$A$140,'Données projet'!$B$140,CT35+CS36-DB35)))</f>
        <v>80.200000000000017</v>
      </c>
      <c r="CU36" s="17">
        <f>CT36*VLOOKUP('Données projet'!$B$13,Paramètres!$A$1:$I$89,3,0)*VLOOKUP('Données projet'!$B$13,Paramètres!$A$1:$I$89,5,0)</f>
        <v>91.331760000000031</v>
      </c>
      <c r="CV36" s="13">
        <f t="shared" si="41"/>
        <v>24.886138339521498</v>
      </c>
      <c r="CW36" s="20">
        <f t="shared" si="13"/>
        <v>202.41283960799998</v>
      </c>
      <c r="CX36" s="59">
        <f t="shared" si="14"/>
        <v>495.74617294133327</v>
      </c>
      <c r="CY36" s="59">
        <f ca="1">AVERAGE(OFFSET($CX$3,0,0,'Données projet'!$E$13+1,1))-AVERAGE(OFFSET($H$3,0,0,'Données projet'!$E$13+1,1))</f>
        <v>389.89050053480827</v>
      </c>
      <c r="CZ36" s="59">
        <f t="shared" si="42"/>
        <v>216.40816051909616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97.718399999999988</v>
      </c>
      <c r="P37" s="13">
        <f t="shared" si="33"/>
        <v>26.417709819192194</v>
      </c>
      <c r="Q37" s="20">
        <f t="shared" si="53"/>
        <v>216.20372460175972</v>
      </c>
      <c r="R37" s="59">
        <f t="shared" si="0"/>
        <v>509.537057935093</v>
      </c>
      <c r="S37" s="59">
        <f ca="1">AVERAGE(OFFSET($R$3,0,0,'Données projet'!$E$9+1,1))-AVERAGE(OFFSET($H$3,0,0,'Données projet'!$E$9+1,1))</f>
        <v>371.7282125501186</v>
      </c>
      <c r="T37" s="59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10.1875</v>
      </c>
      <c r="AI37" s="13">
        <f>IF('Données projet'!$A$62&gt;35,AI36+AH37-AQ36,IF(A37&lt;'Données projet'!$A$62,$AF$205^A37,IF(A37='Données projet'!$A$62,'Données projet'!$B$62,AI36+AH37-AQ36)))</f>
        <v>230.84750000000003</v>
      </c>
      <c r="AJ37" s="13">
        <f>AI37*VLOOKUP('Données projet'!$B$10,Paramètres!$A$1:$I$89,3,0)*VLOOKUP('Données projet'!$B$10,Paramètres!$A$1:$I$89,5,0)</f>
        <v>108.03663000000002</v>
      </c>
      <c r="AK37" s="13">
        <f t="shared" si="35"/>
        <v>28.867915530423033</v>
      </c>
      <c r="AL37" s="20">
        <f t="shared" si="4"/>
        <v>238.44208346548677</v>
      </c>
      <c r="AM37" s="59">
        <f t="shared" si="5"/>
        <v>531.77541679882006</v>
      </c>
      <c r="AN37" s="59">
        <f ca="1">AVERAGE(OFFSET($AM$3,0,0,'Données projet'!$E$10+1,1))-AVERAGE(OFFSET($H$3,0,0,'Données projet'!$E$10+1,1))</f>
        <v>218.32525311070435</v>
      </c>
      <c r="AO37" s="59">
        <f t="shared" si="36"/>
        <v>275.36315264099204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7.3151747974474945</v>
      </c>
      <c r="AW37" s="21">
        <f>EXP(-LN(2)/2)*AW36+(1-EXP(-LN(2)/2))/(LN(2)/2)*AQ37*AT37*VLOOKUP('Données projet'!$B$10,Paramètres!$A$1:$I$89,3,0)*0.475*44/12</f>
        <v>9.0407761842058072</v>
      </c>
      <c r="AX37" s="21">
        <f t="shared" si="6"/>
        <v>16.355950981653301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11.8</v>
      </c>
      <c r="BD37" s="12">
        <f>IF('Données projet'!$A$88&gt;35,BD36+BC37-BL36,IF(A37&lt;'Données projet'!$A$88,$BA$205^A37,IF(A37='Données projet'!$A$88,'Données projet'!$B$88,BD36+BC37-BL36)))</f>
        <v>229.20000000000002</v>
      </c>
      <c r="BE37" s="13">
        <f>BD37*VLOOKUP('Données projet'!$B$11,Paramètres!$A$1:$I$89,3,0)*VLOOKUP('Données projet'!$B$11,Paramètres!$A$1:$I$89,5,0)</f>
        <v>218.10672000000002</v>
      </c>
      <c r="BF37" s="13">
        <f t="shared" si="37"/>
        <v>53.703183903018903</v>
      </c>
      <c r="BG37" s="20">
        <f t="shared" si="7"/>
        <v>473.40224929775803</v>
      </c>
      <c r="BH37" s="59">
        <f t="shared" si="8"/>
        <v>766.73558263109135</v>
      </c>
      <c r="BI37" s="59">
        <f ca="1">AVERAGE(OFFSET($BH$3,0,0,'Données projet'!$E$11+1,1))-AVERAGE(OFFSET($H$3,0,0,'Données projet'!$E$11+1,1))</f>
        <v>446.62872871405051</v>
      </c>
      <c r="BJ37" s="59">
        <f t="shared" si="38"/>
        <v>471.28934889691658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11.345020102612606</v>
      </c>
      <c r="BQ37" s="21">
        <f>EXP(-LN(2)/25)*BQ36+(1-EXP(-LN(2)/25))/(LN(2)/25)*Calculateur!BL37*Calculateur!BN37*VLOOKUP('Données projet'!$B$11,Paramètres!$A$1:$I$89,3,0)*0.475*44/12</f>
        <v>2.1188829143094607</v>
      </c>
      <c r="BR37" s="21">
        <f>EXP(-LN(2)/2)*BR36+(1-EXP(-LN(2)/2))/(LN(2)/2)*BL37*BO37*VLOOKUP('Données projet'!$B$11,Paramètres!$A$1:$I$89,3,0)*0.475*44/12</f>
        <v>0.89091977177948634</v>
      </c>
      <c r="BS37" s="22">
        <f t="shared" si="9"/>
        <v>14.354822788701554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39.6</v>
      </c>
      <c r="BY37" s="12">
        <f>IF('Données projet'!$A$114&gt;35,BY36+BX37-CG36,IF(A37&lt;'Données projet'!$A$114,$BV$205^A37,IF(A37='Données projet'!$A$114,'Données projet'!$B$114,BY36+BX37-CG36)))</f>
        <v>496.40000000000015</v>
      </c>
      <c r="BZ37" s="13">
        <f>BY37*VLOOKUP('Données projet'!$B$12,Paramètres!$A$1:$I$89,3,0)*VLOOKUP('Données projet'!$B$12,Paramètres!$A$1:$I$89,5,0)</f>
        <v>219.4088000000001</v>
      </c>
      <c r="CA37" s="13">
        <f t="shared" si="39"/>
        <v>53.986371205044335</v>
      </c>
      <c r="CB37" s="20">
        <f t="shared" si="10"/>
        <v>476.1632565154523</v>
      </c>
      <c r="CC37" s="59">
        <f t="shared" si="11"/>
        <v>769.49658984878556</v>
      </c>
      <c r="CD37" s="59">
        <f ca="1">AVERAGE(OFFSET($CC$3,0,0,'Données projet'!$E$12+1,1))-AVERAGE(OFFSET($H$3,0,0,'Données projet'!$E$12+1,1))</f>
        <v>534.99316143569899</v>
      </c>
      <c r="CE37" s="59">
        <f t="shared" si="40"/>
        <v>449.56965858934262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20.922298925071743</v>
      </c>
      <c r="CL37" s="21">
        <f>EXP(-LN(2)/25)*CL36+(1-EXP(-LN(2)/25))/(LN(2)/25)*Calculateur!CG37*Calculateur!CI37*VLOOKUP('Données projet'!$B$12,Paramètres!$A$1:$I$89,3,0)*0.475*44/12</f>
        <v>28.918686765823555</v>
      </c>
      <c r="CM37" s="21">
        <f>EXP(-LN(2)/2)*CM36+(1-EXP(-LN(2)/2))/(LN(2)/2)*CG37*CJ37*VLOOKUP('Données projet'!$B$12,Paramètres!$A$1:$I$89,3,0)*0.475*44/12</f>
        <v>2.9781919706326505</v>
      </c>
      <c r="CN37" s="22">
        <f t="shared" si="12"/>
        <v>52.819177661527945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5.4</v>
      </c>
      <c r="CT37" s="12">
        <f>IF('Données projet'!$A$140&gt;35,CT36+CS37-DB36,IF(A37&lt;'Données projet'!$A$140,$CQ$205^A37,IF(A37='Données projet'!$A$140,'Données projet'!$B$140,CT36+CS37-DB36)))</f>
        <v>85.600000000000023</v>
      </c>
      <c r="CU37" s="17">
        <f>CT37*VLOOKUP('Données projet'!$B$13,Paramètres!$A$1:$I$89,3,0)*VLOOKUP('Données projet'!$B$13,Paramètres!$A$1:$I$89,5,0)</f>
        <v>97.481280000000027</v>
      </c>
      <c r="CV37" s="13">
        <f t="shared" si="41"/>
        <v>26.36105927366464</v>
      </c>
      <c r="CW37" s="20">
        <f t="shared" si="13"/>
        <v>215.69207423496596</v>
      </c>
      <c r="CX37" s="59">
        <f t="shared" si="14"/>
        <v>509.02540756829927</v>
      </c>
      <c r="CY37" s="59">
        <f ca="1">AVERAGE(OFFSET($CX$3,0,0,'Données projet'!$E$13+1,1))-AVERAGE(OFFSET($H$3,0,0,'Données projet'!$E$13+1,1))</f>
        <v>389.89050053480827</v>
      </c>
      <c r="CZ37" s="59">
        <f t="shared" si="42"/>
        <v>216.40816051909616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104.9568</v>
      </c>
      <c r="P38" s="13">
        <f t="shared" si="33"/>
        <v>28.139541339232373</v>
      </c>
      <c r="Q38" s="20">
        <f t="shared" si="53"/>
        <v>231.8094611658297</v>
      </c>
      <c r="R38" s="59">
        <f t="shared" si="0"/>
        <v>525.14279449916307</v>
      </c>
      <c r="S38" s="59">
        <f ca="1">AVERAGE(OFFSET($R$3,0,0,'Données projet'!$E$9+1,1))-AVERAGE(OFFSET($H$3,0,0,'Données projet'!$E$9+1,1))</f>
        <v>371.7282125501186</v>
      </c>
      <c r="T38" s="59">
        <f t="shared" si="34"/>
        <v>231.36959598460686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0.17200000000000001</v>
      </c>
      <c r="X38" s="16">
        <f>IF(ISNA(VLOOKUP(A38,'Données projet'!$A$35:$I$55,6,0)),0%,VLOOKUP(A38,'Données projet'!$A$35:$I$55,6,0)*VLOOKUP('Données projet'!$B$9,Paramètres!$A$1:$I$89,7,0))</f>
        <v>3.44E-2</v>
      </c>
      <c r="Y38" s="16">
        <f>IF(ISNA(VLOOKUP(A38,'Données projet'!$A$35:$I$55,7,0)),0%,VLOOKUP(A38,'Données projet'!$A$35:$I$55,7,0))</f>
        <v>0.12</v>
      </c>
      <c r="Z38" s="21">
        <f>EXP(-LN(2)/35)*Z37+(1-EXP(-LN(2)/35))/(LN(2)/35)*V38*W38*VLOOKUP('Données projet'!$B$9,Paramètres!$A$1:$I$89,3,0)*0.475*44/12</f>
        <v>3.6128293130379046</v>
      </c>
      <c r="AA38" s="21">
        <f>EXP(-LN(2)/25)*AA37+(1-EXP(-LN(2)/25))/(LN(2)/25)*Calculateur!V38*Calculateur!X38*VLOOKUP('Données projet'!$B$9,Paramètres!$A$1:$I$89,3,0)*0.475*44/12</f>
        <v>0.71972084548731663</v>
      </c>
      <c r="AB38" s="21">
        <f>EXP(-LN(2)/2)*AB37+(1-EXP(-LN(2)/2))/(LN(2)/2)*V38*Y38*VLOOKUP('Données projet'!$B$9,Paramètres!$A$1:$I$89,3,0)*0.475*44/12</f>
        <v>2.1513319438840868</v>
      </c>
      <c r="AC38" s="22">
        <f t="shared" si="3"/>
        <v>6.4838821024093072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10.1875</v>
      </c>
      <c r="AI38" s="13">
        <f>IF('Données projet'!$A$62&gt;35,AI37+AH38-AQ37,IF(A38&lt;'Données projet'!$A$62,$AF$205^A38,IF(A38='Données projet'!$A$62,'Données projet'!$B$62,AI37+AH38-AQ37)))</f>
        <v>241.03500000000003</v>
      </c>
      <c r="AJ38" s="13">
        <f>AI38*VLOOKUP('Données projet'!$B$10,Paramètres!$A$1:$I$89,3,0)*VLOOKUP('Données projet'!$B$10,Paramètres!$A$1:$I$89,5,0)</f>
        <v>112.80438000000002</v>
      </c>
      <c r="AK38" s="13">
        <f t="shared" si="35"/>
        <v>29.990747173266367</v>
      </c>
      <c r="AL38" s="20">
        <f t="shared" si="4"/>
        <v>248.70151316010561</v>
      </c>
      <c r="AM38" s="59">
        <f t="shared" si="5"/>
        <v>542.03484649343886</v>
      </c>
      <c r="AN38" s="59">
        <f ca="1">AVERAGE(OFFSET($AM$3,0,0,'Données projet'!$E$10+1,1))-AVERAGE(OFFSET($H$3,0,0,'Données projet'!$E$10+1,1))</f>
        <v>218.32525311070435</v>
      </c>
      <c r="AO38" s="59">
        <f t="shared" si="36"/>
        <v>275.36315264099204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7.1151409579229696</v>
      </c>
      <c r="AW38" s="21">
        <f>EXP(-LN(2)/2)*AW37+(1-EXP(-LN(2)/2))/(LN(2)/2)*AQ38*AT38*VLOOKUP('Données projet'!$B$10,Paramètres!$A$1:$I$89,3,0)*0.475*44/12</f>
        <v>6.3927941470417666</v>
      </c>
      <c r="AX38" s="21">
        <f t="shared" si="6"/>
        <v>13.507935104964737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241</v>
      </c>
      <c r="BB38" s="12">
        <f>VLOOKUP(A38,'Données projet'!$A$87:$I$107,9,0)</f>
        <v>11.8</v>
      </c>
      <c r="BC38" s="12">
        <f t="array" ref="BC38">INDEX(BB:BB,MIN(IF(ISNUMBER(BB38:BB234),ROW(BB38:BB234),"")))</f>
        <v>11.8</v>
      </c>
      <c r="BD38" s="12">
        <f>IF('Données projet'!$A$88&gt;35,BD37+BC38-BL37,IF(A38&lt;'Données projet'!$A$88,$BA$205^A38,IF(A38='Données projet'!$A$88,'Données projet'!$B$88,BD37+BC38-BL37)))</f>
        <v>241.00000000000003</v>
      </c>
      <c r="BE38" s="13">
        <f>BD38*VLOOKUP('Données projet'!$B$11,Paramètres!$A$1:$I$89,3,0)*VLOOKUP('Données projet'!$B$11,Paramètres!$A$1:$I$89,5,0)</f>
        <v>229.33560000000003</v>
      </c>
      <c r="BF38" s="13">
        <f t="shared" si="37"/>
        <v>56.138998539243907</v>
      </c>
      <c r="BG38" s="20">
        <f t="shared" si="7"/>
        <v>497.20159245584978</v>
      </c>
      <c r="BH38" s="59">
        <f t="shared" si="8"/>
        <v>790.53492578918303</v>
      </c>
      <c r="BI38" s="59">
        <f ca="1">AVERAGE(OFFSET($BH$3,0,0,'Données projet'!$E$11+1,1))-AVERAGE(OFFSET($H$3,0,0,'Données projet'!$E$11+1,1))</f>
        <v>446.62872871405051</v>
      </c>
      <c r="BJ38" s="59">
        <f t="shared" si="38"/>
        <v>471.28934889691658</v>
      </c>
      <c r="BK38" s="15">
        <f>IF(ISNA(VLOOKUP(A38,'Données projet'!$A$87:$I$107,3,0)),0,VLOOKUP(A38,'Données projet'!$A$87:$I$107,3,0))</f>
        <v>6</v>
      </c>
      <c r="BL38" s="15">
        <f>IF(ISNA(VLOOKUP(A38,'Données projet'!$A$87:$I$107,4,0)),0,VLOOKUP(A38,'Données projet'!$A$87:$I$107,4,0))</f>
        <v>29</v>
      </c>
      <c r="BM38" s="16">
        <f>IF(ISNA(VLOOKUP(A38,'Données projet'!$A$87:$I$107,5,0)),0%,VLOOKUP(A38,'Données projet'!$A$87:$I$107,5,0)*VLOOKUP('Données projet'!$B$11,Paramètres!$A$1:$I$89,7,0))</f>
        <v>0.25800000000000001</v>
      </c>
      <c r="BN38" s="16">
        <f>IF(ISNA(VLOOKUP(A38,'Données projet'!$A$87:$I$107,6,0)),0%,VLOOKUP(A38,'Données projet'!$A$87:$I$107,6,0)*VLOOKUP('Données projet'!$B$11,Paramètres!$A$1:$I$89,7,0))</f>
        <v>1.72E-2</v>
      </c>
      <c r="BO38" s="16">
        <f>IF(ISNA(VLOOKUP(A38,'Données projet'!$A$87:$I$107,7,0)),0%,VLOOKUP(A38,'Données projet'!$A$87:$I$107,7,0))</f>
        <v>0.06</v>
      </c>
      <c r="BP38" s="21">
        <f>EXP(-LN(2)/35)*BP37+(1-EXP(-LN(2)/35))/(LN(2)/35)*BL38*BM38*VLOOKUP('Données projet'!$B$11,Paramètres!$A$1:$I$89,3,0)*0.475*44/12</f>
        <v>18.993357895869085</v>
      </c>
      <c r="BQ38" s="21">
        <f>EXP(-LN(2)/25)*BQ37+(1-EXP(-LN(2)/25))/(LN(2)/25)*Calculateur!BL38*Calculateur!BN38*VLOOKUP('Données projet'!$B$11,Paramètres!$A$1:$I$89,3,0)*0.475*44/12</f>
        <v>2.5835963730991054</v>
      </c>
      <c r="BR38" s="21">
        <f>EXP(-LN(2)/2)*BR37+(1-EXP(-LN(2)/2))/(LN(2)/2)*BL38*BO38*VLOOKUP('Données projet'!$B$11,Paramètres!$A$1:$I$89,3,0)*0.475*44/12</f>
        <v>2.1922521808914142</v>
      </c>
      <c r="BS38" s="22">
        <f t="shared" si="9"/>
        <v>23.769206449859606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536</v>
      </c>
      <c r="BW38" s="12">
        <f>VLOOKUP(A38,'Données projet'!$A$113:$I$133,9,0)</f>
        <v>39.6</v>
      </c>
      <c r="BX38" s="12">
        <f t="array" ref="BX38">INDEX(BW:BW,MIN(IF(ISNUMBER(BW38:BW234),ROW(BW38:BW234),"")))</f>
        <v>39.6</v>
      </c>
      <c r="BY38" s="12">
        <f>IF('Données projet'!$A$114&gt;35,BY37+BX38-CG37,IF(A38&lt;'Données projet'!$A$114,$BV$205^A38,IF(A38='Données projet'!$A$114,'Données projet'!$B$114,BY37+BX38-CG37)))</f>
        <v>536.00000000000011</v>
      </c>
      <c r="BZ38" s="13">
        <f>BY38*VLOOKUP('Données projet'!$B$12,Paramètres!$A$1:$I$89,3,0)*VLOOKUP('Données projet'!$B$12,Paramètres!$A$1:$I$89,5,0)</f>
        <v>236.91200000000009</v>
      </c>
      <c r="CA38" s="13">
        <f t="shared" si="39"/>
        <v>57.774632312805593</v>
      </c>
      <c r="CB38" s="20">
        <f t="shared" si="10"/>
        <v>513.24588461146982</v>
      </c>
      <c r="CC38" s="59">
        <f t="shared" si="11"/>
        <v>806.57921794480308</v>
      </c>
      <c r="CD38" s="59">
        <f ca="1">AVERAGE(OFFSET($CC$3,0,0,'Données projet'!$E$12+1,1))-AVERAGE(OFFSET($H$3,0,0,'Données projet'!$E$12+1,1))</f>
        <v>534.99316143569899</v>
      </c>
      <c r="CE38" s="59">
        <f t="shared" si="40"/>
        <v>449.56965858934262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91</v>
      </c>
      <c r="CH38" s="16">
        <f>IF(ISNA(VLOOKUP(A38,'Données projet'!$A$113:$I$133,5,0)),0%,VLOOKUP(A38,'Données projet'!$A$113:$I$133,5,0)*VLOOKUP('Données projet'!$B$12,Paramètres!$A$1:$I$89,7,0))</f>
        <v>0.27500000000000002</v>
      </c>
      <c r="CI38" s="16">
        <f>IF(ISNA(VLOOKUP(A38,'Données projet'!$A$113:$I$133,6,0)),0%,VLOOKUP(A38,'Données projet'!$A$113:$I$133,6,0)*VLOOKUP('Données projet'!$B$12,Paramètres!$A$1:$I$89,7,0))</f>
        <v>0.16500000000000001</v>
      </c>
      <c r="CJ38" s="16">
        <f>IF(ISNA(VLOOKUP(A38,'Données projet'!$A$113:$I$133,7,0)),0%,VLOOKUP(A38,'Données projet'!$A$113:$I$133,7,0))</f>
        <v>0.2</v>
      </c>
      <c r="CK38" s="21">
        <f>EXP(-LN(2)/35)*CK37+(1-EXP(-LN(2)/35))/(LN(2)/35)*CG38*CH38*VLOOKUP('Données projet'!$B$12,Paramètres!$A$1:$I$89,3,0)*0.475*44/12</f>
        <v>35.185221174332881</v>
      </c>
      <c r="CL38" s="21">
        <f>EXP(-LN(2)/25)*CL37+(1-EXP(-LN(2)/25))/(LN(2)/25)*Calculateur!CG38*Calculateur!CI38*VLOOKUP('Données projet'!$B$12,Paramètres!$A$1:$I$89,3,0)*0.475*44/12</f>
        <v>36.897156839745122</v>
      </c>
      <c r="CM38" s="21">
        <f>EXP(-LN(2)/2)*CM37+(1-EXP(-LN(2)/2))/(LN(2)/2)*CG38*CJ38*VLOOKUP('Données projet'!$B$12,Paramètres!$A$1:$I$89,3,0)*0.475*44/12</f>
        <v>11.214029232331576</v>
      </c>
      <c r="CN38" s="22">
        <f t="shared" si="12"/>
        <v>83.296407246409586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91</v>
      </c>
      <c r="CR38" s="12">
        <f>VLOOKUP(A38,'Données projet'!$A$139:$I$159,9,0)</f>
        <v>5.4</v>
      </c>
      <c r="CS38" s="12">
        <f t="array" ref="CS38">INDEX(CR:CR,MIN(IF(ISNUMBER(CR38:CR234),ROW(CR38:CR234),"")))</f>
        <v>5.4</v>
      </c>
      <c r="CT38" s="12">
        <f>IF('Données projet'!$A$140&gt;35,CT37+CS38-DB37,IF(A38&lt;'Données projet'!$A$140,$CQ$205^A38,IF(A38='Données projet'!$A$140,'Données projet'!$B$140,CT37+CS38-DB37)))</f>
        <v>91.000000000000028</v>
      </c>
      <c r="CU38" s="17">
        <f>CT38*VLOOKUP('Données projet'!$B$13,Paramètres!$A$1:$I$89,3,0)*VLOOKUP('Données projet'!$B$13,Paramètres!$A$1:$I$89,5,0)</f>
        <v>103.63080000000004</v>
      </c>
      <c r="CV38" s="13">
        <f t="shared" si="41"/>
        <v>27.825181985080775</v>
      </c>
      <c r="CW38" s="20">
        <f t="shared" si="13"/>
        <v>228.95250195734911</v>
      </c>
      <c r="CX38" s="59">
        <f t="shared" si="14"/>
        <v>522.28583529068237</v>
      </c>
      <c r="CY38" s="59">
        <f ca="1">AVERAGE(OFFSET($CX$3,0,0,'Données projet'!$E$13+1,1))-AVERAGE(OFFSET($H$3,0,0,'Données projet'!$E$13+1,1))</f>
        <v>389.89050053480827</v>
      </c>
      <c r="CZ38" s="59">
        <f t="shared" si="42"/>
        <v>216.40816051909616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9</v>
      </c>
      <c r="DC38" s="16">
        <f>IF(ISNA(VLOOKUP(A38,'Données projet'!$A$139:$I$159,5,0)),0%,VLOOKUP(A38,'Données projet'!$A$139:$I$159,5,0)*VLOOKUP('Données projet'!$B$13,Paramètres!$A$1:$I$89,7,0))</f>
        <v>4.3000000000000003E-2</v>
      </c>
      <c r="DD38" s="16">
        <f>IF(ISNA(VLOOKUP(A38,'Données projet'!$A$139:$I$159,6,0)),0%,VLOOKUP(A38,'Données projet'!$A$139:$I$159,6,0)*VLOOKUP('Données projet'!$B$13,Paramètres!$A$1:$I$89,7,0))</f>
        <v>3.44E-2</v>
      </c>
      <c r="DE38" s="16">
        <f>IF(ISNA(VLOOKUP(A38,'Données projet'!$A$139:$I$159,7,0)),0%,VLOOKUP(A38,'Données projet'!$A$139:$I$159,7,0))</f>
        <v>0.12</v>
      </c>
      <c r="DF38" s="21">
        <f>EXP(-LN(2)/35)*DF37+(1-EXP(-LN(2)/35))/(LN(2)/35)*DB38*DC38*VLOOKUP('Données projet'!$B$13,Paramètres!$A$1:$I$89,3,0)*0.475*44/12</f>
        <v>0.48719804159809188</v>
      </c>
      <c r="DG38" s="21">
        <f>EXP(-LN(2)/25)*DG37+(1-EXP(-LN(2)/25))/(LN(2)/25)*Calculateur!DB38*Calculateur!DD38*VLOOKUP('Données projet'!$B$13,Paramètres!$A$1:$I$89,3,0)*0.475*44/12</f>
        <v>0.38822380581705013</v>
      </c>
      <c r="DH38" s="21">
        <f>EXP(-LN(2)/2)*DH37+(1-EXP(-LN(2)/2))/(LN(2)/2)*DB38*DE38*VLOOKUP('Données projet'!$B$13,Paramètres!$A$1:$I$89,3,0)*0.475*44/12</f>
        <v>1.1604475263808254</v>
      </c>
      <c r="DI38" s="22">
        <f t="shared" si="15"/>
        <v>2.0358693737959674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93.556319999999999</v>
      </c>
      <c r="P39" s="13">
        <f t="shared" si="33"/>
        <v>25.420979659258073</v>
      </c>
      <c r="Q39" s="20">
        <f t="shared" si="53"/>
        <v>207.21879690654114</v>
      </c>
      <c r="R39" s="59">
        <f t="shared" si="0"/>
        <v>500.55213023987449</v>
      </c>
      <c r="S39" s="59">
        <f ca="1">AVERAGE(OFFSET($R$3,0,0,'Données projet'!$E$9+1,1))-AVERAGE(OFFSET($H$3,0,0,'Données projet'!$E$9+1,1))</f>
        <v>371.7282125501186</v>
      </c>
      <c r="T39" s="59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3.5419839338175239</v>
      </c>
      <c r="AA39" s="21">
        <f>EXP(-LN(2)/25)*AA38+(1-EXP(-LN(2)/25))/(LN(2)/25)*Calculateur!V39*Calculateur!X39*VLOOKUP('Données projet'!$B$9,Paramètres!$A$1:$I$89,3,0)*0.475*44/12</f>
        <v>0.70004004111899165</v>
      </c>
      <c r="AB39" s="21">
        <f>EXP(-LN(2)/2)*AB38+(1-EXP(-LN(2)/2))/(LN(2)/2)*V39*Y39*VLOOKUP('Données projet'!$B$9,Paramètres!$A$1:$I$89,3,0)*0.475*44/12</f>
        <v>1.5212214061036751</v>
      </c>
      <c r="AC39" s="22">
        <f t="shared" si="3"/>
        <v>5.76324538104019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10.1875</v>
      </c>
      <c r="AI39" s="13">
        <f>IF('Données projet'!$A$62&gt;35,AI38+AH39-AQ38,IF(A39&lt;'Données projet'!$A$62,$AF$205^A39,IF(A39='Données projet'!$A$62,'Données projet'!$B$62,AI38+AH39-AQ38)))</f>
        <v>251.22250000000003</v>
      </c>
      <c r="AJ39" s="13">
        <f>AI39*VLOOKUP('Données projet'!$B$10,Paramètres!$A$1:$I$89,3,0)*VLOOKUP('Données projet'!$B$10,Paramètres!$A$1:$I$89,5,0)</f>
        <v>117.57213</v>
      </c>
      <c r="AK39" s="13">
        <f t="shared" si="35"/>
        <v>31.108066630384823</v>
      </c>
      <c r="AL39" s="20">
        <f t="shared" si="4"/>
        <v>258.9513424645869</v>
      </c>
      <c r="AM39" s="59">
        <f t="shared" si="5"/>
        <v>552.28467579792027</v>
      </c>
      <c r="AN39" s="59">
        <f ca="1">AVERAGE(OFFSET($AM$3,0,0,'Données projet'!$E$10+1,1))-AVERAGE(OFFSET($H$3,0,0,'Données projet'!$E$10+1,1))</f>
        <v>218.32525311070435</v>
      </c>
      <c r="AO39" s="59">
        <f t="shared" si="36"/>
        <v>275.36315264099204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6.9205770542595646</v>
      </c>
      <c r="AW39" s="21">
        <f>EXP(-LN(2)/2)*AW38+(1-EXP(-LN(2)/2))/(LN(2)/2)*AQ39*AT39*VLOOKUP('Données projet'!$B$10,Paramètres!$A$1:$I$89,3,0)*0.475*44/12</f>
        <v>4.5203880921029045</v>
      </c>
      <c r="AX39" s="21">
        <f t="shared" si="6"/>
        <v>11.440965146362469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11.2</v>
      </c>
      <c r="BD39" s="12">
        <f>IF('Données projet'!$A$88&gt;35,BD38+BC39-BL38,IF(A39&lt;'Données projet'!$A$88,$BA$205^A39,IF(A39='Données projet'!$A$88,'Données projet'!$B$88,BD38+BC39-BL38)))</f>
        <v>223.20000000000002</v>
      </c>
      <c r="BE39" s="13">
        <f>BD39*VLOOKUP('Données projet'!$B$11,Paramètres!$A$1:$I$89,3,0)*VLOOKUP('Données projet'!$B$11,Paramètres!$A$1:$I$89,5,0)</f>
        <v>212.39712000000003</v>
      </c>
      <c r="BF39" s="13">
        <f t="shared" si="37"/>
        <v>52.459070194004759</v>
      </c>
      <c r="BG39" s="20">
        <f t="shared" si="7"/>
        <v>461.29119792122498</v>
      </c>
      <c r="BH39" s="59">
        <f t="shared" si="8"/>
        <v>754.62453125455829</v>
      </c>
      <c r="BI39" s="59">
        <f ca="1">AVERAGE(OFFSET($BH$3,0,0,'Données projet'!$E$11+1,1))-AVERAGE(OFFSET($H$3,0,0,'Données projet'!$E$11+1,1))</f>
        <v>446.62872871405051</v>
      </c>
      <c r="BJ39" s="59">
        <f t="shared" si="38"/>
        <v>471.28934889691658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18.620909732335505</v>
      </c>
      <c r="BQ39" s="21">
        <f>EXP(-LN(2)/25)*BQ38+(1-EXP(-LN(2)/25))/(LN(2)/25)*Calculateur!BL39*Calculateur!BN39*VLOOKUP('Données projet'!$B$11,Paramètres!$A$1:$I$89,3,0)*0.475*44/12</f>
        <v>2.5129477944112821</v>
      </c>
      <c r="BR39" s="21">
        <f>EXP(-LN(2)/2)*BR38+(1-EXP(-LN(2)/2))/(LN(2)/2)*BL39*BO39*VLOOKUP('Données projet'!$B$11,Paramètres!$A$1:$I$89,3,0)*0.475*44/12</f>
        <v>1.5501563831793168</v>
      </c>
      <c r="BS39" s="22">
        <f t="shared" si="9"/>
        <v>22.684013909926104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36.4</v>
      </c>
      <c r="BY39" s="12">
        <f>IF('Données projet'!$A$114&gt;35,BY38+BX39-CG38,IF(A39&lt;'Données projet'!$A$114,$BV$205^A39,IF(A39='Données projet'!$A$114,'Données projet'!$B$114,BY38+BX39-CG38)))</f>
        <v>481.40000000000009</v>
      </c>
      <c r="BZ39" s="13">
        <f>BY39*VLOOKUP('Données projet'!$B$12,Paramètres!$A$1:$I$89,3,0)*VLOOKUP('Données projet'!$B$12,Paramètres!$A$1:$I$89,5,0)</f>
        <v>212.77880000000007</v>
      </c>
      <c r="CA39" s="13">
        <f t="shared" si="39"/>
        <v>52.54235805001602</v>
      </c>
      <c r="CB39" s="20">
        <f t="shared" si="10"/>
        <v>462.10101693711135</v>
      </c>
      <c r="CC39" s="59">
        <f t="shared" si="11"/>
        <v>755.43435027044461</v>
      </c>
      <c r="CD39" s="59">
        <f ca="1">AVERAGE(OFFSET($CC$3,0,0,'Données projet'!$E$12+1,1))-AVERAGE(OFFSET($H$3,0,0,'Données projet'!$E$12+1,1))</f>
        <v>534.99316143569899</v>
      </c>
      <c r="CE39" s="59">
        <f t="shared" si="40"/>
        <v>449.56965858934262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34.495260447970047</v>
      </c>
      <c r="CL39" s="21">
        <f>EXP(-LN(2)/25)*CL38+(1-EXP(-LN(2)/25))/(LN(2)/25)*Calculateur!CG39*Calculateur!CI39*VLOOKUP('Données projet'!$B$12,Paramètres!$A$1:$I$89,3,0)*0.475*44/12</f>
        <v>35.888202145625144</v>
      </c>
      <c r="CM39" s="21">
        <f>EXP(-LN(2)/2)*CM38+(1-EXP(-LN(2)/2))/(LN(2)/2)*CG39*CJ39*VLOOKUP('Données projet'!$B$12,Paramètres!$A$1:$I$89,3,0)*0.475*44/12</f>
        <v>7.9295161146058319</v>
      </c>
      <c r="CN39" s="22">
        <f t="shared" si="12"/>
        <v>78.31297870820103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5.6</v>
      </c>
      <c r="CT39" s="12">
        <f>IF('Données projet'!$A$140&gt;35,CT38+CS39-DB38,IF(A39&lt;'Données projet'!$A$140,$CQ$205^A39,IF(A39='Données projet'!$A$140,'Données projet'!$B$140,CT38+CS39-DB38)))</f>
        <v>87.600000000000023</v>
      </c>
      <c r="CU39" s="17">
        <f>CT39*VLOOKUP('Données projet'!$B$13,Paramètres!$A$1:$I$89,3,0)*VLOOKUP('Données projet'!$B$13,Paramètres!$A$1:$I$89,5,0)</f>
        <v>99.758880000000033</v>
      </c>
      <c r="CV39" s="13">
        <f t="shared" si="41"/>
        <v>26.90454596491789</v>
      </c>
      <c r="CW39" s="20">
        <f t="shared" si="13"/>
        <v>220.60546688889872</v>
      </c>
      <c r="CX39" s="59">
        <f t="shared" si="14"/>
        <v>513.93880022223198</v>
      </c>
      <c r="CY39" s="59">
        <f ca="1">AVERAGE(OFFSET($CX$3,0,0,'Données projet'!$E$13+1,1))-AVERAGE(OFFSET($H$3,0,0,'Données projet'!$E$13+1,1))</f>
        <v>389.89050053480827</v>
      </c>
      <c r="CZ39" s="59">
        <f t="shared" si="42"/>
        <v>216.40816051909616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0.47764438516381641</v>
      </c>
      <c r="DG39" s="21">
        <f>EXP(-LN(2)/25)*DG38+(1-EXP(-LN(2)/25))/(LN(2)/25)*Calculateur!DB39*Calculateur!DD39*VLOOKUP('Données projet'!$B$13,Paramètres!$A$1:$I$89,3,0)*0.475*44/12</f>
        <v>0.37760780543118022</v>
      </c>
      <c r="DH39" s="21">
        <f>EXP(-LN(2)/2)*DH38+(1-EXP(-LN(2)/2))/(LN(2)/2)*DB39*DE39*VLOOKUP('Données projet'!$B$13,Paramètres!$A$1:$I$89,3,0)*0.475*44/12</f>
        <v>0.82056031511503669</v>
      </c>
      <c r="DI39" s="22">
        <f t="shared" si="15"/>
        <v>1.6758125057100333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101.15664000000001</v>
      </c>
      <c r="P40" s="13">
        <f t="shared" si="33"/>
        <v>27.237366379381644</v>
      </c>
      <c r="Q40" s="20">
        <f t="shared" si="53"/>
        <v>223.61956111075639</v>
      </c>
      <c r="R40" s="59">
        <f t="shared" si="0"/>
        <v>516.95289444408968</v>
      </c>
      <c r="S40" s="59">
        <f ca="1">AVERAGE(OFFSET($R$3,0,0,'Données projet'!$E$9+1,1))-AVERAGE(OFFSET($H$3,0,0,'Données projet'!$E$9+1,1))</f>
        <v>371.7282125501186</v>
      </c>
      <c r="T40" s="59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3.4725277892722404</v>
      </c>
      <c r="AA40" s="21">
        <f>EXP(-LN(2)/25)*AA39+(1-EXP(-LN(2)/25))/(LN(2)/25)*Calculateur!V40*Calculateur!X40*VLOOKUP('Données projet'!$B$9,Paramètres!$A$1:$I$89,3,0)*0.475*44/12</f>
        <v>0.680897409381087</v>
      </c>
      <c r="AB40" s="21">
        <f>EXP(-LN(2)/2)*AB39+(1-EXP(-LN(2)/2))/(LN(2)/2)*V40*Y40*VLOOKUP('Données projet'!$B$9,Paramètres!$A$1:$I$89,3,0)*0.475*44/12</f>
        <v>1.0756659719420436</v>
      </c>
      <c r="AC40" s="22">
        <f t="shared" si="3"/>
        <v>5.2290911705953711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10.1875</v>
      </c>
      <c r="AI40" s="13">
        <f>IF('Données projet'!$A$62&gt;35,AI39+AH40-AQ39,IF(A40&lt;'Données projet'!$A$62,$AF$205^A40,IF(A40='Données projet'!$A$62,'Données projet'!$B$62,AI39+AH40-AQ39)))</f>
        <v>261.41000000000003</v>
      </c>
      <c r="AJ40" s="13">
        <f>AI40*VLOOKUP('Données projet'!$B$10,Paramètres!$A$1:$I$89,3,0)*VLOOKUP('Données projet'!$B$10,Paramètres!$A$1:$I$89,5,0)</f>
        <v>122.33988000000001</v>
      </c>
      <c r="AK40" s="13">
        <f t="shared" si="35"/>
        <v>32.22012300014292</v>
      </c>
      <c r="AL40" s="20">
        <f t="shared" si="4"/>
        <v>269.19200522524892</v>
      </c>
      <c r="AM40" s="59">
        <f t="shared" si="5"/>
        <v>562.52533855858223</v>
      </c>
      <c r="AN40" s="59">
        <f ca="1">AVERAGE(OFFSET($AM$3,0,0,'Données projet'!$E$10+1,1))-AVERAGE(OFFSET($H$3,0,0,'Données projet'!$E$10+1,1))</f>
        <v>218.32525311070435</v>
      </c>
      <c r="AO40" s="59">
        <f t="shared" si="36"/>
        <v>275.36315264099204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6.7313335107735064</v>
      </c>
      <c r="AW40" s="21">
        <f>EXP(-LN(2)/2)*AW39+(1-EXP(-LN(2)/2))/(LN(2)/2)*AQ40*AT40*VLOOKUP('Données projet'!$B$10,Paramètres!$A$1:$I$89,3,0)*0.475*44/12</f>
        <v>3.1963970735208838</v>
      </c>
      <c r="AX40" s="21">
        <f t="shared" si="6"/>
        <v>9.927730584294391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11.2</v>
      </c>
      <c r="BD40" s="12">
        <f>IF('Données projet'!$A$88&gt;35,BD39+BC40-BL39,IF(A40&lt;'Données projet'!$A$88,$BA$205^A40,IF(A40='Données projet'!$A$88,'Données projet'!$B$88,BD39+BC40-BL39)))</f>
        <v>234.4</v>
      </c>
      <c r="BE40" s="13">
        <f>BD40*VLOOKUP('Données projet'!$B$11,Paramètres!$A$1:$I$89,3,0)*VLOOKUP('Données projet'!$B$11,Paramètres!$A$1:$I$89,5,0)</f>
        <v>223.05504000000002</v>
      </c>
      <c r="BF40" s="13">
        <f t="shared" si="37"/>
        <v>54.778349682173001</v>
      </c>
      <c r="BG40" s="20">
        <f t="shared" si="7"/>
        <v>483.89315369645129</v>
      </c>
      <c r="BH40" s="59">
        <f t="shared" si="8"/>
        <v>777.22648702978461</v>
      </c>
      <c r="BI40" s="59">
        <f ca="1">AVERAGE(OFFSET($BH$3,0,0,'Données projet'!$E$11+1,1))-AVERAGE(OFFSET($H$3,0,0,'Données projet'!$E$11+1,1))</f>
        <v>446.62872871405051</v>
      </c>
      <c r="BJ40" s="59">
        <f t="shared" si="38"/>
        <v>471.28934889691658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18.255765050117869</v>
      </c>
      <c r="BQ40" s="21">
        <f>EXP(-LN(2)/25)*BQ39+(1-EXP(-LN(2)/25))/(LN(2)/25)*Calculateur!BL40*Calculateur!BN40*VLOOKUP('Données projet'!$B$11,Paramètres!$A$1:$I$89,3,0)*0.475*44/12</f>
        <v>2.4442311048229244</v>
      </c>
      <c r="BR40" s="21">
        <f>EXP(-LN(2)/2)*BR39+(1-EXP(-LN(2)/2))/(LN(2)/2)*BL40*BO40*VLOOKUP('Données projet'!$B$11,Paramètres!$A$1:$I$89,3,0)*0.475*44/12</f>
        <v>1.0961260904457071</v>
      </c>
      <c r="BS40" s="22">
        <f t="shared" si="9"/>
        <v>21.796122245386503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36.4</v>
      </c>
      <c r="BY40" s="12">
        <f>IF('Données projet'!$A$114&gt;35,BY39+BX40-CG39,IF(A40&lt;'Données projet'!$A$114,$BV$205^A40,IF(A40='Données projet'!$A$114,'Données projet'!$B$114,BY39+BX40-CG39)))</f>
        <v>517.80000000000007</v>
      </c>
      <c r="BZ40" s="13">
        <f>BY40*VLOOKUP('Données projet'!$B$12,Paramètres!$A$1:$I$89,3,0)*VLOOKUP('Données projet'!$B$12,Paramètres!$A$1:$I$89,5,0)</f>
        <v>228.86760000000007</v>
      </c>
      <c r="CA40" s="13">
        <f t="shared" si="39"/>
        <v>56.037759885456794</v>
      </c>
      <c r="CB40" s="20">
        <f t="shared" si="10"/>
        <v>496.21016846717066</v>
      </c>
      <c r="CC40" s="59">
        <f t="shared" si="11"/>
        <v>789.54350180050392</v>
      </c>
      <c r="CD40" s="59">
        <f ca="1">AVERAGE(OFFSET($CC$3,0,0,'Données projet'!$E$12+1,1))-AVERAGE(OFFSET($H$3,0,0,'Données projet'!$E$12+1,1))</f>
        <v>534.99316143569899</v>
      </c>
      <c r="CE40" s="59">
        <f t="shared" si="40"/>
        <v>449.56965858934262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33.818829430616695</v>
      </c>
      <c r="CL40" s="21">
        <f>EXP(-LN(2)/25)*CL39+(1-EXP(-LN(2)/25))/(LN(2)/25)*Calculateur!CG40*Calculateur!CI40*VLOOKUP('Données projet'!$B$12,Paramètres!$A$1:$I$89,3,0)*0.475*44/12</f>
        <v>34.906837370674495</v>
      </c>
      <c r="CM40" s="21">
        <f>EXP(-LN(2)/2)*CM39+(1-EXP(-LN(2)/2))/(LN(2)/2)*CG40*CJ40*VLOOKUP('Données projet'!$B$12,Paramètres!$A$1:$I$89,3,0)*0.475*44/12</f>
        <v>5.607014616165789</v>
      </c>
      <c r="CN40" s="22">
        <f t="shared" si="12"/>
        <v>74.332681417456982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5.6</v>
      </c>
      <c r="CT40" s="12">
        <f>IF('Données projet'!$A$140&gt;35,CT39+CS40-DB39,IF(A40&lt;'Données projet'!$A$140,$CQ$205^A40,IF(A40='Données projet'!$A$140,'Données projet'!$B$140,CT39+CS40-DB39)))</f>
        <v>93.200000000000017</v>
      </c>
      <c r="CU40" s="17">
        <f>CT40*VLOOKUP('Données projet'!$B$13,Paramètres!$A$1:$I$89,3,0)*VLOOKUP('Données projet'!$B$13,Paramètres!$A$1:$I$89,5,0)</f>
        <v>106.13616000000003</v>
      </c>
      <c r="CV40" s="13">
        <f t="shared" si="41"/>
        <v>28.418747891946108</v>
      </c>
      <c r="CW40" s="20">
        <f t="shared" si="13"/>
        <v>234.34979791180618</v>
      </c>
      <c r="CX40" s="59">
        <f t="shared" si="14"/>
        <v>527.68313124513952</v>
      </c>
      <c r="CY40" s="59">
        <f ca="1">AVERAGE(OFFSET($CX$3,0,0,'Données projet'!$E$13+1,1))-AVERAGE(OFFSET($H$3,0,0,'Données projet'!$E$13+1,1))</f>
        <v>389.89050053480827</v>
      </c>
      <c r="CZ40" s="59">
        <f t="shared" si="42"/>
        <v>216.40816051909616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0.46827807010506206</v>
      </c>
      <c r="DG40" s="21">
        <f>EXP(-LN(2)/25)*DG39+(1-EXP(-LN(2)/25))/(LN(2)/25)*Calculateur!DB40*Calculateur!DD40*VLOOKUP('Données projet'!$B$13,Paramètres!$A$1:$I$89,3,0)*0.475*44/12</f>
        <v>0.36728210013413315</v>
      </c>
      <c r="DH40" s="21">
        <f>EXP(-LN(2)/2)*DH39+(1-EXP(-LN(2)/2))/(LN(2)/2)*DB40*DE40*VLOOKUP('Données projet'!$B$13,Paramètres!$A$1:$I$89,3,0)*0.475*44/12</f>
        <v>0.5802237631904128</v>
      </c>
      <c r="DI40" s="22">
        <f t="shared" si="15"/>
        <v>1.4157839334296081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108.75696000000002</v>
      </c>
      <c r="P41" s="13">
        <f t="shared" si="33"/>
        <v>29.037921223305609</v>
      </c>
      <c r="Q41" s="20">
        <f t="shared" si="53"/>
        <v>239.99275146392395</v>
      </c>
      <c r="R41" s="59">
        <f t="shared" si="0"/>
        <v>533.32608479725729</v>
      </c>
      <c r="S41" s="59">
        <f ca="1">AVERAGE(OFFSET($R$3,0,0,'Données projet'!$E$9+1,1))-AVERAGE(OFFSET($H$3,0,0,'Données projet'!$E$9+1,1))</f>
        <v>371.7282125501186</v>
      </c>
      <c r="T41" s="59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3.4044336373574247</v>
      </c>
      <c r="AA41" s="21">
        <f>EXP(-LN(2)/25)*AA40+(1-EXP(-LN(2)/25))/(LN(2)/25)*Calculateur!V41*Calculateur!X41*VLOOKUP('Données projet'!$B$9,Paramètres!$A$1:$I$89,3,0)*0.475*44/12</f>
        <v>0.66227823391472262</v>
      </c>
      <c r="AB41" s="21">
        <f>EXP(-LN(2)/2)*AB40+(1-EXP(-LN(2)/2))/(LN(2)/2)*V41*Y41*VLOOKUP('Données projet'!$B$9,Paramètres!$A$1:$I$89,3,0)*0.475*44/12</f>
        <v>0.76061070305183764</v>
      </c>
      <c r="AC41" s="22">
        <f t="shared" si="3"/>
        <v>4.8273225743239854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10.1875</v>
      </c>
      <c r="AI41" s="13">
        <f>IF('Données projet'!$A$62&gt;35,AI40+AH41-AQ40,IF(A41&lt;'Données projet'!$A$62,$AF$205^A41,IF(A41='Données projet'!$A$62,'Données projet'!$B$62,AI40+AH41-AQ40)))</f>
        <v>271.59750000000003</v>
      </c>
      <c r="AJ41" s="13">
        <f>AI41*VLOOKUP('Données projet'!$B$10,Paramètres!$A$1:$I$89,3,0)*VLOOKUP('Données projet'!$B$10,Paramètres!$A$1:$I$89,5,0)</f>
        <v>127.10763000000001</v>
      </c>
      <c r="AK41" s="13">
        <f t="shared" si="35"/>
        <v>33.327144866175374</v>
      </c>
      <c r="AL41" s="20">
        <f t="shared" si="4"/>
        <v>279.42389955858874</v>
      </c>
      <c r="AM41" s="59">
        <f t="shared" si="5"/>
        <v>572.75723289192206</v>
      </c>
      <c r="AN41" s="59">
        <f ca="1">AVERAGE(OFFSET($AM$3,0,0,'Données projet'!$E$10+1,1))-AVERAGE(OFFSET($H$3,0,0,'Données projet'!$E$10+1,1))</f>
        <v>218.32525311070435</v>
      </c>
      <c r="AO41" s="59">
        <f t="shared" si="36"/>
        <v>275.36315264099204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6.5472648419359603</v>
      </c>
      <c r="AW41" s="21">
        <f>EXP(-LN(2)/2)*AW40+(1-EXP(-LN(2)/2))/(LN(2)/2)*AQ41*AT41*VLOOKUP('Données projet'!$B$10,Paramètres!$A$1:$I$89,3,0)*0.475*44/12</f>
        <v>2.2601940460514527</v>
      </c>
      <c r="AX41" s="21">
        <f t="shared" si="6"/>
        <v>8.8074588879874121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11.2</v>
      </c>
      <c r="BD41" s="12">
        <f>IF('Données projet'!$A$88&gt;35,BD40+BC41-BL40,IF(A41&lt;'Données projet'!$A$88,$BA$205^A41,IF(A41='Données projet'!$A$88,'Données projet'!$B$88,BD40+BC41-BL40)))</f>
        <v>245.6</v>
      </c>
      <c r="BE41" s="13">
        <f>BD41*VLOOKUP('Données projet'!$B$11,Paramètres!$A$1:$I$89,3,0)*VLOOKUP('Données projet'!$B$11,Paramètres!$A$1:$I$89,5,0)</f>
        <v>233.71296000000001</v>
      </c>
      <c r="BF41" s="13">
        <f t="shared" si="37"/>
        <v>57.084760495224131</v>
      </c>
      <c r="BG41" s="20">
        <f t="shared" si="7"/>
        <v>506.47269652918203</v>
      </c>
      <c r="BH41" s="59">
        <f t="shared" si="8"/>
        <v>799.80602986251529</v>
      </c>
      <c r="BI41" s="59">
        <f ca="1">AVERAGE(OFFSET($BH$3,0,0,'Données projet'!$E$11+1,1))-AVERAGE(OFFSET($H$3,0,0,'Données projet'!$E$11+1,1))</f>
        <v>446.62872871405051</v>
      </c>
      <c r="BJ41" s="59">
        <f t="shared" si="38"/>
        <v>471.28934889691658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17.897780632402256</v>
      </c>
      <c r="BQ41" s="21">
        <f>EXP(-LN(2)/25)*BQ40+(1-EXP(-LN(2)/25))/(LN(2)/25)*Calculateur!BL41*Calculateur!BN41*VLOOKUP('Données projet'!$B$11,Paramètres!$A$1:$I$89,3,0)*0.475*44/12</f>
        <v>2.3773934767250142</v>
      </c>
      <c r="BR41" s="21">
        <f>EXP(-LN(2)/2)*BR40+(1-EXP(-LN(2)/2))/(LN(2)/2)*BL41*BO41*VLOOKUP('Données projet'!$B$11,Paramètres!$A$1:$I$89,3,0)*0.475*44/12</f>
        <v>0.77507819158965841</v>
      </c>
      <c r="BS41" s="22">
        <f t="shared" si="9"/>
        <v>21.050252300716927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36.4</v>
      </c>
      <c r="BY41" s="12">
        <f>IF('Données projet'!$A$114&gt;35,BY40+BX41-CG40,IF(A41&lt;'Données projet'!$A$114,$BV$205^A41,IF(A41='Données projet'!$A$114,'Données projet'!$B$114,BY40+BX41-CG40)))</f>
        <v>554.20000000000005</v>
      </c>
      <c r="BZ41" s="13">
        <f>BY41*VLOOKUP('Données projet'!$B$12,Paramètres!$A$1:$I$89,3,0)*VLOOKUP('Données projet'!$B$12,Paramètres!$A$1:$I$89,5,0)</f>
        <v>244.95640000000003</v>
      </c>
      <c r="CA41" s="13">
        <f t="shared" si="39"/>
        <v>59.504652103546341</v>
      </c>
      <c r="CB41" s="20">
        <f t="shared" si="10"/>
        <v>530.26966574700998</v>
      </c>
      <c r="CC41" s="59">
        <f t="shared" si="11"/>
        <v>823.60299908034335</v>
      </c>
      <c r="CD41" s="59">
        <f ca="1">AVERAGE(OFFSET($CC$3,0,0,'Données projet'!$E$12+1,1))-AVERAGE(OFFSET($H$3,0,0,'Données projet'!$E$12+1,1))</f>
        <v>534.99316143569899</v>
      </c>
      <c r="CE41" s="59">
        <f t="shared" si="40"/>
        <v>449.56965858934262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33.15566281293146</v>
      </c>
      <c r="CL41" s="21">
        <f>EXP(-LN(2)/25)*CL40+(1-EXP(-LN(2)/25))/(LN(2)/25)*Calculateur!CG41*Calculateur!CI41*VLOOKUP('Données projet'!$B$12,Paramètres!$A$1:$I$89,3,0)*0.475*44/12</f>
        <v>33.952308067102607</v>
      </c>
      <c r="CM41" s="21">
        <f>EXP(-LN(2)/2)*CM40+(1-EXP(-LN(2)/2))/(LN(2)/2)*CG41*CJ41*VLOOKUP('Données projet'!$B$12,Paramètres!$A$1:$I$89,3,0)*0.475*44/12</f>
        <v>3.9647580573029164</v>
      </c>
      <c r="CN41" s="22">
        <f t="shared" si="12"/>
        <v>71.072728937336976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5.6</v>
      </c>
      <c r="CT41" s="12">
        <f>IF('Données projet'!$A$140&gt;35,CT40+CS41-DB40,IF(A41&lt;'Données projet'!$A$140,$CQ$205^A41,IF(A41='Données projet'!$A$140,'Données projet'!$B$140,CT40+CS41-DB40)))</f>
        <v>98.800000000000011</v>
      </c>
      <c r="CU41" s="17">
        <f>CT41*VLOOKUP('Données projet'!$B$13,Paramètres!$A$1:$I$89,3,0)*VLOOKUP('Données projet'!$B$13,Paramètres!$A$1:$I$89,5,0)</f>
        <v>112.51344000000002</v>
      </c>
      <c r="CV41" s="13">
        <f t="shared" si="41"/>
        <v>29.922389745406019</v>
      </c>
      <c r="CW41" s="20">
        <f t="shared" si="13"/>
        <v>248.07573680658217</v>
      </c>
      <c r="CX41" s="59">
        <f t="shared" si="14"/>
        <v>541.40907013991546</v>
      </c>
      <c r="CY41" s="59">
        <f ca="1">AVERAGE(OFFSET($CX$3,0,0,'Données projet'!$E$13+1,1))-AVERAGE(OFFSET($H$3,0,0,'Données projet'!$E$13+1,1))</f>
        <v>389.89050053480827</v>
      </c>
      <c r="CZ41" s="59">
        <f t="shared" si="42"/>
        <v>216.40816051909616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0.45909542277172177</v>
      </c>
      <c r="DG41" s="21">
        <f>EXP(-LN(2)/25)*DG40+(1-EXP(-LN(2)/25))/(LN(2)/25)*Calculateur!DB41*Calculateur!DD41*VLOOKUP('Données projet'!$B$13,Paramètres!$A$1:$I$89,3,0)*0.475*44/12</f>
        <v>0.35723875179143905</v>
      </c>
      <c r="DH41" s="21">
        <f>EXP(-LN(2)/2)*DH40+(1-EXP(-LN(2)/2))/(LN(2)/2)*DB41*DE41*VLOOKUP('Données projet'!$B$13,Paramètres!$A$1:$I$89,3,0)*0.475*44/12</f>
        <v>0.4102801575575184</v>
      </c>
      <c r="DI41" s="22">
        <f t="shared" si="15"/>
        <v>1.2266143321206793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116.35728000000002</v>
      </c>
      <c r="P42" s="13">
        <f t="shared" si="33"/>
        <v>30.823876427820704</v>
      </c>
      <c r="Q42" s="20">
        <f t="shared" si="53"/>
        <v>256.34051411178774</v>
      </c>
      <c r="R42" s="59">
        <f t="shared" si="0"/>
        <v>549.67384744512105</v>
      </c>
      <c r="S42" s="59">
        <f ca="1">AVERAGE(OFFSET($R$3,0,0,'Données projet'!$E$9+1,1))-AVERAGE(OFFSET($H$3,0,0,'Données projet'!$E$9+1,1))</f>
        <v>371.7282125501186</v>
      </c>
      <c r="T42" s="59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3.3376747702283271</v>
      </c>
      <c r="AA42" s="21">
        <f>EXP(-LN(2)/25)*AA41+(1-EXP(-LN(2)/25))/(LN(2)/25)*Calculateur!V42*Calculateur!X42*VLOOKUP('Données projet'!$B$9,Paramètres!$A$1:$I$89,3,0)*0.475*44/12</f>
        <v>0.64416820078062587</v>
      </c>
      <c r="AB42" s="21">
        <f>EXP(-LN(2)/2)*AB41+(1-EXP(-LN(2)/2))/(LN(2)/2)*V42*Y42*VLOOKUP('Données projet'!$B$9,Paramètres!$A$1:$I$89,3,0)*0.475*44/12</f>
        <v>0.53783298597102192</v>
      </c>
      <c r="AC42" s="22">
        <f t="shared" si="3"/>
        <v>4.5196759569799747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10.1875</v>
      </c>
      <c r="AI42" s="13">
        <f>IF('Données projet'!$A$62&gt;35,AI41+AH42-AQ41,IF(A42&lt;'Données projet'!$A$62,$AF$205^A42,IF(A42='Données projet'!$A$62,'Données projet'!$B$62,AI41+AH42-AQ41)))</f>
        <v>281.78500000000003</v>
      </c>
      <c r="AJ42" s="13">
        <f>AI42*VLOOKUP('Données projet'!$B$10,Paramètres!$A$1:$I$89,3,0)*VLOOKUP('Données projet'!$B$10,Paramètres!$A$1:$I$89,5,0)</f>
        <v>131.87538000000001</v>
      </c>
      <c r="AK42" s="13">
        <f t="shared" si="35"/>
        <v>34.429342692535762</v>
      </c>
      <c r="AL42" s="20">
        <f t="shared" si="4"/>
        <v>289.64739202283312</v>
      </c>
      <c r="AM42" s="59">
        <f t="shared" si="5"/>
        <v>582.98072535616643</v>
      </c>
      <c r="AN42" s="59">
        <f ca="1">AVERAGE(OFFSET($AM$3,0,0,'Données projet'!$E$10+1,1))-AVERAGE(OFFSET($H$3,0,0,'Données projet'!$E$10+1,1))</f>
        <v>218.32525311070435</v>
      </c>
      <c r="AO42" s="59">
        <f t="shared" si="36"/>
        <v>275.36315264099204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6.3682295405275271</v>
      </c>
      <c r="AW42" s="21">
        <f>EXP(-LN(2)/2)*AW41+(1-EXP(-LN(2)/2))/(LN(2)/2)*AQ42*AT42*VLOOKUP('Données projet'!$B$10,Paramètres!$A$1:$I$89,3,0)*0.475*44/12</f>
        <v>1.5981985367604421</v>
      </c>
      <c r="AX42" s="21">
        <f t="shared" si="6"/>
        <v>7.9664280772879694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11.2</v>
      </c>
      <c r="BD42" s="12">
        <f>IF('Données projet'!$A$88&gt;35,BD41+BC42-BL41,IF(A42&lt;'Données projet'!$A$88,$BA$205^A42,IF(A42='Données projet'!$A$88,'Données projet'!$B$88,BD41+BC42-BL41)))</f>
        <v>256.8</v>
      </c>
      <c r="BE42" s="13">
        <f>BD42*VLOOKUP('Données projet'!$B$11,Paramètres!$A$1:$I$89,3,0)*VLOOKUP('Données projet'!$B$11,Paramètres!$A$1:$I$89,5,0)</f>
        <v>244.37088</v>
      </c>
      <c r="BF42" s="13">
        <f t="shared" si="37"/>
        <v>59.378956514447331</v>
      </c>
      <c r="BG42" s="20">
        <f t="shared" si="7"/>
        <v>529.03096526266245</v>
      </c>
      <c r="BH42" s="59">
        <f t="shared" si="8"/>
        <v>822.36429859599571</v>
      </c>
      <c r="BI42" s="59">
        <f ca="1">AVERAGE(OFFSET($BH$3,0,0,'Données projet'!$E$11+1,1))-AVERAGE(OFFSET($H$3,0,0,'Données projet'!$E$11+1,1))</f>
        <v>446.62872871405051</v>
      </c>
      <c r="BJ42" s="59">
        <f t="shared" si="38"/>
        <v>471.28934889691658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17.546816070769111</v>
      </c>
      <c r="BQ42" s="21">
        <f>EXP(-LN(2)/25)*BQ41+(1-EXP(-LN(2)/25))/(LN(2)/25)*Calculateur!BL42*Calculateur!BN42*VLOOKUP('Données projet'!$B$11,Paramètres!$A$1:$I$89,3,0)*0.475*44/12</f>
        <v>2.3123835270822792</v>
      </c>
      <c r="BR42" s="21">
        <f>EXP(-LN(2)/2)*BR41+(1-EXP(-LN(2)/2))/(LN(2)/2)*BL42*BO42*VLOOKUP('Données projet'!$B$11,Paramètres!$A$1:$I$89,3,0)*0.475*44/12</f>
        <v>0.54806304522285354</v>
      </c>
      <c r="BS42" s="22">
        <f t="shared" si="9"/>
        <v>20.407262643074244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36.4</v>
      </c>
      <c r="BY42" s="12">
        <f>IF('Données projet'!$A$114&gt;35,BY41+BX42-CG41,IF(A42&lt;'Données projet'!$A$114,$BV$205^A42,IF(A42='Données projet'!$A$114,'Données projet'!$B$114,BY41+BX42-CG41)))</f>
        <v>590.6</v>
      </c>
      <c r="BZ42" s="13">
        <f>BY42*VLOOKUP('Données projet'!$B$12,Paramètres!$A$1:$I$89,3,0)*VLOOKUP('Données projet'!$B$12,Paramètres!$A$1:$I$89,5,0)</f>
        <v>261.04520000000002</v>
      </c>
      <c r="CA42" s="13">
        <f t="shared" si="39"/>
        <v>62.945120310618208</v>
      </c>
      <c r="CB42" s="20">
        <f t="shared" si="10"/>
        <v>564.28314120766004</v>
      </c>
      <c r="CC42" s="59">
        <f t="shared" si="11"/>
        <v>857.61647454099329</v>
      </c>
      <c r="CD42" s="59">
        <f ca="1">AVERAGE(OFFSET($CC$3,0,0,'Données projet'!$E$12+1,1))-AVERAGE(OFFSET($H$3,0,0,'Données projet'!$E$12+1,1))</f>
        <v>534.99316143569899</v>
      </c>
      <c r="CE42" s="59">
        <f t="shared" si="40"/>
        <v>449.56965858934262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32.505500488127339</v>
      </c>
      <c r="CL42" s="21">
        <f>EXP(-LN(2)/25)*CL41+(1-EXP(-LN(2)/25))/(LN(2)/25)*Calculateur!CG42*Calculateur!CI42*VLOOKUP('Données projet'!$B$12,Paramètres!$A$1:$I$89,3,0)*0.475*44/12</f>
        <v>33.023880417533405</v>
      </c>
      <c r="CM42" s="21">
        <f>EXP(-LN(2)/2)*CM41+(1-EXP(-LN(2)/2))/(LN(2)/2)*CG42*CJ42*VLOOKUP('Données projet'!$B$12,Paramètres!$A$1:$I$89,3,0)*0.475*44/12</f>
        <v>2.8035073080828949</v>
      </c>
      <c r="CN42" s="22">
        <f t="shared" si="12"/>
        <v>68.332888213743644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5.6</v>
      </c>
      <c r="CT42" s="12">
        <f>IF('Données projet'!$A$140&gt;35,CT41+CS42-DB41,IF(A42&lt;'Données projet'!$A$140,$CQ$205^A42,IF(A42='Données projet'!$A$140,'Données projet'!$B$140,CT41+CS42-DB41)))</f>
        <v>104.4</v>
      </c>
      <c r="CU42" s="17">
        <f>CT42*VLOOKUP('Données projet'!$B$13,Paramètres!$A$1:$I$89,3,0)*VLOOKUP('Données projet'!$B$13,Paramètres!$A$1:$I$89,5,0)</f>
        <v>118.89072000000002</v>
      </c>
      <c r="CV42" s="13">
        <f t="shared" si="41"/>
        <v>31.416138277101812</v>
      </c>
      <c r="CW42" s="20">
        <f t="shared" si="13"/>
        <v>261.78444483261904</v>
      </c>
      <c r="CX42" s="59">
        <f t="shared" si="14"/>
        <v>555.11777816595236</v>
      </c>
      <c r="CY42" s="59">
        <f ca="1">AVERAGE(OFFSET($CX$3,0,0,'Données projet'!$E$13+1,1))-AVERAGE(OFFSET($H$3,0,0,'Données projet'!$E$13+1,1))</f>
        <v>389.89050053480827</v>
      </c>
      <c r="CZ42" s="59">
        <f t="shared" si="42"/>
        <v>216.40816051909616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0.45009284155172646</v>
      </c>
      <c r="DG42" s="21">
        <f>EXP(-LN(2)/25)*DG41+(1-EXP(-LN(2)/25))/(LN(2)/25)*Calculateur!DB42*Calculateur!DD42*VLOOKUP('Données projet'!$B$13,Paramètres!$A$1:$I$89,3,0)*0.475*44/12</f>
        <v>0.34747003933733267</v>
      </c>
      <c r="DH42" s="21">
        <f>EXP(-LN(2)/2)*DH41+(1-EXP(-LN(2)/2))/(LN(2)/2)*DB42*DE42*VLOOKUP('Données projet'!$B$13,Paramètres!$A$1:$I$89,3,0)*0.475*44/12</f>
        <v>0.2901118815952064</v>
      </c>
      <c r="DI42" s="22">
        <f t="shared" si="15"/>
        <v>1.0876747624842655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123.95760000000001</v>
      </c>
      <c r="P43" s="13">
        <f t="shared" si="33"/>
        <v>32.59629414926458</v>
      </c>
      <c r="Q43" s="20">
        <f t="shared" si="53"/>
        <v>272.6646989766358</v>
      </c>
      <c r="R43" s="59">
        <f t="shared" si="0"/>
        <v>565.99803230996918</v>
      </c>
      <c r="S43" s="59">
        <f ca="1">AVERAGE(OFFSET($R$3,0,0,'Données projet'!$E$9+1,1))-AVERAGE(OFFSET($H$3,0,0,'Données projet'!$E$9+1,1))</f>
        <v>371.7282125501186</v>
      </c>
      <c r="T43" s="59">
        <f t="shared" si="34"/>
        <v>231.36959598460686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0.17200000000000001</v>
      </c>
      <c r="X43" s="16">
        <f>IF(ISNA(VLOOKUP(A43,'Données projet'!$A$35:$I$55,6,0)),0%,VLOOKUP(A43,'Données projet'!$A$35:$I$55,6,0)*VLOOKUP('Données projet'!$B$9,Paramètres!$A$1:$I$89,7,0))</f>
        <v>3.44E-2</v>
      </c>
      <c r="Y43" s="16">
        <f>IF(ISNA(VLOOKUP(A43,'Données projet'!$A$35:$I$55,7,0)),0%,VLOOKUP(A43,'Données projet'!$A$35:$I$55,7,0))</f>
        <v>0.12</v>
      </c>
      <c r="Z43" s="21">
        <f>EXP(-LN(2)/35)*Z42+(1-EXP(-LN(2)/35))/(LN(2)/35)*V43*W43*VLOOKUP('Données projet'!$B$9,Paramètres!$A$1:$I$89,3,0)*0.475*44/12</f>
        <v>6.8850543168026475</v>
      </c>
      <c r="AA43" s="21">
        <f>EXP(-LN(2)/25)*AA42+(1-EXP(-LN(2)/25))/(LN(2)/25)*Calculateur!V43*Calculateur!X43*VLOOKUP('Données projet'!$B$9,Paramètres!$A$1:$I$89,3,0)*0.475*44/12</f>
        <v>1.346274232942263</v>
      </c>
      <c r="AB43" s="21">
        <f>EXP(-LN(2)/2)*AB42+(1-EXP(-LN(2)/2))/(LN(2)/2)*V43*Y43*VLOOKUP('Données projet'!$B$9,Paramètres!$A$1:$I$89,3,0)*0.475*44/12</f>
        <v>2.5316372954100057</v>
      </c>
      <c r="AC43" s="22">
        <f t="shared" si="3"/>
        <v>10.762965845154916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10.1875</v>
      </c>
      <c r="AI43" s="13">
        <f>IF('Données projet'!$A$62&gt;35,AI42+AH43-AQ42,IF(A43&lt;'Données projet'!$A$62,$AF$205^A43,IF(A43='Données projet'!$A$62,'Données projet'!$B$62,AI42+AH43-AQ42)))</f>
        <v>291.97250000000003</v>
      </c>
      <c r="AJ43" s="13">
        <f>AI43*VLOOKUP('Données projet'!$B$10,Paramètres!$A$1:$I$89,3,0)*VLOOKUP('Données projet'!$B$10,Paramètres!$A$1:$I$89,5,0)</f>
        <v>136.64313000000001</v>
      </c>
      <c r="AK43" s="13">
        <f t="shared" si="35"/>
        <v>35.526910862739456</v>
      </c>
      <c r="AL43" s="20">
        <f t="shared" si="4"/>
        <v>299.86282116927129</v>
      </c>
      <c r="AM43" s="59">
        <f t="shared" si="5"/>
        <v>593.1961545026046</v>
      </c>
      <c r="AN43" s="59">
        <f ca="1">AVERAGE(OFFSET($AM$3,0,0,'Données projet'!$E$10+1,1))-AVERAGE(OFFSET($H$3,0,0,'Données projet'!$E$10+1,1))</f>
        <v>218.32525311070435</v>
      </c>
      <c r="AO43" s="59">
        <f t="shared" si="36"/>
        <v>275.36315264099204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6.1940899688511655</v>
      </c>
      <c r="AW43" s="21">
        <f>EXP(-LN(2)/2)*AW42+(1-EXP(-LN(2)/2))/(LN(2)/2)*AQ43*AT43*VLOOKUP('Données projet'!$B$10,Paramètres!$A$1:$I$89,3,0)*0.475*44/12</f>
        <v>1.1300970230257263</v>
      </c>
      <c r="AX43" s="21">
        <f t="shared" si="6"/>
        <v>7.3241869918768918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268</v>
      </c>
      <c r="BB43" s="12">
        <f>VLOOKUP(A43,'Données projet'!$A$87:$I$107,9,0)</f>
        <v>11.2</v>
      </c>
      <c r="BC43" s="12">
        <f t="array" ref="BC43">INDEX(BB:BB,MIN(IF(ISNUMBER(BB43:BB239),ROW(BB43:BB239),"")))</f>
        <v>11.2</v>
      </c>
      <c r="BD43" s="12">
        <f>IF('Données projet'!$A$88&gt;35,BD42+BC43-BL42,IF(A43&lt;'Données projet'!$A$88,$BA$205^A43,IF(A43='Données projet'!$A$88,'Données projet'!$B$88,BD42+BC43-BL42)))</f>
        <v>268</v>
      </c>
      <c r="BE43" s="13">
        <f>BD43*VLOOKUP('Données projet'!$B$11,Paramètres!$A$1:$I$89,3,0)*VLOOKUP('Données projet'!$B$11,Paramètres!$A$1:$I$89,5,0)</f>
        <v>255.02879999999999</v>
      </c>
      <c r="BF43" s="13">
        <f t="shared" si="37"/>
        <v>61.661531359449384</v>
      </c>
      <c r="BG43" s="20">
        <f t="shared" si="7"/>
        <v>551.56899378437436</v>
      </c>
      <c r="BH43" s="59">
        <f t="shared" si="8"/>
        <v>844.90232711770773</v>
      </c>
      <c r="BI43" s="59">
        <f ca="1">AVERAGE(OFFSET($BH$3,0,0,'Données projet'!$E$11+1,1))-AVERAGE(OFFSET($H$3,0,0,'Données projet'!$E$11+1,1))</f>
        <v>446.62872871405051</v>
      </c>
      <c r="BJ43" s="59">
        <f t="shared" si="38"/>
        <v>471.28934889691658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29</v>
      </c>
      <c r="BM43" s="16">
        <f>IF(ISNA(VLOOKUP(A43,'Données projet'!$A$87:$I$107,5,0)),0%,VLOOKUP(A43,'Données projet'!$A$87:$I$107,5,0)*VLOOKUP('Données projet'!$B$11,Paramètres!$A$1:$I$89,7,0))</f>
        <v>0.25800000000000001</v>
      </c>
      <c r="BN43" s="16">
        <f>IF(ISNA(VLOOKUP(A43,'Données projet'!$A$87:$I$107,6,0)),0%,VLOOKUP(A43,'Données projet'!$A$87:$I$107,6,0)*VLOOKUP('Données projet'!$B$11,Paramètres!$A$1:$I$89,7,0))</f>
        <v>1.72E-2</v>
      </c>
      <c r="BO43" s="16">
        <f>IF(ISNA(VLOOKUP(A43,'Données projet'!$A$87:$I$107,7,0)),0%,VLOOKUP(A43,'Données projet'!$A$87:$I$107,7,0))</f>
        <v>0.06</v>
      </c>
      <c r="BP43" s="21">
        <f>EXP(-LN(2)/35)*BP42+(1-EXP(-LN(2)/35))/(LN(2)/35)*BL43*BM43*VLOOKUP('Données projet'!$B$11,Paramètres!$A$1:$I$89,3,0)*0.475*44/12</f>
        <v>25.07354042781207</v>
      </c>
      <c r="BQ43" s="21">
        <f>EXP(-LN(2)/25)*BQ42+(1-EXP(-LN(2)/25))/(LN(2)/25)*Calculateur!BL43*Calculateur!BN43*VLOOKUP('Données projet'!$B$11,Paramètres!$A$1:$I$89,3,0)*0.475*44/12</f>
        <v>2.771805701439896</v>
      </c>
      <c r="BR43" s="21">
        <f>EXP(-LN(2)/2)*BR42+(1-EXP(-LN(2)/2))/(LN(2)/2)*BL43*BO43*VLOOKUP('Données projet'!$B$11,Paramètres!$A$1:$I$89,3,0)*0.475*44/12</f>
        <v>1.9498158645677972</v>
      </c>
      <c r="BS43" s="22">
        <f t="shared" si="9"/>
        <v>29.795161993819761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627</v>
      </c>
      <c r="BW43" s="12">
        <f>VLOOKUP(A43,'Données projet'!$A$113:$I$133,9,0)</f>
        <v>36.4</v>
      </c>
      <c r="BX43" s="12">
        <f t="array" ref="BX43">INDEX(BW:BW,MIN(IF(ISNUMBER(BW43:BW239),ROW(BW43:BW239),"")))</f>
        <v>36.4</v>
      </c>
      <c r="BY43" s="12">
        <f>IF('Données projet'!$A$114&gt;35,BY42+BX43-CG42,IF(A43&lt;'Données projet'!$A$114,$BV$205^A43,IF(A43='Données projet'!$A$114,'Données projet'!$B$114,BY42+BX43-CG42)))</f>
        <v>627</v>
      </c>
      <c r="BZ43" s="13">
        <f>BY43*VLOOKUP('Données projet'!$B$12,Paramètres!$A$1:$I$89,3,0)*VLOOKUP('Données projet'!$B$12,Paramètres!$A$1:$I$89,5,0)</f>
        <v>277.13400000000001</v>
      </c>
      <c r="CA43" s="13">
        <f t="shared" si="39"/>
        <v>66.360978503745613</v>
      </c>
      <c r="CB43" s="20">
        <f t="shared" si="10"/>
        <v>598.25375422735692</v>
      </c>
      <c r="CC43" s="59">
        <f t="shared" si="11"/>
        <v>891.58708756069018</v>
      </c>
      <c r="CD43" s="59">
        <f ca="1">AVERAGE(OFFSET($CC$3,0,0,'Données projet'!$E$12+1,1))-AVERAGE(OFFSET($H$3,0,0,'Données projet'!$E$12+1,1))</f>
        <v>534.99316143569899</v>
      </c>
      <c r="CE43" s="59">
        <f t="shared" si="40"/>
        <v>449.56965858934262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91</v>
      </c>
      <c r="CH43" s="16">
        <f>IF(ISNA(VLOOKUP(A43,'Données projet'!$A$113:$I$133,5,0)),0%,VLOOKUP(A43,'Données projet'!$A$113:$I$133,5,0)*VLOOKUP('Données projet'!$B$12,Paramètres!$A$1:$I$89,7,0))</f>
        <v>0.27500000000000002</v>
      </c>
      <c r="CI43" s="16">
        <f>IF(ISNA(VLOOKUP(A43,'Données projet'!$A$113:$I$133,6,0)),0%,VLOOKUP(A43,'Données projet'!$A$113:$I$133,6,0)*VLOOKUP('Données projet'!$B$12,Paramètres!$A$1:$I$89,7,0))</f>
        <v>0.16500000000000001</v>
      </c>
      <c r="CJ43" s="16">
        <f>IF(ISNA(VLOOKUP(A43,'Données projet'!$A$113:$I$133,7,0)),0%,VLOOKUP(A43,'Données projet'!$A$113:$I$133,7,0))</f>
        <v>0.2</v>
      </c>
      <c r="CK43" s="21">
        <f>EXP(-LN(2)/35)*CK42+(1-EXP(-LN(2)/35))/(LN(2)/35)*CG43*CH43*VLOOKUP('Données projet'!$B$12,Paramètres!$A$1:$I$89,3,0)*0.475*44/12</f>
        <v>46.541283219792291</v>
      </c>
      <c r="CL43" s="21">
        <f>EXP(-LN(2)/25)*CL42+(1-EXP(-LN(2)/25))/(LN(2)/25)*Calculateur!CG43*Calculateur!CI43*VLOOKUP('Données projet'!$B$12,Paramètres!$A$1:$I$89,3,0)*0.475*44/12</f>
        <v>40.89009375516622</v>
      </c>
      <c r="CM43" s="21">
        <f>EXP(-LN(2)/2)*CM42+(1-EXP(-LN(2)/2))/(LN(2)/2)*CG43*CJ43*VLOOKUP('Données projet'!$B$12,Paramètres!$A$1:$I$89,3,0)*0.475*44/12</f>
        <v>11.09050852287336</v>
      </c>
      <c r="CN43" s="22">
        <f t="shared" si="12"/>
        <v>98.521885497831875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110</v>
      </c>
      <c r="CR43" s="12">
        <f>VLOOKUP(A43,'Données projet'!$A$139:$I$159,9,0)</f>
        <v>5.6</v>
      </c>
      <c r="CS43" s="12">
        <f t="array" ref="CS43">INDEX(CR:CR,MIN(IF(ISNUMBER(CR43:CR239),ROW(CR43:CR239),"")))</f>
        <v>5.6</v>
      </c>
      <c r="CT43" s="12">
        <f>IF('Données projet'!$A$140&gt;35,CT42+CS43-DB42,IF(A43&lt;'Données projet'!$A$140,$CQ$205^A43,IF(A43='Données projet'!$A$140,'Données projet'!$B$140,CT42+CS43-DB42)))</f>
        <v>110</v>
      </c>
      <c r="CU43" s="17">
        <f>CT43*VLOOKUP('Données projet'!$B$13,Paramètres!$A$1:$I$89,3,0)*VLOOKUP('Données projet'!$B$13,Paramètres!$A$1:$I$89,5,0)</f>
        <v>125.268</v>
      </c>
      <c r="CV43" s="13">
        <f t="shared" si="41"/>
        <v>32.9005846700787</v>
      </c>
      <c r="CW43" s="20">
        <f t="shared" si="13"/>
        <v>275.47695163372038</v>
      </c>
      <c r="CX43" s="59">
        <f t="shared" si="14"/>
        <v>568.81028496705369</v>
      </c>
      <c r="CY43" s="59">
        <f ca="1">AVERAGE(OFFSET($CX$3,0,0,'Données projet'!$E$13+1,1))-AVERAGE(OFFSET($H$3,0,0,'Données projet'!$E$13+1,1))</f>
        <v>389.89050053480827</v>
      </c>
      <c r="CZ43" s="59">
        <f t="shared" si="42"/>
        <v>216.40816051909616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10</v>
      </c>
      <c r="DC43" s="16">
        <f>IF(ISNA(VLOOKUP(A43,'Données projet'!$A$139:$I$159,5,0)),0%,VLOOKUP(A43,'Données projet'!$A$139:$I$159,5,0)*VLOOKUP('Données projet'!$B$13,Paramètres!$A$1:$I$89,7,0))</f>
        <v>4.3000000000000003E-2</v>
      </c>
      <c r="DD43" s="16">
        <f>IF(ISNA(VLOOKUP(A43,'Données projet'!$A$139:$I$159,6,0)),0%,VLOOKUP(A43,'Données projet'!$A$139:$I$159,6,0)*VLOOKUP('Données projet'!$B$13,Paramètres!$A$1:$I$89,7,0))</f>
        <v>3.44E-2</v>
      </c>
      <c r="DE43" s="16">
        <f>IF(ISNA(VLOOKUP(A43,'Données projet'!$A$139:$I$159,7,0)),0%,VLOOKUP(A43,'Données projet'!$A$139:$I$159,7,0))</f>
        <v>0.12</v>
      </c>
      <c r="DF43" s="21">
        <f>EXP(-LN(2)/35)*DF42+(1-EXP(-LN(2)/35))/(LN(2)/35)*DB43*DC43*VLOOKUP('Données projet'!$B$13,Paramètres!$A$1:$I$89,3,0)*0.475*44/12</f>
        <v>0.98259795278963624</v>
      </c>
      <c r="DG43" s="21">
        <f>EXP(-LN(2)/25)*DG42+(1-EXP(-LN(2)/25))/(LN(2)/25)*Calculateur!DB43*Calculateur!DD43*VLOOKUP('Données projet'!$B$13,Paramètres!$A$1:$I$89,3,0)*0.475*44/12</f>
        <v>0.76932823708016485</v>
      </c>
      <c r="DH43" s="21">
        <f>EXP(-LN(2)/2)*DH42+(1-EXP(-LN(2)/2))/(LN(2)/2)*DB43*DE43*VLOOKUP('Données projet'!$B$13,Paramètres!$A$1:$I$89,3,0)*0.475*44/12</f>
        <v>1.4945262192018984</v>
      </c>
      <c r="DI43" s="22">
        <f t="shared" si="15"/>
        <v>3.2464524090716997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112.55712000000003</v>
      </c>
      <c r="P44" s="13">
        <f t="shared" si="33"/>
        <v>29.932653834140599</v>
      </c>
      <c r="Q44" s="20">
        <f t="shared" si="53"/>
        <v>248.16968942779496</v>
      </c>
      <c r="R44" s="59">
        <f t="shared" si="0"/>
        <v>541.50302276112825</v>
      </c>
      <c r="S44" s="59">
        <f ca="1">AVERAGE(OFFSET($R$3,0,0,'Données projet'!$E$9+1,1))-AVERAGE(OFFSET($H$3,0,0,'Données projet'!$E$9+1,1))</f>
        <v>371.7282125501186</v>
      </c>
      <c r="T44" s="59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6.7500426011186176</v>
      </c>
      <c r="AA44" s="21">
        <f>EXP(-LN(2)/25)*AA43+(1-EXP(-LN(2)/25))/(LN(2)/25)*Calculateur!V44*Calculateur!X44*VLOOKUP('Données projet'!$B$9,Paramètres!$A$1:$I$89,3,0)*0.475*44/12</f>
        <v>1.3094602932449719</v>
      </c>
      <c r="AB44" s="21">
        <f>EXP(-LN(2)/2)*AB43+(1-EXP(-LN(2)/2))/(LN(2)/2)*V44*Y44*VLOOKUP('Données projet'!$B$9,Paramètres!$A$1:$I$89,3,0)*0.475*44/12</f>
        <v>1.7901378990891861</v>
      </c>
      <c r="AC44" s="22">
        <f t="shared" si="3"/>
        <v>9.8496407934527763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302.16000000000003</v>
      </c>
      <c r="AG44" s="12">
        <f>VLOOKUP(A44,'Données projet'!$A$61:$I$81,9,0)</f>
        <v>10.1875</v>
      </c>
      <c r="AH44" s="12">
        <f t="array" ref="AH44">INDEX(AG:AG,MIN(IF(ISNUMBER(AG44:AG240),ROW(AG44:AG240),"")))</f>
        <v>10.1875</v>
      </c>
      <c r="AI44" s="13">
        <f>IF('Données projet'!$A$62&gt;35,AI43+AH44-AQ43,IF(A44&lt;'Données projet'!$A$62,$AF$205^A44,IF(A44='Données projet'!$A$62,'Données projet'!$B$62,AI43+AH44-AQ43)))</f>
        <v>302.16000000000003</v>
      </c>
      <c r="AJ44" s="13">
        <f>AI44*VLOOKUP('Données projet'!$B$10,Paramètres!$A$1:$I$89,3,0)*VLOOKUP('Données projet'!$B$10,Paramètres!$A$1:$I$89,5,0)</f>
        <v>141.41088000000002</v>
      </c>
      <c r="AK44" s="13">
        <f t="shared" si="35"/>
        <v>36.620029426225379</v>
      </c>
      <c r="AL44" s="20">
        <f t="shared" si="4"/>
        <v>310.07050058400927</v>
      </c>
      <c r="AM44" s="59">
        <f t="shared" si="5"/>
        <v>603.40383391734258</v>
      </c>
      <c r="AN44" s="59">
        <f ca="1">AVERAGE(OFFSET($AM$3,0,0,'Données projet'!$E$10+1,1))-AVERAGE(OFFSET($H$3,0,0,'Données projet'!$E$10+1,1))</f>
        <v>218.32525311070435</v>
      </c>
      <c r="AO44" s="59">
        <f t="shared" si="36"/>
        <v>275.36315264099204</v>
      </c>
      <c r="AP44" s="15">
        <f>IF(ISNA(VLOOKUP(A44,'Données projet'!$A$61:$I$81,3,0)),0,VLOOKUP(A44,'Données projet'!$A$61:$I$81,3,0))</f>
        <v>3</v>
      </c>
      <c r="AQ44" s="15">
        <f>IF(ISNA(VLOOKUP(A44,'Données projet'!$A$61:$I$81,4,0)),0,VLOOKUP(A44,'Données projet'!$A$61:$I$81,4,0))</f>
        <v>60.4</v>
      </c>
      <c r="AR44" s="16">
        <f>IF(ISNA(VLOOKUP(A44,'Données projet'!$A$61:$I$81,5,0)),0%,VLOOKUP(A44,'Données projet'!$A$61:$I$81,5,0)*VLOOKUP('Données projet'!$B$10,Paramètres!$A$1:$I$89,7,0))</f>
        <v>0.27500000000000002</v>
      </c>
      <c r="AS44" s="16">
        <f>IF(ISNA(VLOOKUP(A44,'Données projet'!$A$61:$I$81,6,0)),0%,VLOOKUP(A44,'Données projet'!$A$61:$I$81,6,0)*VLOOKUP('Données projet'!$B$10,Paramètres!$A$1:$I$89,7,0))</f>
        <v>0.11000000000000001</v>
      </c>
      <c r="AT44" s="16">
        <f>IF(ISNA(VLOOKUP(A44,'Données projet'!$A$61:$I$81,7,0)),0%,VLOOKUP(A44,'Données projet'!$A$61:$I$81,7,0))</f>
        <v>0.3</v>
      </c>
      <c r="AU44" s="21">
        <f>EXP(-LN(2)/35)*AU43+(1-EXP(-LN(2)/35))/(LN(2)/35)*AQ44*AR44*VLOOKUP('Données projet'!$B$10,Paramètres!$A$1:$I$89,3,0)*0.475*44/12</f>
        <v>10.312022263070157</v>
      </c>
      <c r="AV44" s="21">
        <f>EXP(-LN(2)/25)*AV43+(1-EXP(-LN(2)/25))/(LN(2)/25)*Calculateur!AQ44*Calculateur!AS44*VLOOKUP('Données projet'!$B$10,Paramètres!$A$1:$I$89,3,0)*0.475*44/12</f>
        <v>10.133280213812665</v>
      </c>
      <c r="AW44" s="21">
        <f>EXP(-LN(2)/2)*AW43+(1-EXP(-LN(2)/2))/(LN(2)/2)*AQ44*AT44*VLOOKUP('Données projet'!$B$10,Paramètres!$A$1:$I$89,3,0)*0.475*44/12</f>
        <v>10.400610308572254</v>
      </c>
      <c r="AX44" s="21">
        <f t="shared" si="6"/>
        <v>30.845912785455077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10.4</v>
      </c>
      <c r="BD44" s="12">
        <f>IF('Données projet'!$A$88&gt;35,BD43+BC44-BL43,IF(A44&lt;'Données projet'!$A$88,$BA$205^A44,IF(A44='Données projet'!$A$88,'Données projet'!$B$88,BD43+BC44-BL43)))</f>
        <v>249.39999999999998</v>
      </c>
      <c r="BE44" s="13">
        <f>BD44*VLOOKUP('Données projet'!$B$11,Paramètres!$A$1:$I$89,3,0)*VLOOKUP('Données projet'!$B$11,Paramètres!$A$1:$I$89,5,0)</f>
        <v>237.32903999999999</v>
      </c>
      <c r="BF44" s="13">
        <f t="shared" si="37"/>
        <v>57.864486657972002</v>
      </c>
      <c r="BG44" s="20">
        <f t="shared" si="7"/>
        <v>514.12872559596781</v>
      </c>
      <c r="BH44" s="59">
        <f t="shared" si="8"/>
        <v>807.46205892930107</v>
      </c>
      <c r="BI44" s="59">
        <f ca="1">AVERAGE(OFFSET($BH$3,0,0,'Données projet'!$E$11+1,1))-AVERAGE(OFFSET($H$3,0,0,'Données projet'!$E$11+1,1))</f>
        <v>446.62872871405051</v>
      </c>
      <c r="BJ44" s="59">
        <f t="shared" si="38"/>
        <v>471.28934889691658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24.581863593372244</v>
      </c>
      <c r="BQ44" s="21">
        <f>EXP(-LN(2)/25)*BQ43+(1-EXP(-LN(2)/25))/(LN(2)/25)*Calculateur!BL44*Calculateur!BN44*VLOOKUP('Données projet'!$B$11,Paramètres!$A$1:$I$89,3,0)*0.475*44/12</f>
        <v>2.6960105287710951</v>
      </c>
      <c r="BR44" s="21">
        <f>EXP(-LN(2)/2)*BR43+(1-EXP(-LN(2)/2))/(LN(2)/2)*BL44*BO44*VLOOKUP('Données projet'!$B$11,Paramètres!$A$1:$I$89,3,0)*0.475*44/12</f>
        <v>1.3787280199010004</v>
      </c>
      <c r="BS44" s="22">
        <f t="shared" si="9"/>
        <v>28.656602142044338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33</v>
      </c>
      <c r="BY44" s="12">
        <f>IF('Données projet'!$A$114&gt;35,BY43+BX44-CG43,IF(A44&lt;'Données projet'!$A$114,$BV$205^A44,IF(A44='Données projet'!$A$114,'Données projet'!$B$114,BY43+BX44-CG43)))</f>
        <v>569</v>
      </c>
      <c r="BZ44" s="13">
        <f>BY44*VLOOKUP('Données projet'!$B$12,Paramètres!$A$1:$I$89,3,0)*VLOOKUP('Données projet'!$B$12,Paramètres!$A$1:$I$89,5,0)</f>
        <v>251.49800000000002</v>
      </c>
      <c r="CA44" s="13">
        <f t="shared" si="39"/>
        <v>60.906603390137924</v>
      </c>
      <c r="CB44" s="20">
        <f t="shared" si="10"/>
        <v>544.10468423782356</v>
      </c>
      <c r="CC44" s="59">
        <f t="shared" si="11"/>
        <v>837.43801757115693</v>
      </c>
      <c r="CD44" s="59">
        <f ca="1">AVERAGE(OFFSET($CC$3,0,0,'Données projet'!$E$12+1,1))-AVERAGE(OFFSET($H$3,0,0,'Données projet'!$E$12+1,1))</f>
        <v>534.99316143569899</v>
      </c>
      <c r="CE44" s="59">
        <f t="shared" si="40"/>
        <v>449.56965858934262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45.628637043231905</v>
      </c>
      <c r="CL44" s="21">
        <f>EXP(-LN(2)/25)*CL43+(1-EXP(-LN(2)/25))/(LN(2)/25)*Calculateur!CG44*Calculateur!CI44*VLOOKUP('Données projet'!$B$12,Paramètres!$A$1:$I$89,3,0)*0.475*44/12</f>
        <v>39.771951991114626</v>
      </c>
      <c r="CM44" s="21">
        <f>EXP(-LN(2)/2)*CM43+(1-EXP(-LN(2)/2))/(LN(2)/2)*CG44*CJ44*VLOOKUP('Données projet'!$B$12,Paramètres!$A$1:$I$89,3,0)*0.475*44/12</f>
        <v>7.8421737833309546</v>
      </c>
      <c r="CN44" s="22">
        <f t="shared" si="12"/>
        <v>93.242762817677473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105.6</v>
      </c>
      <c r="CU44" s="17">
        <f>CT44*VLOOKUP('Données projet'!$B$13,Paramètres!$A$1:$I$89,3,0)*VLOOKUP('Données projet'!$B$13,Paramètres!$A$1:$I$89,5,0)</f>
        <v>120.25727999999999</v>
      </c>
      <c r="CV44" s="13">
        <f t="shared" si="41"/>
        <v>31.734998147434588</v>
      </c>
      <c r="CW44" s="20">
        <f t="shared" si="13"/>
        <v>264.71988444011521</v>
      </c>
      <c r="CX44" s="59">
        <f t="shared" si="14"/>
        <v>558.05321777344852</v>
      </c>
      <c r="CY44" s="59">
        <f ca="1">AVERAGE(OFFSET($CX$3,0,0,'Données projet'!$E$13+1,1))-AVERAGE(OFFSET($H$3,0,0,'Données projet'!$E$13+1,1))</f>
        <v>389.89050053480827</v>
      </c>
      <c r="CZ44" s="59">
        <f t="shared" si="42"/>
        <v>216.40816051909616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0.96332980626100417</v>
      </c>
      <c r="DG44" s="21">
        <f>EXP(-LN(2)/25)*DG43+(1-EXP(-LN(2)/25))/(LN(2)/25)*Calculateur!DB44*Calculateur!DD44*VLOOKUP('Données projet'!$B$13,Paramètres!$A$1:$I$89,3,0)*0.475*44/12</f>
        <v>0.74829091597999409</v>
      </c>
      <c r="DH44" s="21">
        <f>EXP(-LN(2)/2)*DH43+(1-EXP(-LN(2)/2))/(LN(2)/2)*DB44*DE44*VLOOKUP('Données projet'!$B$13,Paramètres!$A$1:$I$89,3,0)*0.475*44/12</f>
        <v>1.0567896242587551</v>
      </c>
      <c r="DI44" s="22">
        <f t="shared" si="15"/>
        <v>2.7684103464997536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120.15744000000002</v>
      </c>
      <c r="P45" s="13">
        <f t="shared" si="33"/>
        <v>31.711716786129845</v>
      </c>
      <c r="Q45" s="20">
        <f t="shared" si="53"/>
        <v>264.50544806917623</v>
      </c>
      <c r="R45" s="59">
        <f t="shared" si="0"/>
        <v>557.83878140250954</v>
      </c>
      <c r="S45" s="59">
        <f ca="1">AVERAGE(OFFSET($R$3,0,0,'Données projet'!$E$9+1,1))-AVERAGE(OFFSET($H$3,0,0,'Données projet'!$E$9+1,1))</f>
        <v>371.7282125501186</v>
      </c>
      <c r="T45" s="59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6.6176783828301362</v>
      </c>
      <c r="AA45" s="21">
        <f>EXP(-LN(2)/25)*AA44+(1-EXP(-LN(2)/25))/(LN(2)/25)*Calculateur!V45*Calculateur!X45*VLOOKUP('Données projet'!$B$9,Paramètres!$A$1:$I$89,3,0)*0.475*44/12</f>
        <v>1.2736530326646642</v>
      </c>
      <c r="AB45" s="21">
        <f>EXP(-LN(2)/2)*AB44+(1-EXP(-LN(2)/2))/(LN(2)/2)*V45*Y45*VLOOKUP('Données projet'!$B$9,Paramètres!$A$1:$I$89,3,0)*0.475*44/12</f>
        <v>1.2658186477050031</v>
      </c>
      <c r="AC45" s="22">
        <f t="shared" si="3"/>
        <v>9.1571500631998042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11.860909090909091</v>
      </c>
      <c r="AI45" s="13">
        <f>IF('Données projet'!$A$62&gt;35,AI44+AH45-AQ44,IF(A45&lt;'Données projet'!$A$62,$AF$205^A45,IF(A45='Données projet'!$A$62,'Données projet'!$B$62,AI44+AH45-AQ44)))</f>
        <v>253.62090909090912</v>
      </c>
      <c r="AJ45" s="13">
        <f>AI45*VLOOKUP('Données projet'!$B$10,Paramètres!$A$1:$I$89,3,0)*VLOOKUP('Données projet'!$B$10,Paramètres!$A$1:$I$89,5,0)</f>
        <v>118.69458545454546</v>
      </c>
      <c r="AK45" s="13">
        <f t="shared" si="35"/>
        <v>31.37033923817582</v>
      </c>
      <c r="AL45" s="20">
        <f t="shared" si="4"/>
        <v>261.36307717315623</v>
      </c>
      <c r="AM45" s="59">
        <f t="shared" si="5"/>
        <v>554.69641050648954</v>
      </c>
      <c r="AN45" s="59">
        <f ca="1">AVERAGE(OFFSET($AM$3,0,0,'Données projet'!$E$10+1,1))-AVERAGE(OFFSET($H$3,0,0,'Données projet'!$E$10+1,1))</f>
        <v>218.32525311070435</v>
      </c>
      <c r="AO45" s="59">
        <f t="shared" si="36"/>
        <v>275.36315264099204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10.109809796203873</v>
      </c>
      <c r="AV45" s="21">
        <f>EXP(-LN(2)/25)*AV44+(1-EXP(-LN(2)/25))/(LN(2)/25)*Calculateur!AQ45*Calculateur!AS45*VLOOKUP('Données projet'!$B$10,Paramètres!$A$1:$I$89,3,0)*0.475*44/12</f>
        <v>9.8561851334799115</v>
      </c>
      <c r="AW45" s="21">
        <f>EXP(-LN(2)/2)*AW44+(1-EXP(-LN(2)/2))/(LN(2)/2)*AQ45*AT45*VLOOKUP('Données projet'!$B$10,Paramètres!$A$1:$I$89,3,0)*0.475*44/12</f>
        <v>7.354342077670152</v>
      </c>
      <c r="AX45" s="21">
        <f t="shared" si="6"/>
        <v>27.320337007353935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10.4</v>
      </c>
      <c r="BD45" s="12">
        <f>IF('Données projet'!$A$88&gt;35,BD44+BC45-BL44,IF(A45&lt;'Données projet'!$A$88,$BA$205^A45,IF(A45='Données projet'!$A$88,'Données projet'!$B$88,BD44+BC45-BL44)))</f>
        <v>259.79999999999995</v>
      </c>
      <c r="BE45" s="13">
        <f>BD45*VLOOKUP('Données projet'!$B$11,Paramètres!$A$1:$I$89,3,0)*VLOOKUP('Données projet'!$B$11,Paramètres!$A$1:$I$89,5,0)</f>
        <v>247.22567999999998</v>
      </c>
      <c r="BF45" s="13">
        <f t="shared" si="37"/>
        <v>59.991476692987675</v>
      </c>
      <c r="BG45" s="20">
        <f t="shared" si="7"/>
        <v>535.06988124028692</v>
      </c>
      <c r="BH45" s="59">
        <f t="shared" si="8"/>
        <v>828.40321457362029</v>
      </c>
      <c r="BI45" s="59">
        <f ca="1">AVERAGE(OFFSET($BH$3,0,0,'Données projet'!$E$11+1,1))-AVERAGE(OFFSET($H$3,0,0,'Données projet'!$E$11+1,1))</f>
        <v>446.62872871405051</v>
      </c>
      <c r="BJ45" s="59">
        <f t="shared" si="38"/>
        <v>471.28934889691658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24.099828241762527</v>
      </c>
      <c r="BQ45" s="21">
        <f>EXP(-LN(2)/25)*BQ44+(1-EXP(-LN(2)/25))/(LN(2)/25)*Calculateur!BL45*Calculateur!BN45*VLOOKUP('Données projet'!$B$11,Paramètres!$A$1:$I$89,3,0)*0.475*44/12</f>
        <v>2.6222879790848177</v>
      </c>
      <c r="BR45" s="21">
        <f>EXP(-LN(2)/2)*BR44+(1-EXP(-LN(2)/2))/(LN(2)/2)*BL45*BO45*VLOOKUP('Données projet'!$B$11,Paramètres!$A$1:$I$89,3,0)*0.475*44/12</f>
        <v>0.97490793228389871</v>
      </c>
      <c r="BS45" s="22">
        <f t="shared" si="9"/>
        <v>27.697024153131242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33</v>
      </c>
      <c r="BY45" s="12">
        <f>IF('Données projet'!$A$114&gt;35,BY44+BX45-CG44,IF(A45&lt;'Données projet'!$A$114,$BV$205^A45,IF(A45='Données projet'!$A$114,'Données projet'!$B$114,BY44+BX45-CG44)))</f>
        <v>602</v>
      </c>
      <c r="BZ45" s="13">
        <f>BY45*VLOOKUP('Données projet'!$B$12,Paramètres!$A$1:$I$89,3,0)*VLOOKUP('Données projet'!$B$12,Paramètres!$A$1:$I$89,5,0)</f>
        <v>266.084</v>
      </c>
      <c r="CA45" s="13">
        <f t="shared" si="39"/>
        <v>64.017489916454537</v>
      </c>
      <c r="CB45" s="20">
        <f t="shared" si="10"/>
        <v>574.92676160449162</v>
      </c>
      <c r="CC45" s="59">
        <f t="shared" si="11"/>
        <v>868.26009493782499</v>
      </c>
      <c r="CD45" s="59">
        <f ca="1">AVERAGE(OFFSET($CC$3,0,0,'Données projet'!$E$12+1,1))-AVERAGE(OFFSET($H$3,0,0,'Données projet'!$E$12+1,1))</f>
        <v>534.99316143569899</v>
      </c>
      <c r="CE45" s="59">
        <f t="shared" si="40"/>
        <v>449.56965858934262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44.733887301534665</v>
      </c>
      <c r="CL45" s="21">
        <f>EXP(-LN(2)/25)*CL44+(1-EXP(-LN(2)/25))/(LN(2)/25)*Calculateur!CG45*Calculateur!CI45*VLOOKUP('Données projet'!$B$12,Paramètres!$A$1:$I$89,3,0)*0.475*44/12</f>
        <v>38.684385872401542</v>
      </c>
      <c r="CM45" s="21">
        <f>EXP(-LN(2)/2)*CM44+(1-EXP(-LN(2)/2))/(LN(2)/2)*CG45*CJ45*VLOOKUP('Données projet'!$B$12,Paramètres!$A$1:$I$89,3,0)*0.475*44/12</f>
        <v>5.5452542614366811</v>
      </c>
      <c r="CN45" s="22">
        <f t="shared" si="12"/>
        <v>88.963527435372882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111.19999999999999</v>
      </c>
      <c r="CU45" s="17">
        <f>CT45*VLOOKUP('Données projet'!$B$13,Paramètres!$A$1:$I$89,3,0)*VLOOKUP('Données projet'!$B$13,Paramètres!$A$1:$I$89,5,0)</f>
        <v>126.63455999999998</v>
      </c>
      <c r="CV45" s="13">
        <f t="shared" si="41"/>
        <v>33.217521837722217</v>
      </c>
      <c r="CW45" s="20">
        <f t="shared" si="13"/>
        <v>278.40904253403284</v>
      </c>
      <c r="CX45" s="59">
        <f t="shared" si="14"/>
        <v>571.74237586736615</v>
      </c>
      <c r="CY45" s="59">
        <f ca="1">AVERAGE(OFFSET($CX$3,0,0,'Données projet'!$E$13+1,1))-AVERAGE(OFFSET($H$3,0,0,'Données projet'!$E$13+1,1))</f>
        <v>389.89050053480827</v>
      </c>
      <c r="CZ45" s="59">
        <f t="shared" si="42"/>
        <v>216.40816051909616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0.94443949633338964</v>
      </c>
      <c r="DG45" s="21">
        <f>EXP(-LN(2)/25)*DG44+(1-EXP(-LN(2)/25))/(LN(2)/25)*Calculateur!DB45*Calculateur!DD45*VLOOKUP('Données projet'!$B$13,Paramètres!$A$1:$I$89,3,0)*0.475*44/12</f>
        <v>0.72782886153161208</v>
      </c>
      <c r="DH45" s="21">
        <f>EXP(-LN(2)/2)*DH44+(1-EXP(-LN(2)/2))/(LN(2)/2)*DB45*DE45*VLOOKUP('Données projet'!$B$13,Paramètres!$A$1:$I$89,3,0)*0.475*44/12</f>
        <v>0.74726310960094933</v>
      </c>
      <c r="DI45" s="22">
        <f t="shared" si="15"/>
        <v>2.4195314674659509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127.75776000000003</v>
      </c>
      <c r="P46" s="13">
        <f t="shared" si="33"/>
        <v>33.477720030956604</v>
      </c>
      <c r="Q46" s="20">
        <f t="shared" si="53"/>
        <v>280.81846105391611</v>
      </c>
      <c r="R46" s="59">
        <f t="shared" si="0"/>
        <v>574.15179438724942</v>
      </c>
      <c r="S46" s="59">
        <f ca="1">AVERAGE(OFFSET($R$3,0,0,'Données projet'!$E$9+1,1))-AVERAGE(OFFSET($H$3,0,0,'Données projet'!$E$9+1,1))</f>
        <v>371.7282125501186</v>
      </c>
      <c r="T46" s="59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6.487909746128091</v>
      </c>
      <c r="AA46" s="21">
        <f>EXP(-LN(2)/25)*AA45+(1-EXP(-LN(2)/25))/(LN(2)/25)*Calculateur!V46*Calculateur!X46*VLOOKUP('Données projet'!$B$9,Paramètres!$A$1:$I$89,3,0)*0.475*44/12</f>
        <v>1.2388249235079469</v>
      </c>
      <c r="AB46" s="21">
        <f>EXP(-LN(2)/2)*AB45+(1-EXP(-LN(2)/2))/(LN(2)/2)*V46*Y46*VLOOKUP('Données projet'!$B$9,Paramètres!$A$1:$I$89,3,0)*0.475*44/12</f>
        <v>0.89506894954459315</v>
      </c>
      <c r="AC46" s="22">
        <f t="shared" si="3"/>
        <v>8.6218036191806302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11.860909090909091</v>
      </c>
      <c r="AI46" s="13">
        <f>IF('Données projet'!$A$62&gt;35,AI45+AH46-AQ45,IF(A46&lt;'Données projet'!$A$62,$AF$205^A46,IF(A46='Données projet'!$A$62,'Données projet'!$B$62,AI45+AH46-AQ45)))</f>
        <v>265.4818181818182</v>
      </c>
      <c r="AJ46" s="13">
        <f>AI46*VLOOKUP('Données projet'!$B$10,Paramètres!$A$1:$I$89,3,0)*VLOOKUP('Données projet'!$B$10,Paramètres!$A$1:$I$89,5,0)</f>
        <v>124.24549090909092</v>
      </c>
      <c r="AK46" s="13">
        <f t="shared" si="35"/>
        <v>32.663177815492332</v>
      </c>
      <c r="AL46" s="20">
        <f t="shared" si="4"/>
        <v>273.28259802864915</v>
      </c>
      <c r="AM46" s="59">
        <f t="shared" si="5"/>
        <v>566.61593136198246</v>
      </c>
      <c r="AN46" s="59">
        <f ca="1">AVERAGE(OFFSET($AM$3,0,0,'Données projet'!$E$10+1,1))-AVERAGE(OFFSET($H$3,0,0,'Données projet'!$E$10+1,1))</f>
        <v>218.32525311070435</v>
      </c>
      <c r="AO46" s="59">
        <f t="shared" si="36"/>
        <v>275.36315264099204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9.9115625924754109</v>
      </c>
      <c r="AV46" s="21">
        <f>EXP(-LN(2)/25)*AV45+(1-EXP(-LN(2)/25))/(LN(2)/25)*Calculateur!AQ46*Calculateur!AS46*VLOOKUP('Données projet'!$B$10,Paramètres!$A$1:$I$89,3,0)*0.475*44/12</f>
        <v>9.5866672326906546</v>
      </c>
      <c r="AW46" s="21">
        <f>EXP(-LN(2)/2)*AW45+(1-EXP(-LN(2)/2))/(LN(2)/2)*AQ46*AT46*VLOOKUP('Données projet'!$B$10,Paramètres!$A$1:$I$89,3,0)*0.475*44/12</f>
        <v>5.2003051542861281</v>
      </c>
      <c r="AX46" s="21">
        <f t="shared" si="6"/>
        <v>24.698534979452191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10.4</v>
      </c>
      <c r="BD46" s="12">
        <f>IF('Données projet'!$A$88&gt;35,BD45+BC46-BL45,IF(A46&lt;'Données projet'!$A$88,$BA$205^A46,IF(A46='Données projet'!$A$88,'Données projet'!$B$88,BD45+BC46-BL45)))</f>
        <v>270.19999999999993</v>
      </c>
      <c r="BE46" s="13">
        <f>BD46*VLOOKUP('Données projet'!$B$11,Paramètres!$A$1:$I$89,3,0)*VLOOKUP('Données projet'!$B$11,Paramètres!$A$1:$I$89,5,0)</f>
        <v>257.12231999999995</v>
      </c>
      <c r="BF46" s="13">
        <f t="shared" si="37"/>
        <v>62.108576103251544</v>
      </c>
      <c r="BG46" s="20">
        <f t="shared" si="7"/>
        <v>555.99381071316304</v>
      </c>
      <c r="BH46" s="59">
        <f t="shared" si="8"/>
        <v>849.32714404649641</v>
      </c>
      <c r="BI46" s="59">
        <f ca="1">AVERAGE(OFFSET($BH$3,0,0,'Données projet'!$E$11+1,1))-AVERAGE(OFFSET($H$3,0,0,'Données projet'!$E$11+1,1))</f>
        <v>446.62872871405051</v>
      </c>
      <c r="BJ46" s="59">
        <f t="shared" si="38"/>
        <v>471.28934889691658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23.627245309385341</v>
      </c>
      <c r="BQ46" s="21">
        <f>EXP(-LN(2)/25)*BQ45+(1-EXP(-LN(2)/25))/(LN(2)/25)*Calculateur!BL46*Calculateur!BN46*VLOOKUP('Données projet'!$B$11,Paramètres!$A$1:$I$89,3,0)*0.475*44/12</f>
        <v>2.5505813763966119</v>
      </c>
      <c r="BR46" s="21">
        <f>EXP(-LN(2)/2)*BR45+(1-EXP(-LN(2)/2))/(LN(2)/2)*BL46*BO46*VLOOKUP('Données projet'!$B$11,Paramètres!$A$1:$I$89,3,0)*0.475*44/12</f>
        <v>0.68936400995050029</v>
      </c>
      <c r="BS46" s="22">
        <f t="shared" si="9"/>
        <v>26.867190695732454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33</v>
      </c>
      <c r="BY46" s="12">
        <f>IF('Données projet'!$A$114&gt;35,BY45+BX46-CG45,IF(A46&lt;'Données projet'!$A$114,$BV$205^A46,IF(A46='Données projet'!$A$114,'Données projet'!$B$114,BY45+BX46-CG45)))</f>
        <v>635</v>
      </c>
      <c r="BZ46" s="13">
        <f>BY46*VLOOKUP('Données projet'!$B$12,Paramètres!$A$1:$I$89,3,0)*VLOOKUP('Données projet'!$B$12,Paramètres!$A$1:$I$89,5,0)</f>
        <v>280.67</v>
      </c>
      <c r="CA46" s="13">
        <f t="shared" si="39"/>
        <v>67.10857944039833</v>
      </c>
      <c r="CB46" s="20">
        <f t="shared" si="10"/>
        <v>605.71435919202713</v>
      </c>
      <c r="CC46" s="59">
        <f t="shared" si="11"/>
        <v>899.04769252536039</v>
      </c>
      <c r="CD46" s="59">
        <f ca="1">AVERAGE(OFFSET($CC$3,0,0,'Données projet'!$E$12+1,1))-AVERAGE(OFFSET($H$3,0,0,'Données projet'!$E$12+1,1))</f>
        <v>534.99316143569899</v>
      </c>
      <c r="CE46" s="59">
        <f t="shared" si="40"/>
        <v>449.56965858934262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43.856683056528659</v>
      </c>
      <c r="CL46" s="21">
        <f>EXP(-LN(2)/25)*CL45+(1-EXP(-LN(2)/25))/(LN(2)/25)*Calculateur!CG46*Calculateur!CI46*VLOOKUP('Données projet'!$B$12,Paramètres!$A$1:$I$89,3,0)*0.475*44/12</f>
        <v>37.626559306397283</v>
      </c>
      <c r="CM46" s="21">
        <f>EXP(-LN(2)/2)*CM45+(1-EXP(-LN(2)/2))/(LN(2)/2)*CG46*CJ46*VLOOKUP('Données projet'!$B$12,Paramètres!$A$1:$I$89,3,0)*0.475*44/12</f>
        <v>3.9210868916654777</v>
      </c>
      <c r="CN46" s="22">
        <f t="shared" si="12"/>
        <v>85.404329254591431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116.79999999999998</v>
      </c>
      <c r="CU46" s="17">
        <f>CT46*VLOOKUP('Données projet'!$B$13,Paramètres!$A$1:$I$89,3,0)*VLOOKUP('Données projet'!$B$13,Paramètres!$A$1:$I$89,5,0)</f>
        <v>133.01183999999998</v>
      </c>
      <c r="CV46" s="13">
        <f t="shared" si="41"/>
        <v>34.691376718868447</v>
      </c>
      <c r="CW46" s="20">
        <f t="shared" si="13"/>
        <v>292.08310245202915</v>
      </c>
      <c r="CX46" s="59">
        <f t="shared" si="14"/>
        <v>585.41643578536241</v>
      </c>
      <c r="CY46" s="59">
        <f ca="1">AVERAGE(OFFSET($CX$3,0,0,'Données projet'!$E$13+1,1))-AVERAGE(OFFSET($H$3,0,0,'Données projet'!$E$13+1,1))</f>
        <v>389.89050053480827</v>
      </c>
      <c r="CZ46" s="59">
        <f t="shared" si="42"/>
        <v>216.40816051909616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0.92591961386150434</v>
      </c>
      <c r="DG46" s="21">
        <f>EXP(-LN(2)/25)*DG45+(1-EXP(-LN(2)/25))/(LN(2)/25)*Calculateur!DB46*Calculateur!DD46*VLOOKUP('Données projet'!$B$13,Paramètres!$A$1:$I$89,3,0)*0.475*44/12</f>
        <v>0.70792634303817381</v>
      </c>
      <c r="DH46" s="21">
        <f>EXP(-LN(2)/2)*DH45+(1-EXP(-LN(2)/2))/(LN(2)/2)*DB46*DE46*VLOOKUP('Données projet'!$B$13,Paramètres!$A$1:$I$89,3,0)*0.475*44/12</f>
        <v>0.52839481212937756</v>
      </c>
      <c r="DI46" s="22">
        <f t="shared" si="15"/>
        <v>2.1622407690290557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135.35808000000006</v>
      </c>
      <c r="P47" s="13">
        <f t="shared" si="33"/>
        <v>35.231528980112834</v>
      </c>
      <c r="Q47" s="20">
        <f t="shared" si="53"/>
        <v>297.11023564036327</v>
      </c>
      <c r="R47" s="59">
        <f t="shared" si="0"/>
        <v>590.44356897369653</v>
      </c>
      <c r="S47" s="59">
        <f ca="1">AVERAGE(OFFSET($R$3,0,0,'Données projet'!$E$9+1,1))-AVERAGE(OFFSET($H$3,0,0,'Données projet'!$E$9+1,1))</f>
        <v>371.7282125501186</v>
      </c>
      <c r="T47" s="59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6.3606857932407195</v>
      </c>
      <c r="AA47" s="21">
        <f>EXP(-LN(2)/25)*AA46+(1-EXP(-LN(2)/25))/(LN(2)/25)*Calculateur!V47*Calculateur!X47*VLOOKUP('Données projet'!$B$9,Paramètres!$A$1:$I$89,3,0)*0.475*44/12</f>
        <v>1.2049491908276508</v>
      </c>
      <c r="AB47" s="21">
        <f>EXP(-LN(2)/2)*AB46+(1-EXP(-LN(2)/2))/(LN(2)/2)*V47*Y47*VLOOKUP('Données projet'!$B$9,Paramètres!$A$1:$I$89,3,0)*0.475*44/12</f>
        <v>0.63290932385250165</v>
      </c>
      <c r="AC47" s="22">
        <f t="shared" si="3"/>
        <v>8.1985443079208711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11.860909090909091</v>
      </c>
      <c r="AI47" s="13">
        <f>IF('Données projet'!$A$62&gt;35,AI46+AH47-AQ46,IF(A47&lt;'Données projet'!$A$62,$AF$205^A47,IF(A47='Données projet'!$A$62,'Données projet'!$B$62,AI46+AH47-AQ46)))</f>
        <v>277.3427272727273</v>
      </c>
      <c r="AJ47" s="13">
        <f>AI47*VLOOKUP('Données projet'!$B$10,Paramètres!$A$1:$I$89,3,0)*VLOOKUP('Données projet'!$B$10,Paramètres!$A$1:$I$89,5,0)</f>
        <v>129.79639636363638</v>
      </c>
      <c r="AK47" s="13">
        <f t="shared" si="35"/>
        <v>33.949308219032858</v>
      </c>
      <c r="AL47" s="20">
        <f t="shared" si="4"/>
        <v>285.19043548148227</v>
      </c>
      <c r="AM47" s="59">
        <f t="shared" si="5"/>
        <v>578.52376881481564</v>
      </c>
      <c r="AN47" s="59">
        <f ca="1">AVERAGE(OFFSET($AM$3,0,0,'Données projet'!$E$10+1,1))-AVERAGE(OFFSET($H$3,0,0,'Données projet'!$E$10+1,1))</f>
        <v>218.32525311070435</v>
      </c>
      <c r="AO47" s="59">
        <f t="shared" si="36"/>
        <v>275.36315264099204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9.7172028954932106</v>
      </c>
      <c r="AV47" s="21">
        <f>EXP(-LN(2)/25)*AV46+(1-EXP(-LN(2)/25))/(LN(2)/25)*Calculateur!AQ47*Calculateur!AS47*VLOOKUP('Données projet'!$B$10,Paramètres!$A$1:$I$89,3,0)*0.475*44/12</f>
        <v>9.3245193130718089</v>
      </c>
      <c r="AW47" s="21">
        <f>EXP(-LN(2)/2)*AW46+(1-EXP(-LN(2)/2))/(LN(2)/2)*AQ47*AT47*VLOOKUP('Données projet'!$B$10,Paramètres!$A$1:$I$89,3,0)*0.475*44/12</f>
        <v>3.6771710388350765</v>
      </c>
      <c r="AX47" s="21">
        <f t="shared" si="6"/>
        <v>22.718893247400096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10.4</v>
      </c>
      <c r="BD47" s="12">
        <f>IF('Données projet'!$A$88&gt;35,BD46+BC47-BL46,IF(A47&lt;'Données projet'!$A$88,$BA$205^A47,IF(A47='Données projet'!$A$88,'Données projet'!$B$88,BD46+BC47-BL46)))</f>
        <v>280.59999999999991</v>
      </c>
      <c r="BE47" s="13">
        <f>BD47*VLOOKUP('Données projet'!$B$11,Paramètres!$A$1:$I$89,3,0)*VLOOKUP('Données projet'!$B$11,Paramètres!$A$1:$I$89,5,0)</f>
        <v>267.01895999999994</v>
      </c>
      <c r="BF47" s="13">
        <f t="shared" si="37"/>
        <v>64.216209154007785</v>
      </c>
      <c r="BG47" s="20">
        <f t="shared" si="7"/>
        <v>576.90125294323013</v>
      </c>
      <c r="BH47" s="59">
        <f t="shared" si="8"/>
        <v>870.2345862765635</v>
      </c>
      <c r="BI47" s="59">
        <f ca="1">AVERAGE(OFFSET($BH$3,0,0,'Données projet'!$E$11+1,1))-AVERAGE(OFFSET($H$3,0,0,'Données projet'!$E$11+1,1))</f>
        <v>446.62872871405051</v>
      </c>
      <c r="BJ47" s="59">
        <f t="shared" si="38"/>
        <v>471.28934889691658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23.163929440064944</v>
      </c>
      <c r="BQ47" s="21">
        <f>EXP(-LN(2)/25)*BQ46+(1-EXP(-LN(2)/25))/(LN(2)/25)*Calculateur!BL47*Calculateur!BN47*VLOOKUP('Données projet'!$B$11,Paramètres!$A$1:$I$89,3,0)*0.475*44/12</f>
        <v>2.4808355945298013</v>
      </c>
      <c r="BR47" s="21">
        <f>EXP(-LN(2)/2)*BR46+(1-EXP(-LN(2)/2))/(LN(2)/2)*BL47*BO47*VLOOKUP('Données projet'!$B$11,Paramètres!$A$1:$I$89,3,0)*0.475*44/12</f>
        <v>0.48745396614194941</v>
      </c>
      <c r="BS47" s="22">
        <f t="shared" si="9"/>
        <v>26.132219000736693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33</v>
      </c>
      <c r="BY47" s="12">
        <f>IF('Données projet'!$A$114&gt;35,BY46+BX47-CG46,IF(A47&lt;'Données projet'!$A$114,$BV$205^A47,IF(A47='Données projet'!$A$114,'Données projet'!$B$114,BY46+BX47-CG46)))</f>
        <v>668</v>
      </c>
      <c r="BZ47" s="13">
        <f>BY47*VLOOKUP('Données projet'!$B$12,Paramètres!$A$1:$I$89,3,0)*VLOOKUP('Données projet'!$B$12,Paramètres!$A$1:$I$89,5,0)</f>
        <v>295.25600000000003</v>
      </c>
      <c r="CA47" s="13">
        <f t="shared" si="39"/>
        <v>70.181018128095488</v>
      </c>
      <c r="CB47" s="20">
        <f t="shared" si="10"/>
        <v>636.46947323976644</v>
      </c>
      <c r="CC47" s="59">
        <f t="shared" si="11"/>
        <v>929.80280657309982</v>
      </c>
      <c r="CD47" s="59">
        <f ca="1">AVERAGE(OFFSET($CC$3,0,0,'Données projet'!$E$12+1,1))-AVERAGE(OFFSET($H$3,0,0,'Données projet'!$E$12+1,1))</f>
        <v>534.99316143569899</v>
      </c>
      <c r="CE47" s="59">
        <f t="shared" si="40"/>
        <v>449.56965858934262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42.996680251725458</v>
      </c>
      <c r="CL47" s="21">
        <f>EXP(-LN(2)/25)*CL46+(1-EXP(-LN(2)/25))/(LN(2)/25)*Calculateur!CG47*Calculateur!CI47*VLOOKUP('Données projet'!$B$12,Paramètres!$A$1:$I$89,3,0)*0.475*44/12</f>
        <v>36.597659063469095</v>
      </c>
      <c r="CM47" s="21">
        <f>EXP(-LN(2)/2)*CM46+(1-EXP(-LN(2)/2))/(LN(2)/2)*CG47*CJ47*VLOOKUP('Données projet'!$B$12,Paramètres!$A$1:$I$89,3,0)*0.475*44/12</f>
        <v>2.772627130718341</v>
      </c>
      <c r="CN47" s="22">
        <f t="shared" si="12"/>
        <v>82.366966445912908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122.39999999999998</v>
      </c>
      <c r="CU47" s="17">
        <f>CT47*VLOOKUP('Données projet'!$B$13,Paramètres!$A$1:$I$89,3,0)*VLOOKUP('Données projet'!$B$13,Paramètres!$A$1:$I$89,5,0)</f>
        <v>139.38911999999996</v>
      </c>
      <c r="CV47" s="13">
        <f t="shared" si="41"/>
        <v>36.157025868423602</v>
      </c>
      <c r="CW47" s="20">
        <f t="shared" si="13"/>
        <v>305.74287072083769</v>
      </c>
      <c r="CX47" s="59">
        <f t="shared" si="14"/>
        <v>599.07620405417106</v>
      </c>
      <c r="CY47" s="59">
        <f ca="1">AVERAGE(OFFSET($CX$3,0,0,'Données projet'!$E$13+1,1))-AVERAGE(OFFSET($H$3,0,0,'Données projet'!$E$13+1,1))</f>
        <v>389.89050053480827</v>
      </c>
      <c r="CZ47" s="59">
        <f t="shared" si="42"/>
        <v>216.40816051909616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0.90776289498887974</v>
      </c>
      <c r="DG47" s="21">
        <f>EXP(-LN(2)/25)*DG46+(1-EXP(-LN(2)/25))/(LN(2)/25)*Calculateur!DB47*Calculateur!DD47*VLOOKUP('Données projet'!$B$13,Paramètres!$A$1:$I$89,3,0)*0.475*44/12</f>
        <v>0.6885680599595666</v>
      </c>
      <c r="DH47" s="21">
        <f>EXP(-LN(2)/2)*DH46+(1-EXP(-LN(2)/2))/(LN(2)/2)*DB47*DE47*VLOOKUP('Données projet'!$B$13,Paramètres!$A$1:$I$89,3,0)*0.475*44/12</f>
        <v>0.37363155480047466</v>
      </c>
      <c r="DI47" s="22">
        <f t="shared" si="15"/>
        <v>1.9699625097489211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142.95840000000004</v>
      </c>
      <c r="P48" s="13">
        <f t="shared" si="33"/>
        <v>36.973906370811264</v>
      </c>
      <c r="Q48" s="20">
        <f t="shared" si="53"/>
        <v>313.38210026249641</v>
      </c>
      <c r="R48" s="59">
        <f t="shared" si="0"/>
        <v>606.71543359582972</v>
      </c>
      <c r="S48" s="59">
        <f ca="1">AVERAGE(OFFSET($R$3,0,0,'Données projet'!$E$9+1,1))-AVERAGE(OFFSET($H$3,0,0,'Données projet'!$E$9+1,1))</f>
        <v>371.7282125501186</v>
      </c>
      <c r="T48" s="59">
        <f t="shared" si="34"/>
        <v>231.36959598460686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0.25800000000000001</v>
      </c>
      <c r="X48" s="16">
        <f>IF(ISNA(VLOOKUP(A48,'Données projet'!$A$35:$I$55,6,0)),0%,VLOOKUP(A48,'Données projet'!$A$35:$I$55,6,0)*VLOOKUP('Données projet'!$B$9,Paramètres!$A$1:$I$89,7,0))</f>
        <v>1.72E-2</v>
      </c>
      <c r="Y48" s="16">
        <f>IF(ISNA(VLOOKUP(A48,'Données projet'!$A$35:$I$55,7,0)),0%,VLOOKUP(A48,'Données projet'!$A$35:$I$55,7,0))</f>
        <v>0.06</v>
      </c>
      <c r="Z48" s="21">
        <f>EXP(-LN(2)/35)*Z47+(1-EXP(-LN(2)/35))/(LN(2)/35)*V48*W48*VLOOKUP('Données projet'!$B$9,Paramètres!$A$1:$I$89,3,0)*0.475*44/12</f>
        <v>11.655200594027377</v>
      </c>
      <c r="AA48" s="21">
        <f>EXP(-LN(2)/25)*AA47+(1-EXP(-LN(2)/25))/(LN(2)/25)*Calculateur!V48*Calculateur!X48*VLOOKUP('Données projet'!$B$9,Paramètres!$A$1:$I$89,3,0)*0.475*44/12</f>
        <v>1.531860214582603</v>
      </c>
      <c r="AB48" s="21">
        <f>EXP(-LN(2)/2)*AB47+(1-EXP(-LN(2)/2))/(LN(2)/2)*V48*Y48*VLOOKUP('Données projet'!$B$9,Paramètres!$A$1:$I$89,3,0)*0.475*44/12</f>
        <v>1.5232004467143401</v>
      </c>
      <c r="AC48" s="22">
        <f t="shared" si="3"/>
        <v>14.710261255324319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11.860909090909091</v>
      </c>
      <c r="AI48" s="13">
        <f>IF('Données projet'!$A$62&gt;35,AI47+AH48-AQ47,IF(A48&lt;'Données projet'!$A$62,$AF$205^A48,IF(A48='Données projet'!$A$62,'Données projet'!$B$62,AI47+AH48-AQ47)))</f>
        <v>289.20363636363641</v>
      </c>
      <c r="AJ48" s="13">
        <f>AI48*VLOOKUP('Données projet'!$B$10,Paramètres!$A$1:$I$89,3,0)*VLOOKUP('Données projet'!$B$10,Paramètres!$A$1:$I$89,5,0)</f>
        <v>135.34730181818182</v>
      </c>
      <c r="AK48" s="13">
        <f t="shared" si="35"/>
        <v>35.229050128494691</v>
      </c>
      <c r="AL48" s="20">
        <f t="shared" si="4"/>
        <v>297.08714630712819</v>
      </c>
      <c r="AM48" s="59">
        <f t="shared" si="5"/>
        <v>590.42047964046151</v>
      </c>
      <c r="AN48" s="59">
        <f ca="1">AVERAGE(OFFSET($AM$3,0,0,'Données projet'!$E$10+1,1))-AVERAGE(OFFSET($H$3,0,0,'Données projet'!$E$10+1,1))</f>
        <v>218.32525311070435</v>
      </c>
      <c r="AO48" s="59">
        <f t="shared" si="36"/>
        <v>275.36315264099204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9.5266544736211216</v>
      </c>
      <c r="AV48" s="21">
        <f>EXP(-LN(2)/25)*AV47+(1-EXP(-LN(2)/25))/(LN(2)/25)*Calculateur!AQ48*Calculateur!AS48*VLOOKUP('Données projet'!$B$10,Paramètres!$A$1:$I$89,3,0)*0.475*44/12</f>
        <v>9.069539842100701</v>
      </c>
      <c r="AW48" s="21">
        <f>EXP(-LN(2)/2)*AW47+(1-EXP(-LN(2)/2))/(LN(2)/2)*AQ48*AT48*VLOOKUP('Données projet'!$B$10,Paramètres!$A$1:$I$89,3,0)*0.475*44/12</f>
        <v>2.600152577143064</v>
      </c>
      <c r="AX48" s="21">
        <f t="shared" si="6"/>
        <v>21.196346892864888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291</v>
      </c>
      <c r="BB48" s="12">
        <f>VLOOKUP(A48,'Données projet'!$A$87:$I$107,9,0)</f>
        <v>10.4</v>
      </c>
      <c r="BC48" s="12">
        <f t="array" ref="BC48">INDEX(BB:BB,MIN(IF(ISNUMBER(BB48:BB244),ROW(BB48:BB244),"")))</f>
        <v>10.4</v>
      </c>
      <c r="BD48" s="12">
        <f>IF('Données projet'!$A$88&gt;35,BD47+BC48-BL47,IF(A48&lt;'Données projet'!$A$88,$BA$205^A48,IF(A48='Données projet'!$A$88,'Données projet'!$B$88,BD47+BC48-BL47)))</f>
        <v>290.99999999999989</v>
      </c>
      <c r="BE48" s="13">
        <f>BD48*VLOOKUP('Données projet'!$B$11,Paramètres!$A$1:$I$89,3,0)*VLOOKUP('Données projet'!$B$11,Paramètres!$A$1:$I$89,5,0)</f>
        <v>276.91559999999993</v>
      </c>
      <c r="BF48" s="13">
        <f t="shared" si="37"/>
        <v>66.314766879144742</v>
      </c>
      <c r="BG48" s="20">
        <f t="shared" si="7"/>
        <v>597.79288898117682</v>
      </c>
      <c r="BH48" s="59">
        <f t="shared" si="8"/>
        <v>891.12622231451019</v>
      </c>
      <c r="BI48" s="59">
        <f ca="1">AVERAGE(OFFSET($BH$3,0,0,'Données projet'!$E$11+1,1))-AVERAGE(OFFSET($H$3,0,0,'Données projet'!$E$11+1,1))</f>
        <v>446.62872871405051</v>
      </c>
      <c r="BJ48" s="59">
        <f t="shared" si="38"/>
        <v>471.28934889691658</v>
      </c>
      <c r="BK48" s="15">
        <f>IF(ISNA(VLOOKUP(A48,'Données projet'!$A$87:$I$107,3,0)),0,VLOOKUP(A48,'Données projet'!$A$87:$I$107,3,0))</f>
        <v>8</v>
      </c>
      <c r="BL48" s="15">
        <f>IF(ISNA(VLOOKUP(A48,'Données projet'!$A$87:$I$107,4,0)),0,VLOOKUP(A48,'Données projet'!$A$87:$I$107,4,0))</f>
        <v>29</v>
      </c>
      <c r="BM48" s="16">
        <f>IF(ISNA(VLOOKUP(A48,'Données projet'!$A$87:$I$107,5,0)),0%,VLOOKUP(A48,'Données projet'!$A$87:$I$107,5,0)*VLOOKUP('Données projet'!$B$11,Paramètres!$A$1:$I$89,7,0))</f>
        <v>0.25800000000000001</v>
      </c>
      <c r="BN48" s="16">
        <f>IF(ISNA(VLOOKUP(A48,'Données projet'!$A$87:$I$107,6,0)),0%,VLOOKUP(A48,'Données projet'!$A$87:$I$107,6,0)*VLOOKUP('Données projet'!$B$11,Paramètres!$A$1:$I$89,7,0))</f>
        <v>1.72E-2</v>
      </c>
      <c r="BO48" s="16">
        <f>IF(ISNA(VLOOKUP(A48,'Données projet'!$A$87:$I$107,7,0)),0%,VLOOKUP(A48,'Données projet'!$A$87:$I$107,7,0))</f>
        <v>0.06</v>
      </c>
      <c r="BP48" s="21">
        <f>EXP(-LN(2)/35)*BP47+(1-EXP(-LN(2)/35))/(LN(2)/35)*BL48*BM48*VLOOKUP('Données projet'!$B$11,Paramètres!$A$1:$I$89,3,0)*0.475*44/12</f>
        <v>30.580505630036868</v>
      </c>
      <c r="BQ48" s="21">
        <f>EXP(-LN(2)/25)*BQ47+(1-EXP(-LN(2)/25))/(LN(2)/25)*Calculateur!BL48*Calculateur!BN48*VLOOKUP('Données projet'!$B$11,Paramètres!$A$1:$I$89,3,0)*0.475*44/12</f>
        <v>2.9356514382445567</v>
      </c>
      <c r="BR48" s="21">
        <f>EXP(-LN(2)/2)*BR47+(1-EXP(-LN(2)/2))/(LN(2)/2)*BL48*BO48*VLOOKUP('Données projet'!$B$11,Paramètres!$A$1:$I$89,3,0)*0.475*44/12</f>
        <v>1.9069587737482181</v>
      </c>
      <c r="BS48" s="22">
        <f t="shared" si="9"/>
        <v>35.423115842029638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701</v>
      </c>
      <c r="BW48" s="12">
        <f>VLOOKUP(A48,'Données projet'!$A$113:$I$133,9,0)</f>
        <v>33</v>
      </c>
      <c r="BX48" s="12">
        <f t="array" ref="BX48">INDEX(BW:BW,MIN(IF(ISNUMBER(BW48:BW244),ROW(BW48:BW244),"")))</f>
        <v>33</v>
      </c>
      <c r="BY48" s="12">
        <f>IF('Données projet'!$A$114&gt;35,BY47+BX48-CG47,IF(A48&lt;'Données projet'!$A$114,$BV$205^A48,IF(A48='Données projet'!$A$114,'Données projet'!$B$114,BY47+BX48-CG47)))</f>
        <v>701</v>
      </c>
      <c r="BZ48" s="13">
        <f>BY48*VLOOKUP('Données projet'!$B$12,Paramètres!$A$1:$I$89,3,0)*VLOOKUP('Données projet'!$B$12,Paramètres!$A$1:$I$89,5,0)</f>
        <v>309.84200000000004</v>
      </c>
      <c r="CA48" s="13">
        <f t="shared" si="39"/>
        <v>73.235832504233656</v>
      </c>
      <c r="CB48" s="20">
        <f t="shared" si="10"/>
        <v>667.19389161154038</v>
      </c>
      <c r="CC48" s="59">
        <f t="shared" si="11"/>
        <v>960.52722494487375</v>
      </c>
      <c r="CD48" s="59">
        <f ca="1">AVERAGE(OFFSET($CC$3,0,0,'Données projet'!$E$12+1,1))-AVERAGE(OFFSET($H$3,0,0,'Données projet'!$E$12+1,1))</f>
        <v>534.99316143569899</v>
      </c>
      <c r="CE48" s="59">
        <f t="shared" si="40"/>
        <v>449.56965858934262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74</v>
      </c>
      <c r="CH48" s="16">
        <f>IF(ISNA(VLOOKUP(A48,'Données projet'!$A$113:$I$133,5,0)),0%,VLOOKUP(A48,'Données projet'!$A$113:$I$133,5,0)*VLOOKUP('Données projet'!$B$12,Paramètres!$A$1:$I$89,7,0))</f>
        <v>0.27500000000000002</v>
      </c>
      <c r="CI48" s="16">
        <f>IF(ISNA(VLOOKUP(A48,'Données projet'!$A$113:$I$133,6,0)),0%,VLOOKUP(A48,'Données projet'!$A$113:$I$133,6,0)*VLOOKUP('Données projet'!$B$12,Paramètres!$A$1:$I$89,7,0))</f>
        <v>0.16500000000000001</v>
      </c>
      <c r="CJ48" s="16">
        <f>IF(ISNA(VLOOKUP(A48,'Données projet'!$A$113:$I$133,7,0)),0%,VLOOKUP(A48,'Données projet'!$A$113:$I$133,7,0))</f>
        <v>0.2</v>
      </c>
      <c r="CK48" s="21">
        <f>EXP(-LN(2)/35)*CK47+(1-EXP(-LN(2)/35))/(LN(2)/35)*CG48*CH48*VLOOKUP('Données projet'!$B$12,Paramètres!$A$1:$I$89,3,0)*0.475*44/12</f>
        <v>54.085590884716567</v>
      </c>
      <c r="CL48" s="21">
        <f>EXP(-LN(2)/25)*CL47+(1-EXP(-LN(2)/25))/(LN(2)/25)*Calculateur!CG48*Calculateur!CI48*VLOOKUP('Données projet'!$B$12,Paramètres!$A$1:$I$89,3,0)*0.475*44/12</f>
        <v>42.727935121442371</v>
      </c>
      <c r="CM48" s="21">
        <f>EXP(-LN(2)/2)*CM47+(1-EXP(-LN(2)/2))/(LN(2)/2)*CG48*CJ48*VLOOKUP('Données projet'!$B$12,Paramètres!$A$1:$I$89,3,0)*0.475*44/12</f>
        <v>9.3671542433318695</v>
      </c>
      <c r="CN48" s="22">
        <f t="shared" si="12"/>
        <v>106.18068024949081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128</v>
      </c>
      <c r="CR48" s="12">
        <f>VLOOKUP(A48,'Données projet'!$A$139:$I$159,9,0)</f>
        <v>5.6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127.99999999999997</v>
      </c>
      <c r="CU48" s="17">
        <f>CT48*VLOOKUP('Données projet'!$B$13,Paramètres!$A$1:$I$89,3,0)*VLOOKUP('Données projet'!$B$13,Paramètres!$A$1:$I$89,5,0)</f>
        <v>145.76639999999998</v>
      </c>
      <c r="CV48" s="13">
        <f t="shared" si="41"/>
        <v>37.614887595769098</v>
      </c>
      <c r="CW48" s="20">
        <f t="shared" si="13"/>
        <v>319.38907589596442</v>
      </c>
      <c r="CX48" s="59">
        <f t="shared" si="14"/>
        <v>612.72240922929768</v>
      </c>
      <c r="CY48" s="59">
        <f ca="1">AVERAGE(OFFSET($CX$3,0,0,'Données projet'!$E$13+1,1))-AVERAGE(OFFSET($H$3,0,0,'Données projet'!$E$13+1,1))</f>
        <v>389.89050053480827</v>
      </c>
      <c r="CZ48" s="59">
        <f t="shared" si="42"/>
        <v>216.40816051909616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10</v>
      </c>
      <c r="DC48" s="16">
        <f>IF(ISNA(VLOOKUP(A48,'Données projet'!$A$139:$I$159,5,0)),0%,VLOOKUP(A48,'Données projet'!$A$139:$I$159,5,0)*VLOOKUP('Données projet'!$B$13,Paramètres!$A$1:$I$89,7,0))</f>
        <v>8.6000000000000007E-2</v>
      </c>
      <c r="DD48" s="16">
        <f>IF(ISNA(VLOOKUP(A48,'Données projet'!$A$139:$I$159,6,0)),0%,VLOOKUP(A48,'Données projet'!$A$139:$I$159,6,0)*VLOOKUP('Données projet'!$B$13,Paramètres!$A$1:$I$89,7,0))</f>
        <v>1.72E-2</v>
      </c>
      <c r="DE48" s="16">
        <f>IF(ISNA(VLOOKUP(A48,'Données projet'!$A$139:$I$159,7,0)),0%,VLOOKUP(A48,'Données projet'!$A$139:$I$159,7,0))</f>
        <v>0.06</v>
      </c>
      <c r="DF48" s="21">
        <f>EXP(-LN(2)/35)*DF47+(1-EXP(-LN(2)/35))/(LN(2)/35)*DB48*DC48*VLOOKUP('Données projet'!$B$13,Paramètres!$A$1:$I$89,3,0)*0.475*44/12</f>
        <v>1.9726245329612691</v>
      </c>
      <c r="DG48" s="21">
        <f>EXP(-LN(2)/25)*DG47+(1-EXP(-LN(2)/25))/(LN(2)/25)*Calculateur!DB48*Calculateur!DD48*VLOOKUP('Données projet'!$B$13,Paramètres!$A$1:$I$89,3,0)*0.475*44/12</f>
        <v>0.88541902227033509</v>
      </c>
      <c r="DH48" s="21">
        <f>EXP(-LN(2)/2)*DH47+(1-EXP(-LN(2)/2))/(LN(2)/2)*DB48*DE48*VLOOKUP('Données projet'!$B$13,Paramètres!$A$1:$I$89,3,0)*0.475*44/12</f>
        <v>0.90889047627625841</v>
      </c>
      <c r="DI48" s="22">
        <f t="shared" si="15"/>
        <v>3.7669340315078625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131.37696000000003</v>
      </c>
      <c r="P49" s="13">
        <f t="shared" si="33"/>
        <v>34.314338988223334</v>
      </c>
      <c r="Q49" s="20">
        <f t="shared" si="53"/>
        <v>288.57901240448905</v>
      </c>
      <c r="R49" s="59">
        <f t="shared" si="0"/>
        <v>581.91234573782231</v>
      </c>
      <c r="S49" s="59">
        <f ca="1">AVERAGE(OFFSET($R$3,0,0,'Données projet'!$E$9+1,1))-AVERAGE(OFFSET($H$3,0,0,'Données projet'!$E$9+1,1))</f>
        <v>371.7282125501186</v>
      </c>
      <c r="T49" s="59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11.42664921934891</v>
      </c>
      <c r="AA49" s="21">
        <f>EXP(-LN(2)/25)*AA48+(1-EXP(-LN(2)/25))/(LN(2)/25)*Calculateur!V49*Calculateur!X49*VLOOKUP('Données projet'!$B$9,Paramètres!$A$1:$I$89,3,0)*0.475*44/12</f>
        <v>1.4899714164578142</v>
      </c>
      <c r="AB49" s="21">
        <f>EXP(-LN(2)/2)*AB48+(1-EXP(-LN(2)/2))/(LN(2)/2)*V49*Y49*VLOOKUP('Données projet'!$B$9,Paramètres!$A$1:$I$89,3,0)*0.475*44/12</f>
        <v>1.0770653649780884</v>
      </c>
      <c r="AC49" s="22">
        <f t="shared" si="3"/>
        <v>13.993686000784813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11.860909090909091</v>
      </c>
      <c r="AI49" s="13">
        <f>IF('Données projet'!$A$62&gt;35,AI48+AH49-AQ48,IF(A49&lt;'Données projet'!$A$62,$AF$205^A49,IF(A49='Données projet'!$A$62,'Données projet'!$B$62,AI48+AH49-AQ48)))</f>
        <v>301.06454545454551</v>
      </c>
      <c r="AJ49" s="13">
        <f>AI49*VLOOKUP('Données projet'!$B$10,Paramètres!$A$1:$I$89,3,0)*VLOOKUP('Données projet'!$B$10,Paramètres!$A$1:$I$89,5,0)</f>
        <v>140.89820727272732</v>
      </c>
      <c r="AK49" s="13">
        <f t="shared" si="35"/>
        <v>36.502695518187565</v>
      </c>
      <c r="AL49" s="20">
        <f t="shared" si="4"/>
        <v>308.97323902751009</v>
      </c>
      <c r="AM49" s="59">
        <f t="shared" si="5"/>
        <v>602.30657236084335</v>
      </c>
      <c r="AN49" s="59">
        <f ca="1">AVERAGE(OFFSET($AM$3,0,0,'Données projet'!$E$10+1,1))-AVERAGE(OFFSET($H$3,0,0,'Données projet'!$E$10+1,1))</f>
        <v>218.32525311070435</v>
      </c>
      <c r="AO49" s="59">
        <f t="shared" si="36"/>
        <v>275.36315264099204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9.3398425900788826</v>
      </c>
      <c r="AV49" s="21">
        <f>EXP(-LN(2)/25)*AV48+(1-EXP(-LN(2)/25))/(LN(2)/25)*Calculateur!AQ49*Calculateur!AS49*VLOOKUP('Données projet'!$B$10,Paramètres!$A$1:$I$89,3,0)*0.475*44/12</f>
        <v>8.8215327981720861</v>
      </c>
      <c r="AW49" s="21">
        <f>EXP(-LN(2)/2)*AW48+(1-EXP(-LN(2)/2))/(LN(2)/2)*AQ49*AT49*VLOOKUP('Données projet'!$B$10,Paramètres!$A$1:$I$89,3,0)*0.475*44/12</f>
        <v>1.8385855194175382</v>
      </c>
      <c r="AX49" s="21">
        <f t="shared" si="6"/>
        <v>19.999960907668505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9.8000000000000007</v>
      </c>
      <c r="BD49" s="12">
        <f>IF('Données projet'!$A$88&gt;35,BD48+BC49-BL48,IF(A49&lt;'Données projet'!$A$88,$BA$205^A49,IF(A49='Données projet'!$A$88,'Données projet'!$B$88,BD48+BC49-BL48)))</f>
        <v>271.7999999999999</v>
      </c>
      <c r="BE49" s="13">
        <f>BD49*VLOOKUP('Données projet'!$B$11,Paramètres!$A$1:$I$89,3,0)*VLOOKUP('Données projet'!$B$11,Paramètres!$A$1:$I$89,5,0)</f>
        <v>258.64487999999994</v>
      </c>
      <c r="BF49" s="13">
        <f t="shared" si="37"/>
        <v>62.433433342018674</v>
      </c>
      <c r="BG49" s="20">
        <f t="shared" si="7"/>
        <v>559.21139573734911</v>
      </c>
      <c r="BH49" s="59">
        <f t="shared" si="8"/>
        <v>852.54472907068248</v>
      </c>
      <c r="BI49" s="59">
        <f ca="1">AVERAGE(OFFSET($BH$3,0,0,'Données projet'!$E$11+1,1))-AVERAGE(OFFSET($H$3,0,0,'Données projet'!$E$11+1,1))</f>
        <v>446.62872871405051</v>
      </c>
      <c r="BJ49" s="59">
        <f t="shared" si="38"/>
        <v>471.28934889691658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29.980840566898522</v>
      </c>
      <c r="BQ49" s="21">
        <f>EXP(-LN(2)/25)*BQ48+(1-EXP(-LN(2)/25))/(LN(2)/25)*Calculateur!BL49*Calculateur!BN49*VLOOKUP('Données projet'!$B$11,Paramètres!$A$1:$I$89,3,0)*0.475*44/12</f>
        <v>2.8553758952865596</v>
      </c>
      <c r="BR49" s="21">
        <f>EXP(-LN(2)/2)*BR48+(1-EXP(-LN(2)/2))/(LN(2)/2)*BL49*BO49*VLOOKUP('Données projet'!$B$11,Paramètres!$A$1:$I$89,3,0)*0.475*44/12</f>
        <v>1.3484234803605484</v>
      </c>
      <c r="BS49" s="22">
        <f t="shared" si="9"/>
        <v>34.18463994254563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29.2</v>
      </c>
      <c r="BY49" s="12">
        <f>IF('Données projet'!$A$114&gt;35,BY48+BX49-CG48,IF(A49&lt;'Données projet'!$A$114,$BV$205^A49,IF(A49='Données projet'!$A$114,'Données projet'!$B$114,BY48+BX49-CG48)))</f>
        <v>656.2</v>
      </c>
      <c r="BZ49" s="13">
        <f>BY49*VLOOKUP('Données projet'!$B$12,Paramètres!$A$1:$I$89,3,0)*VLOOKUP('Données projet'!$B$12,Paramètres!$A$1:$I$89,5,0)</f>
        <v>290.04040000000003</v>
      </c>
      <c r="CA49" s="13">
        <f t="shared" si="39"/>
        <v>69.084463839216909</v>
      </c>
      <c r="CB49" s="20">
        <f t="shared" si="10"/>
        <v>625.47580451996942</v>
      </c>
      <c r="CC49" s="59">
        <f t="shared" si="11"/>
        <v>918.80913785330267</v>
      </c>
      <c r="CD49" s="59">
        <f ca="1">AVERAGE(OFFSET($CC$3,0,0,'Données projet'!$E$12+1,1))-AVERAGE(OFFSET($H$3,0,0,'Données projet'!$E$12+1,1))</f>
        <v>534.99316143569899</v>
      </c>
      <c r="CE49" s="59">
        <f t="shared" si="40"/>
        <v>449.56965858934262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53.025005436420322</v>
      </c>
      <c r="CL49" s="21">
        <f>EXP(-LN(2)/25)*CL48+(1-EXP(-LN(2)/25))/(LN(2)/25)*Calculateur!CG49*Calculateur!CI49*VLOOKUP('Données projet'!$B$12,Paramètres!$A$1:$I$89,3,0)*0.475*44/12</f>
        <v>41.55953748858208</v>
      </c>
      <c r="CM49" s="21">
        <f>EXP(-LN(2)/2)*CM48+(1-EXP(-LN(2)/2))/(LN(2)/2)*CG49*CJ49*VLOOKUP('Données projet'!$B$12,Paramètres!$A$1:$I$89,3,0)*0.475*44/12</f>
        <v>6.6235782858803089</v>
      </c>
      <c r="CN49" s="22">
        <f t="shared" si="12"/>
        <v>101.20812121088272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5.2</v>
      </c>
      <c r="CT49" s="12">
        <f>IF('Données projet'!$A$140&gt;35,CT48+CS49-DB48,IF(A49&lt;'Données projet'!$A$140,$CQ$205^A49,IF(A49='Données projet'!$A$140,'Données projet'!$B$140,CT48+CS49-DB48)))</f>
        <v>123.19999999999996</v>
      </c>
      <c r="CU49" s="17">
        <f>CT49*VLOOKUP('Données projet'!$B$13,Paramètres!$A$1:$I$89,3,0)*VLOOKUP('Données projet'!$B$13,Paramètres!$A$1:$I$89,5,0)</f>
        <v>140.30015999999995</v>
      </c>
      <c r="CV49" s="13">
        <f t="shared" si="41"/>
        <v>36.36575936262836</v>
      </c>
      <c r="CW49" s="20">
        <f t="shared" si="13"/>
        <v>307.69314288991097</v>
      </c>
      <c r="CX49" s="59">
        <f t="shared" si="14"/>
        <v>601.02647622324434</v>
      </c>
      <c r="CY49" s="59">
        <f ca="1">AVERAGE(OFFSET($CX$3,0,0,'Données projet'!$E$13+1,1))-AVERAGE(OFFSET($H$3,0,0,'Données projet'!$E$13+1,1))</f>
        <v>389.89050053480827</v>
      </c>
      <c r="CZ49" s="59">
        <f t="shared" si="42"/>
        <v>216.40816051909616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1.9339425690520593</v>
      </c>
      <c r="DG49" s="21">
        <f>EXP(-LN(2)/25)*DG48+(1-EXP(-LN(2)/25))/(LN(2)/25)*Calculateur!DB49*Calculateur!DD49*VLOOKUP('Données projet'!$B$13,Paramètres!$A$1:$I$89,3,0)*0.475*44/12</f>
        <v>0.86120719254419009</v>
      </c>
      <c r="DH49" s="21">
        <f>EXP(-LN(2)/2)*DH48+(1-EXP(-LN(2)/2))/(LN(2)/2)*DB49*DE49*VLOOKUP('Données projet'!$B$13,Paramètres!$A$1:$I$89,3,0)*0.475*44/12</f>
        <v>0.64268261913081326</v>
      </c>
      <c r="DI49" s="22">
        <f t="shared" si="15"/>
        <v>3.4378323807270625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138.79632000000001</v>
      </c>
      <c r="P50" s="13">
        <f t="shared" si="33"/>
        <v>36.021120886354588</v>
      </c>
      <c r="Q50" s="20">
        <f t="shared" si="53"/>
        <v>304.47370954373423</v>
      </c>
      <c r="R50" s="59">
        <f t="shared" si="0"/>
        <v>597.80704287706749</v>
      </c>
      <c r="S50" s="59">
        <f ca="1">AVERAGE(OFFSET($R$3,0,0,'Données projet'!$E$9+1,1))-AVERAGE(OFFSET($H$3,0,0,'Données projet'!$E$9+1,1))</f>
        <v>371.7282125501186</v>
      </c>
      <c r="T50" s="59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11.202579597725315</v>
      </c>
      <c r="AA50" s="21">
        <f>EXP(-LN(2)/25)*AA49+(1-EXP(-LN(2)/25))/(LN(2)/25)*Calculateur!V50*Calculateur!X50*VLOOKUP('Données projet'!$B$9,Paramètres!$A$1:$I$89,3,0)*0.475*44/12</f>
        <v>1.4492280697205839</v>
      </c>
      <c r="AB50" s="21">
        <f>EXP(-LN(2)/2)*AB49+(1-EXP(-LN(2)/2))/(LN(2)/2)*V50*Y50*VLOOKUP('Données projet'!$B$9,Paramètres!$A$1:$I$89,3,0)*0.475*44/12</f>
        <v>0.76160022335717015</v>
      </c>
      <c r="AC50" s="22">
        <f t="shared" si="3"/>
        <v>13.41340789080307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11.860909090909091</v>
      </c>
      <c r="AI50" s="13">
        <f>IF('Données projet'!$A$62&gt;35,AI49+AH50-AQ49,IF(A50&lt;'Données projet'!$A$62,$AF$205^A50,IF(A50='Données projet'!$A$62,'Données projet'!$B$62,AI49+AH50-AQ49)))</f>
        <v>312.92545454545461</v>
      </c>
      <c r="AJ50" s="13">
        <f>AI50*VLOOKUP('Données projet'!$B$10,Paramètres!$A$1:$I$89,3,0)*VLOOKUP('Données projet'!$B$10,Paramètres!$A$1:$I$89,5,0)</f>
        <v>146.44911272727276</v>
      </c>
      <c r="AK50" s="13">
        <f t="shared" si="35"/>
        <v>37.770512054416656</v>
      </c>
      <c r="AL50" s="20">
        <f t="shared" si="4"/>
        <v>320.84917982810907</v>
      </c>
      <c r="AM50" s="59">
        <f t="shared" si="5"/>
        <v>614.18251316144233</v>
      </c>
      <c r="AN50" s="59">
        <f ca="1">AVERAGE(OFFSET($AM$3,0,0,'Données projet'!$E$10+1,1))-AVERAGE(OFFSET($H$3,0,0,'Données projet'!$E$10+1,1))</f>
        <v>218.32525311070435</v>
      </c>
      <c r="AO50" s="59">
        <f t="shared" si="36"/>
        <v>275.36315264099204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9.1566939736289097</v>
      </c>
      <c r="AV50" s="21">
        <f>EXP(-LN(2)/25)*AV49+(1-EXP(-LN(2)/25))/(LN(2)/25)*Calculateur!AQ50*Calculateur!AS50*VLOOKUP('Données projet'!$B$10,Paramètres!$A$1:$I$89,3,0)*0.475*44/12</f>
        <v>8.5803075199018224</v>
      </c>
      <c r="AW50" s="21">
        <f>EXP(-LN(2)/2)*AW49+(1-EXP(-LN(2)/2))/(LN(2)/2)*AQ50*AT50*VLOOKUP('Données projet'!$B$10,Paramètres!$A$1:$I$89,3,0)*0.475*44/12</f>
        <v>1.300076288571532</v>
      </c>
      <c r="AX50" s="21">
        <f t="shared" si="6"/>
        <v>19.037077782102266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9.8000000000000007</v>
      </c>
      <c r="BD50" s="12">
        <f>IF('Données projet'!$A$88&gt;35,BD49+BC50-BL49,IF(A50&lt;'Données projet'!$A$88,$BA$205^A50,IF(A50='Données projet'!$A$88,'Données projet'!$B$88,BD49+BC50-BL49)))</f>
        <v>281.59999999999991</v>
      </c>
      <c r="BE50" s="13">
        <f>BD50*VLOOKUP('Données projet'!$B$11,Paramètres!$A$1:$I$89,3,0)*VLOOKUP('Données projet'!$B$11,Paramètres!$A$1:$I$89,5,0)</f>
        <v>267.97055999999992</v>
      </c>
      <c r="BF50" s="13">
        <f t="shared" si="37"/>
        <v>64.418381959040033</v>
      </c>
      <c r="BG50" s="20">
        <f t="shared" si="7"/>
        <v>578.91074057866115</v>
      </c>
      <c r="BH50" s="59">
        <f t="shared" si="8"/>
        <v>872.24407391199452</v>
      </c>
      <c r="BI50" s="59">
        <f ca="1">AVERAGE(OFFSET($BH$3,0,0,'Données projet'!$E$11+1,1))-AVERAGE(OFFSET($H$3,0,0,'Données projet'!$E$11+1,1))</f>
        <v>446.62872871405051</v>
      </c>
      <c r="BJ50" s="59">
        <f t="shared" si="38"/>
        <v>471.28934889691658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29.392934569888745</v>
      </c>
      <c r="BQ50" s="21">
        <f>EXP(-LN(2)/25)*BQ49+(1-EXP(-LN(2)/25))/(LN(2)/25)*Calculateur!BL50*Calculateur!BN50*VLOOKUP('Données projet'!$B$11,Paramètres!$A$1:$I$89,3,0)*0.475*44/12</f>
        <v>2.7772954912722563</v>
      </c>
      <c r="BR50" s="21">
        <f>EXP(-LN(2)/2)*BR49+(1-EXP(-LN(2)/2))/(LN(2)/2)*BL50*BO50*VLOOKUP('Données projet'!$B$11,Paramètres!$A$1:$I$89,3,0)*0.475*44/12</f>
        <v>0.95347938687410916</v>
      </c>
      <c r="BS50" s="22">
        <f t="shared" si="9"/>
        <v>33.123709448035108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29.2</v>
      </c>
      <c r="BY50" s="12">
        <f>IF('Données projet'!$A$114&gt;35,BY49+BX50-CG49,IF(A50&lt;'Données projet'!$A$114,$BV$205^A50,IF(A50='Données projet'!$A$114,'Données projet'!$B$114,BY49+BX50-CG49)))</f>
        <v>685.40000000000009</v>
      </c>
      <c r="BZ50" s="13">
        <f>BY50*VLOOKUP('Données projet'!$B$12,Paramètres!$A$1:$I$89,3,0)*VLOOKUP('Données projet'!$B$12,Paramètres!$A$1:$I$89,5,0)</f>
        <v>302.94680000000011</v>
      </c>
      <c r="CA50" s="13">
        <f t="shared" si="39"/>
        <v>71.793874065830792</v>
      </c>
      <c r="CB50" s="20">
        <f t="shared" si="10"/>
        <v>652.67334066465548</v>
      </c>
      <c r="CC50" s="59">
        <f t="shared" si="11"/>
        <v>946.00667399798886</v>
      </c>
      <c r="CD50" s="59">
        <f ca="1">AVERAGE(OFFSET($CC$3,0,0,'Données projet'!$E$12+1,1))-AVERAGE(OFFSET($H$3,0,0,'Données projet'!$E$12+1,1))</f>
        <v>534.99316143569899</v>
      </c>
      <c r="CE50" s="59">
        <f t="shared" si="40"/>
        <v>449.56965858934262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51.985217421871923</v>
      </c>
      <c r="CL50" s="21">
        <f>EXP(-LN(2)/25)*CL49+(1-EXP(-LN(2)/25))/(LN(2)/25)*Calculateur!CG50*Calculateur!CI50*VLOOKUP('Données projet'!$B$12,Paramètres!$A$1:$I$89,3,0)*0.475*44/12</f>
        <v>40.423089750435715</v>
      </c>
      <c r="CM50" s="21">
        <f>EXP(-LN(2)/2)*CM49+(1-EXP(-LN(2)/2))/(LN(2)/2)*CG50*CJ50*VLOOKUP('Données projet'!$B$12,Paramètres!$A$1:$I$89,3,0)*0.475*44/12</f>
        <v>4.6835771216659356</v>
      </c>
      <c r="CN50" s="22">
        <f t="shared" si="12"/>
        <v>97.091884293973578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5.2</v>
      </c>
      <c r="CT50" s="12">
        <f>IF('Données projet'!$A$140&gt;35,CT49+CS50-DB49,IF(A50&lt;'Données projet'!$A$140,$CQ$205^A50,IF(A50='Données projet'!$A$140,'Données projet'!$B$140,CT49+CS50-DB49)))</f>
        <v>128.39999999999995</v>
      </c>
      <c r="CU50" s="17">
        <f>CT50*VLOOKUP('Données projet'!$B$13,Paramètres!$A$1:$I$89,3,0)*VLOOKUP('Données projet'!$B$13,Paramètres!$A$1:$I$89,5,0)</f>
        <v>146.22191999999993</v>
      </c>
      <c r="CV50" s="13">
        <f t="shared" si="41"/>
        <v>37.718732835789773</v>
      </c>
      <c r="CW50" s="20">
        <f t="shared" si="13"/>
        <v>320.36330368900036</v>
      </c>
      <c r="CX50" s="59">
        <f t="shared" si="14"/>
        <v>613.69663702233368</v>
      </c>
      <c r="CY50" s="59">
        <f ca="1">AVERAGE(OFFSET($CX$3,0,0,'Données projet'!$E$13+1,1))-AVERAGE(OFFSET($H$3,0,0,'Données projet'!$E$13+1,1))</f>
        <v>389.89050053480827</v>
      </c>
      <c r="CZ50" s="59">
        <f t="shared" si="42"/>
        <v>216.40816051909616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1.8960191348614408</v>
      </c>
      <c r="DG50" s="21">
        <f>EXP(-LN(2)/25)*DG49+(1-EXP(-LN(2)/25))/(LN(2)/25)*Calculateur!DB50*Calculateur!DD50*VLOOKUP('Données projet'!$B$13,Paramètres!$A$1:$I$89,3,0)*0.475*44/12</f>
        <v>0.83765743657515124</v>
      </c>
      <c r="DH50" s="21">
        <f>EXP(-LN(2)/2)*DH49+(1-EXP(-LN(2)/2))/(LN(2)/2)*DB50*DE50*VLOOKUP('Données projet'!$B$13,Paramètres!$A$1:$I$89,3,0)*0.475*44/12</f>
        <v>0.45444523813812926</v>
      </c>
      <c r="DI50" s="22">
        <f t="shared" si="15"/>
        <v>3.1881218095747217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146.21568000000002</v>
      </c>
      <c r="P51" s="13">
        <f t="shared" si="33"/>
        <v>37.717310552893402</v>
      </c>
      <c r="Q51" s="20">
        <f t="shared" si="53"/>
        <v>320.34995854628937</v>
      </c>
      <c r="R51" s="59">
        <f t="shared" si="0"/>
        <v>613.68329187962263</v>
      </c>
      <c r="S51" s="59">
        <f ca="1">AVERAGE(OFFSET($R$3,0,0,'Données projet'!$E$9+1,1))-AVERAGE(OFFSET($H$3,0,0,'Données projet'!$E$9+1,1))</f>
        <v>371.7282125501186</v>
      </c>
      <c r="T51" s="59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10.982903844712784</v>
      </c>
      <c r="AA51" s="21">
        <f>EXP(-LN(2)/25)*AA50+(1-EXP(-LN(2)/25))/(LN(2)/25)*Calculateur!V51*Calculateur!X51*VLOOKUP('Données projet'!$B$9,Paramètres!$A$1:$I$89,3,0)*0.475*44/12</f>
        <v>1.4095988519424827</v>
      </c>
      <c r="AB51" s="21">
        <f>EXP(-LN(2)/2)*AB50+(1-EXP(-LN(2)/2))/(LN(2)/2)*V51*Y51*VLOOKUP('Données projet'!$B$9,Paramètres!$A$1:$I$89,3,0)*0.475*44/12</f>
        <v>0.53853268248904429</v>
      </c>
      <c r="AC51" s="22">
        <f t="shared" si="3"/>
        <v>12.931035379144312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11.860909090909091</v>
      </c>
      <c r="AI51" s="13">
        <f>IF('Données projet'!$A$62&gt;35,AI50+AH51-AQ50,IF(A51&lt;'Données projet'!$A$62,$AF$205^A51,IF(A51='Données projet'!$A$62,'Données projet'!$B$62,AI50+AH51-AQ50)))</f>
        <v>324.78636363636372</v>
      </c>
      <c r="AJ51" s="13">
        <f>AI51*VLOOKUP('Données projet'!$B$10,Paramètres!$A$1:$I$89,3,0)*VLOOKUP('Données projet'!$B$10,Paramètres!$A$1:$I$89,5,0)</f>
        <v>152.00001818181821</v>
      </c>
      <c r="AK51" s="13">
        <f t="shared" si="35"/>
        <v>39.032745963293266</v>
      </c>
      <c r="AL51" s="20">
        <f t="shared" si="4"/>
        <v>332.71539755273574</v>
      </c>
      <c r="AM51" s="59">
        <f t="shared" si="5"/>
        <v>626.04873088606905</v>
      </c>
      <c r="AN51" s="59">
        <f ca="1">AVERAGE(OFFSET($AM$3,0,0,'Données projet'!$E$10+1,1))-AVERAGE(OFFSET($H$3,0,0,'Données projet'!$E$10+1,1))</f>
        <v>218.32525311070435</v>
      </c>
      <c r="AO51" s="59">
        <f t="shared" si="36"/>
        <v>275.36315264099204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8.9771367898378944</v>
      </c>
      <c r="AV51" s="21">
        <f>EXP(-LN(2)/25)*AV50+(1-EXP(-LN(2)/25))/(LN(2)/25)*Calculateur!AQ51*Calculateur!AS51*VLOOKUP('Données projet'!$B$10,Paramètres!$A$1:$I$89,3,0)*0.475*44/12</f>
        <v>8.3456785595513452</v>
      </c>
      <c r="AW51" s="21">
        <f>EXP(-LN(2)/2)*AW50+(1-EXP(-LN(2)/2))/(LN(2)/2)*AQ51*AT51*VLOOKUP('Données projet'!$B$10,Paramètres!$A$1:$I$89,3,0)*0.475*44/12</f>
        <v>0.91929275970876911</v>
      </c>
      <c r="AX51" s="21">
        <f t="shared" si="6"/>
        <v>18.242108109098005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9.8000000000000007</v>
      </c>
      <c r="BD51" s="12">
        <f>IF('Données projet'!$A$88&gt;35,BD50+BC51-BL50,IF(A51&lt;'Données projet'!$A$88,$BA$205^A51,IF(A51='Données projet'!$A$88,'Données projet'!$B$88,BD50+BC51-BL50)))</f>
        <v>291.39999999999992</v>
      </c>
      <c r="BE51" s="13">
        <f>BD51*VLOOKUP('Données projet'!$B$11,Paramètres!$A$1:$I$89,3,0)*VLOOKUP('Données projet'!$B$11,Paramètres!$A$1:$I$89,5,0)</f>
        <v>277.2962399999999</v>
      </c>
      <c r="BF51" s="13">
        <f t="shared" si="37"/>
        <v>66.395304394955474</v>
      </c>
      <c r="BG51" s="20">
        <f t="shared" si="7"/>
        <v>598.59610648788055</v>
      </c>
      <c r="BH51" s="59">
        <f t="shared" si="8"/>
        <v>891.92943982121392</v>
      </c>
      <c r="BI51" s="59">
        <f ca="1">AVERAGE(OFFSET($BH$3,0,0,'Données projet'!$E$11+1,1))-AVERAGE(OFFSET($H$3,0,0,'Données projet'!$E$11+1,1))</f>
        <v>446.62872871405051</v>
      </c>
      <c r="BJ51" s="59">
        <f t="shared" si="38"/>
        <v>471.28934889691658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28.816557050893078</v>
      </c>
      <c r="BQ51" s="21">
        <f>EXP(-LN(2)/25)*BQ50+(1-EXP(-LN(2)/25))/(LN(2)/25)*Calculateur!BL51*Calculateur!BN51*VLOOKUP('Données projet'!$B$11,Paramètres!$A$1:$I$89,3,0)*0.475*44/12</f>
        <v>2.7013502000117939</v>
      </c>
      <c r="BR51" s="21">
        <f>EXP(-LN(2)/2)*BR50+(1-EXP(-LN(2)/2))/(LN(2)/2)*BL51*BO51*VLOOKUP('Données projet'!$B$11,Paramètres!$A$1:$I$89,3,0)*0.475*44/12</f>
        <v>0.6742117401802743</v>
      </c>
      <c r="BS51" s="22">
        <f t="shared" si="9"/>
        <v>32.192118991085145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29.2</v>
      </c>
      <c r="BY51" s="12">
        <f>IF('Données projet'!$A$114&gt;35,BY50+BX51-CG50,IF(A51&lt;'Données projet'!$A$114,$BV$205^A51,IF(A51='Données projet'!$A$114,'Données projet'!$B$114,BY50+BX51-CG50)))</f>
        <v>714.60000000000014</v>
      </c>
      <c r="BZ51" s="13">
        <f>BY51*VLOOKUP('Données projet'!$B$12,Paramètres!$A$1:$I$89,3,0)*VLOOKUP('Données projet'!$B$12,Paramètres!$A$1:$I$89,5,0)</f>
        <v>315.85320000000007</v>
      </c>
      <c r="CA51" s="13">
        <f t="shared" si="39"/>
        <v>74.48987737688023</v>
      </c>
      <c r="CB51" s="20">
        <f t="shared" si="10"/>
        <v>679.84752643139973</v>
      </c>
      <c r="CC51" s="59">
        <f t="shared" si="11"/>
        <v>973.18085976473299</v>
      </c>
      <c r="CD51" s="59">
        <f ca="1">AVERAGE(OFFSET($CC$3,0,0,'Données projet'!$E$12+1,1))-AVERAGE(OFFSET($H$3,0,0,'Données projet'!$E$12+1,1))</f>
        <v>534.99316143569899</v>
      </c>
      <c r="CE51" s="59">
        <f t="shared" si="40"/>
        <v>449.56965858934262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50.965819016080751</v>
      </c>
      <c r="CL51" s="21">
        <f>EXP(-LN(2)/25)*CL50+(1-EXP(-LN(2)/25))/(LN(2)/25)*Calculateur!CG51*Calculateur!CI51*VLOOKUP('Données projet'!$B$12,Paramètres!$A$1:$I$89,3,0)*0.475*44/12</f>
        <v>39.317718235452148</v>
      </c>
      <c r="CM51" s="21">
        <f>EXP(-LN(2)/2)*CM50+(1-EXP(-LN(2)/2))/(LN(2)/2)*CG51*CJ51*VLOOKUP('Données projet'!$B$12,Paramètres!$A$1:$I$89,3,0)*0.475*44/12</f>
        <v>3.3117891429401549</v>
      </c>
      <c r="CN51" s="22">
        <f t="shared" si="12"/>
        <v>93.595326394473048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5.2</v>
      </c>
      <c r="CT51" s="12">
        <f>IF('Données projet'!$A$140&gt;35,CT50+CS51-DB50,IF(A51&lt;'Données projet'!$A$140,$CQ$205^A51,IF(A51='Données projet'!$A$140,'Données projet'!$B$140,CT50+CS51-DB50)))</f>
        <v>133.59999999999994</v>
      </c>
      <c r="CU51" s="17">
        <f>CT51*VLOOKUP('Données projet'!$B$13,Paramètres!$A$1:$I$89,3,0)*VLOOKUP('Données projet'!$B$13,Paramètres!$A$1:$I$89,5,0)</f>
        <v>152.14367999999993</v>
      </c>
      <c r="CV51" s="13">
        <f t="shared" si="41"/>
        <v>39.065341538496646</v>
      </c>
      <c r="CW51" s="20">
        <f t="shared" si="13"/>
        <v>333.02237917954818</v>
      </c>
      <c r="CX51" s="59">
        <f t="shared" si="14"/>
        <v>626.3557125128815</v>
      </c>
      <c r="CY51" s="59">
        <f ca="1">AVERAGE(OFFSET($CX$3,0,0,'Données projet'!$E$13+1,1))-AVERAGE(OFFSET($H$3,0,0,'Données projet'!$E$13+1,1))</f>
        <v>389.89050053480827</v>
      </c>
      <c r="CZ51" s="59">
        <f t="shared" si="42"/>
        <v>216.40816051909616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1.8588393560842895</v>
      </c>
      <c r="DG51" s="21">
        <f>EXP(-LN(2)/25)*DG50+(1-EXP(-LN(2)/25))/(LN(2)/25)*Calculateur!DB51*Calculateur!DD51*VLOOKUP('Données projet'!$B$13,Paramètres!$A$1:$I$89,3,0)*0.475*44/12</f>
        <v>0.81475164992151361</v>
      </c>
      <c r="DH51" s="21">
        <f>EXP(-LN(2)/2)*DH50+(1-EXP(-LN(2)/2))/(LN(2)/2)*DB51*DE51*VLOOKUP('Données projet'!$B$13,Paramètres!$A$1:$I$89,3,0)*0.475*44/12</f>
        <v>0.32134130956540669</v>
      </c>
      <c r="DI51" s="22">
        <f t="shared" si="15"/>
        <v>2.9949323155712095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153.63504</v>
      </c>
      <c r="P52" s="13">
        <f t="shared" si="33"/>
        <v>39.403506785222667</v>
      </c>
      <c r="Q52" s="20">
        <f t="shared" si="53"/>
        <v>336.20880231759617</v>
      </c>
      <c r="R52" s="59">
        <f t="shared" si="0"/>
        <v>629.54213565092948</v>
      </c>
      <c r="S52" s="59">
        <f ca="1">AVERAGE(OFFSET($R$3,0,0,'Données projet'!$E$9+1,1))-AVERAGE(OFFSET($H$3,0,0,'Données projet'!$E$9+1,1))</f>
        <v>371.7282125501186</v>
      </c>
      <c r="T52" s="59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10.767535799227849</v>
      </c>
      <c r="AA52" s="21">
        <f>EXP(-LN(2)/25)*AA51+(1-EXP(-LN(2)/25))/(LN(2)/25)*Calculateur!V52*Calculateur!X52*VLOOKUP('Données projet'!$B$9,Paramètres!$A$1:$I$89,3,0)*0.475*44/12</f>
        <v>1.3710532972085336</v>
      </c>
      <c r="AB52" s="21">
        <f>EXP(-LN(2)/2)*AB51+(1-EXP(-LN(2)/2))/(LN(2)/2)*V52*Y52*VLOOKUP('Données projet'!$B$9,Paramètres!$A$1:$I$89,3,0)*0.475*44/12</f>
        <v>0.38080011167858513</v>
      </c>
      <c r="AC52" s="22">
        <f t="shared" si="3"/>
        <v>12.519389208114967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11.860909090909091</v>
      </c>
      <c r="AI52" s="13">
        <f>IF('Données projet'!$A$62&gt;35,AI51+AH52-AQ51,IF(A52&lt;'Données projet'!$A$62,$AF$205^A52,IF(A52='Données projet'!$A$62,'Données projet'!$B$62,AI51+AH52-AQ51)))</f>
        <v>336.64727272727282</v>
      </c>
      <c r="AJ52" s="13">
        <f>AI52*VLOOKUP('Données projet'!$B$10,Paramètres!$A$1:$I$89,3,0)*VLOOKUP('Données projet'!$B$10,Paramètres!$A$1:$I$89,5,0)</f>
        <v>157.55092363636368</v>
      </c>
      <c r="AK52" s="13">
        <f t="shared" si="35"/>
        <v>40.289624467850842</v>
      </c>
      <c r="AL52" s="20">
        <f t="shared" si="4"/>
        <v>344.5722879481736</v>
      </c>
      <c r="AM52" s="59">
        <f t="shared" si="5"/>
        <v>637.90562128150691</v>
      </c>
      <c r="AN52" s="59">
        <f ca="1">AVERAGE(OFFSET($AM$3,0,0,'Données projet'!$E$10+1,1))-AVERAGE(OFFSET($H$3,0,0,'Données projet'!$E$10+1,1))</f>
        <v>218.32525311070435</v>
      </c>
      <c r="AO52" s="59">
        <f t="shared" si="36"/>
        <v>275.36315264099204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8.8011006129019531</v>
      </c>
      <c r="AV52" s="21">
        <f>EXP(-LN(2)/25)*AV51+(1-EXP(-LN(2)/25))/(LN(2)/25)*Calculateur!AQ52*Calculateur!AS52*VLOOKUP('Données projet'!$B$10,Paramètres!$A$1:$I$89,3,0)*0.475*44/12</f>
        <v>8.1174655404602518</v>
      </c>
      <c r="AW52" s="21">
        <f>EXP(-LN(2)/2)*AW51+(1-EXP(-LN(2)/2))/(LN(2)/2)*AQ52*AT52*VLOOKUP('Données projet'!$B$10,Paramètres!$A$1:$I$89,3,0)*0.475*44/12</f>
        <v>0.65003814428576601</v>
      </c>
      <c r="AX52" s="21">
        <f t="shared" si="6"/>
        <v>17.568604297647973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9.8000000000000007</v>
      </c>
      <c r="BD52" s="12">
        <f>IF('Données projet'!$A$88&gt;35,BD51+BC52-BL51,IF(A52&lt;'Données projet'!$A$88,$BA$205^A52,IF(A52='Données projet'!$A$88,'Données projet'!$B$88,BD51+BC52-BL51)))</f>
        <v>301.19999999999993</v>
      </c>
      <c r="BE52" s="13">
        <f>BD52*VLOOKUP('Données projet'!$B$11,Paramètres!$A$1:$I$89,3,0)*VLOOKUP('Données projet'!$B$11,Paramètres!$A$1:$I$89,5,0)</f>
        <v>286.62191999999993</v>
      </c>
      <c r="BF52" s="13">
        <f t="shared" si="37"/>
        <v>68.364501521838832</v>
      </c>
      <c r="BG52" s="20">
        <f t="shared" si="7"/>
        <v>618.26801748386913</v>
      </c>
      <c r="BH52" s="59">
        <f t="shared" si="8"/>
        <v>911.6013508172025</v>
      </c>
      <c r="BI52" s="59">
        <f ca="1">AVERAGE(OFFSET($BH$3,0,0,'Données projet'!$E$11+1,1))-AVERAGE(OFFSET($H$3,0,0,'Données projet'!$E$11+1,1))</f>
        <v>446.62872871405051</v>
      </c>
      <c r="BJ52" s="59">
        <f t="shared" si="38"/>
        <v>471.28934889691658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28.251481943489345</v>
      </c>
      <c r="BQ52" s="21">
        <f>EXP(-LN(2)/25)*BQ51+(1-EXP(-LN(2)/25))/(LN(2)/25)*Calculateur!BL52*Calculateur!BN52*VLOOKUP('Données projet'!$B$11,Paramètres!$A$1:$I$89,3,0)*0.475*44/12</f>
        <v>2.6274816367346383</v>
      </c>
      <c r="BR52" s="21">
        <f>EXP(-LN(2)/2)*BR51+(1-EXP(-LN(2)/2))/(LN(2)/2)*BL52*BO52*VLOOKUP('Données projet'!$B$11,Paramètres!$A$1:$I$89,3,0)*0.475*44/12</f>
        <v>0.47673969343705469</v>
      </c>
      <c r="BS52" s="22">
        <f t="shared" si="9"/>
        <v>31.355703273661039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29.2</v>
      </c>
      <c r="BY52" s="12">
        <f>IF('Données projet'!$A$114&gt;35,BY51+BX52-CG51,IF(A52&lt;'Données projet'!$A$114,$BV$205^A52,IF(A52='Données projet'!$A$114,'Données projet'!$B$114,BY51+BX52-CG51)))</f>
        <v>743.80000000000018</v>
      </c>
      <c r="BZ52" s="13">
        <f>BY52*VLOOKUP('Données projet'!$B$12,Paramètres!$A$1:$I$89,3,0)*VLOOKUP('Données projet'!$B$12,Paramètres!$A$1:$I$89,5,0)</f>
        <v>328.75960000000009</v>
      </c>
      <c r="CA52" s="13">
        <f t="shared" si="39"/>
        <v>77.173084268037925</v>
      </c>
      <c r="CB52" s="20">
        <f t="shared" si="10"/>
        <v>706.99942510016615</v>
      </c>
      <c r="CC52" s="59">
        <f t="shared" si="11"/>
        <v>1000.3327584334995</v>
      </c>
      <c r="CD52" s="59">
        <f ca="1">AVERAGE(OFFSET($CC$3,0,0,'Données projet'!$E$12+1,1))-AVERAGE(OFFSET($H$3,0,0,'Données projet'!$E$12+1,1))</f>
        <v>534.99316143569899</v>
      </c>
      <c r="CE52" s="59">
        <f t="shared" si="40"/>
        <v>449.56965858934262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49.966410391255515</v>
      </c>
      <c r="CL52" s="21">
        <f>EXP(-LN(2)/25)*CL51+(1-EXP(-LN(2)/25))/(LN(2)/25)*Calculateur!CG52*Calculateur!CI52*VLOOKUP('Données projet'!$B$12,Paramètres!$A$1:$I$89,3,0)*0.475*44/12</f>
        <v>38.242573162674766</v>
      </c>
      <c r="CM52" s="21">
        <f>EXP(-LN(2)/2)*CM51+(1-EXP(-LN(2)/2))/(LN(2)/2)*CG52*CJ52*VLOOKUP('Données projet'!$B$12,Paramètres!$A$1:$I$89,3,0)*0.475*44/12</f>
        <v>2.3417885608329678</v>
      </c>
      <c r="CN52" s="22">
        <f t="shared" si="12"/>
        <v>90.550772114763248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5.2</v>
      </c>
      <c r="CT52" s="12">
        <f>IF('Données projet'!$A$140&gt;35,CT51+CS52-DB51,IF(A52&lt;'Données projet'!$A$140,$CQ$205^A52,IF(A52='Données projet'!$A$140,'Données projet'!$B$140,CT51+CS52-DB51)))</f>
        <v>138.79999999999993</v>
      </c>
      <c r="CU52" s="17">
        <f>CT52*VLOOKUP('Données projet'!$B$13,Paramètres!$A$1:$I$89,3,0)*VLOOKUP('Données projet'!$B$13,Paramètres!$A$1:$I$89,5,0)</f>
        <v>158.06543999999991</v>
      </c>
      <c r="CV52" s="13">
        <f t="shared" si="41"/>
        <v>40.405861553601412</v>
      </c>
      <c r="CW52" s="20">
        <f t="shared" si="13"/>
        <v>345.67085020585563</v>
      </c>
      <c r="CX52" s="59">
        <f t="shared" si="14"/>
        <v>639.00418353918894</v>
      </c>
      <c r="CY52" s="59">
        <f ca="1">AVERAGE(OFFSET($CX$3,0,0,'Données projet'!$E$13+1,1))-AVERAGE(OFFSET($H$3,0,0,'Données projet'!$E$13+1,1))</f>
        <v>389.89050053480827</v>
      </c>
      <c r="CZ52" s="59">
        <f t="shared" si="42"/>
        <v>216.40816051909616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1.8223886500915323</v>
      </c>
      <c r="DG52" s="21">
        <f>EXP(-LN(2)/25)*DG51+(1-EXP(-LN(2)/25))/(LN(2)/25)*Calculateur!DB52*Calculateur!DD52*VLOOKUP('Données projet'!$B$13,Paramètres!$A$1:$I$89,3,0)*0.475*44/12</f>
        <v>0.79247222320848265</v>
      </c>
      <c r="DH52" s="21">
        <f>EXP(-LN(2)/2)*DH51+(1-EXP(-LN(2)/2))/(LN(2)/2)*DB52*DE52*VLOOKUP('Données projet'!$B$13,Paramètres!$A$1:$I$89,3,0)*0.475*44/12</f>
        <v>0.22722261906906469</v>
      </c>
      <c r="DI52" s="22">
        <f t="shared" si="15"/>
        <v>2.8420834923690794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161.05439999999999</v>
      </c>
      <c r="P53" s="13">
        <f t="shared" si="33"/>
        <v>41.080247278685491</v>
      </c>
      <c r="Q53" s="20">
        <f t="shared" si="53"/>
        <v>352.05117734371055</v>
      </c>
      <c r="R53" s="59">
        <f t="shared" si="0"/>
        <v>645.38451067704386</v>
      </c>
      <c r="S53" s="59">
        <f ca="1">AVERAGE(OFFSET($R$3,0,0,'Données projet'!$E$9+1,1))-AVERAGE(OFFSET($H$3,0,0,'Données projet'!$E$9+1,1))</f>
        <v>371.7282125501186</v>
      </c>
      <c r="T53" s="59">
        <f t="shared" si="34"/>
        <v>231.36959598460686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0.25800000000000001</v>
      </c>
      <c r="X53" s="16">
        <f>IF(ISNA(VLOOKUP(A53,'Données projet'!$A$35:$I$55,6,0)),0%,VLOOKUP(A53,'Données projet'!$A$35:$I$55,6,0)*VLOOKUP('Données projet'!$B$9,Paramètres!$A$1:$I$89,7,0))</f>
        <v>1.72E-2</v>
      </c>
      <c r="Y53" s="16">
        <f>IF(ISNA(VLOOKUP(A53,'Données projet'!$A$35:$I$55,7,0)),0%,VLOOKUP(A53,'Données projet'!$A$35:$I$55,7,0))</f>
        <v>0.06</v>
      </c>
      <c r="Z53" s="21">
        <f>EXP(-LN(2)/35)*Z52+(1-EXP(-LN(2)/35))/(LN(2)/35)*V53*W53*VLOOKUP('Données projet'!$B$9,Paramètres!$A$1:$I$89,3,0)*0.475*44/12</f>
        <v>15.975634959310195</v>
      </c>
      <c r="AA53" s="21">
        <f>EXP(-LN(2)/25)*AA52+(1-EXP(-LN(2)/25))/(LN(2)/25)*Calculateur!V53*Calculateur!X53*VLOOKUP('Données projet'!$B$9,Paramètres!$A$1:$I$89,3,0)*0.475*44/12</f>
        <v>1.6934221954394653</v>
      </c>
      <c r="AB53" s="21">
        <f>EXP(-LN(2)/2)*AB52+(1-EXP(-LN(2)/2))/(LN(2)/2)*V53*Y53*VLOOKUP('Données projet'!$B$9,Paramètres!$A$1:$I$89,3,0)*0.475*44/12</f>
        <v>1.3449323131865656</v>
      </c>
      <c r="AC53" s="22">
        <f t="shared" si="3"/>
        <v>19.013989467936224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11.860909090909091</v>
      </c>
      <c r="AI53" s="13">
        <f>IF('Données projet'!$A$62&gt;35,AI52+AH53-AQ52,IF(A53&lt;'Données projet'!$A$62,$AF$205^A53,IF(A53='Données projet'!$A$62,'Données projet'!$B$62,AI52+AH53-AQ52)))</f>
        <v>348.50818181818192</v>
      </c>
      <c r="AJ53" s="13">
        <f>AI53*VLOOKUP('Données projet'!$B$10,Paramètres!$A$1:$I$89,3,0)*VLOOKUP('Données projet'!$B$10,Paramètres!$A$1:$I$89,5,0)</f>
        <v>163.10182909090915</v>
      </c>
      <c r="AK53" s="13">
        <f t="shared" si="35"/>
        <v>41.541357872048245</v>
      </c>
      <c r="AL53" s="20">
        <f t="shared" si="4"/>
        <v>356.42021729381742</v>
      </c>
      <c r="AM53" s="59">
        <f t="shared" si="5"/>
        <v>649.75355062715073</v>
      </c>
      <c r="AN53" s="59">
        <f ca="1">AVERAGE(OFFSET($AM$3,0,0,'Données projet'!$E$10+1,1))-AVERAGE(OFFSET($H$3,0,0,'Données projet'!$E$10+1,1))</f>
        <v>218.32525311070435</v>
      </c>
      <c r="AO53" s="59">
        <f t="shared" si="36"/>
        <v>275.36315264099204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8.6285163980242601</v>
      </c>
      <c r="AV53" s="21">
        <f>EXP(-LN(2)/25)*AV52+(1-EXP(-LN(2)/25))/(LN(2)/25)*Calculateur!AQ53*Calculateur!AS53*VLOOKUP('Données projet'!$B$10,Paramètres!$A$1:$I$89,3,0)*0.475*44/12</f>
        <v>7.8954930183774064</v>
      </c>
      <c r="AW53" s="21">
        <f>EXP(-LN(2)/2)*AW52+(1-EXP(-LN(2)/2))/(LN(2)/2)*AQ53*AT53*VLOOKUP('Données projet'!$B$10,Paramètres!$A$1:$I$89,3,0)*0.475*44/12</f>
        <v>0.45964637985438456</v>
      </c>
      <c r="AX53" s="21">
        <f t="shared" si="6"/>
        <v>16.983655796256052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311</v>
      </c>
      <c r="BB53" s="12">
        <f>VLOOKUP(A53,'Données projet'!$A$87:$I$107,9,0)</f>
        <v>9.8000000000000007</v>
      </c>
      <c r="BC53" s="12">
        <f t="array" ref="BC53">INDEX(BB:BB,MIN(IF(ISNUMBER(BB53:BB249),ROW(BB53:BB249),"")))</f>
        <v>9.8000000000000007</v>
      </c>
      <c r="BD53" s="12">
        <f>IF('Données projet'!$A$88&gt;35,BD52+BC53-BL52,IF(A53&lt;'Données projet'!$A$88,$BA$205^A53,IF(A53='Données projet'!$A$88,'Données projet'!$B$88,BD52+BC53-BL52)))</f>
        <v>310.99999999999994</v>
      </c>
      <c r="BE53" s="13">
        <f>BD53*VLOOKUP('Données projet'!$B$11,Paramètres!$A$1:$I$89,3,0)*VLOOKUP('Données projet'!$B$11,Paramètres!$A$1:$I$89,5,0)</f>
        <v>295.94759999999991</v>
      </c>
      <c r="BF53" s="13">
        <f t="shared" si="37"/>
        <v>70.326253521716808</v>
      </c>
      <c r="BG53" s="20">
        <f t="shared" si="7"/>
        <v>637.9269615503232</v>
      </c>
      <c r="BH53" s="59">
        <f t="shared" si="8"/>
        <v>931.26029488365657</v>
      </c>
      <c r="BI53" s="59">
        <f ca="1">AVERAGE(OFFSET($BH$3,0,0,'Données projet'!$E$11+1,1))-AVERAGE(OFFSET($H$3,0,0,'Données projet'!$E$11+1,1))</f>
        <v>446.62872871405051</v>
      </c>
      <c r="BJ53" s="59">
        <f t="shared" si="38"/>
        <v>471.28934889691658</v>
      </c>
      <c r="BK53" s="15">
        <f>IF(ISNA(VLOOKUP(A53,'Données projet'!$A$87:$I$107,3,0)),0,VLOOKUP(A53,'Données projet'!$A$87:$I$107,3,0))</f>
        <v>9</v>
      </c>
      <c r="BL53" s="15">
        <f>IF(ISNA(VLOOKUP(A53,'Données projet'!$A$87:$I$107,4,0)),0,VLOOKUP(A53,'Données projet'!$A$87:$I$107,4,0))</f>
        <v>29</v>
      </c>
      <c r="BM53" s="16">
        <f>IF(ISNA(VLOOKUP(A53,'Données projet'!$A$87:$I$107,5,0)),0%,VLOOKUP(A53,'Données projet'!$A$87:$I$107,5,0)*VLOOKUP('Données projet'!$B$11,Paramètres!$A$1:$I$89,7,0))</f>
        <v>0.34400000000000003</v>
      </c>
      <c r="BN53" s="16">
        <f>IF(ISNA(VLOOKUP(A53,'Données projet'!$A$87:$I$107,6,0)),0%,VLOOKUP(A53,'Données projet'!$A$87:$I$107,6,0)*VLOOKUP('Données projet'!$B$11,Paramètres!$A$1:$I$89,7,0))</f>
        <v>1.72E-2</v>
      </c>
      <c r="BO53" s="16">
        <f>IF(ISNA(VLOOKUP(A53,'Données projet'!$A$87:$I$107,7,0)),0%,VLOOKUP(A53,'Données projet'!$A$87:$I$107,7,0))</f>
        <v>0.06</v>
      </c>
      <c r="BP53" s="21">
        <f>EXP(-LN(2)/35)*BP52+(1-EXP(-LN(2)/35))/(LN(2)/35)*BL53*BM53*VLOOKUP('Données projet'!$B$11,Paramètres!$A$1:$I$89,3,0)*0.475*44/12</f>
        <v>38.191896571199642</v>
      </c>
      <c r="BQ53" s="21">
        <f>EXP(-LN(2)/25)*BQ52+(1-EXP(-LN(2)/25))/(LN(2)/25)*Calculateur!BL53*Calculateur!BN53*VLOOKUP('Données projet'!$B$11,Paramètres!$A$1:$I$89,3,0)*0.475*44/12</f>
        <v>3.0782874367135222</v>
      </c>
      <c r="BR53" s="21">
        <f>EXP(-LN(2)/2)*BR52+(1-EXP(-LN(2)/2))/(LN(2)/2)*BL53*BO53*VLOOKUP('Données projet'!$B$11,Paramètres!$A$1:$I$89,3,0)*0.475*44/12</f>
        <v>1.8993826388631052</v>
      </c>
      <c r="BS53" s="22">
        <f t="shared" si="9"/>
        <v>43.169566646776268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773</v>
      </c>
      <c r="BW53" s="12">
        <f>VLOOKUP(A53,'Données projet'!$A$113:$I$133,9,0)</f>
        <v>29.2</v>
      </c>
      <c r="BX53" s="12">
        <f t="array" ref="BX53">INDEX(BW:BW,MIN(IF(ISNUMBER(BW53:BW249),ROW(BW53:BW249),"")))</f>
        <v>29.2</v>
      </c>
      <c r="BY53" s="12">
        <f>IF('Données projet'!$A$114&gt;35,BY52+BX53-CG52,IF(A53&lt;'Données projet'!$A$114,$BV$205^A53,IF(A53='Données projet'!$A$114,'Données projet'!$B$114,BY52+BX53-CG52)))</f>
        <v>773.00000000000023</v>
      </c>
      <c r="BZ53" s="13">
        <f>BY53*VLOOKUP('Données projet'!$B$12,Paramètres!$A$1:$I$89,3,0)*VLOOKUP('Données projet'!$B$12,Paramètres!$A$1:$I$89,5,0)</f>
        <v>341.66600000000017</v>
      </c>
      <c r="CA53" s="13">
        <f t="shared" si="39"/>
        <v>79.84405458764067</v>
      </c>
      <c r="CB53" s="20">
        <f t="shared" si="10"/>
        <v>734.13001174014119</v>
      </c>
      <c r="CC53" s="59">
        <f t="shared" si="11"/>
        <v>1027.4633450734746</v>
      </c>
      <c r="CD53" s="59">
        <f ca="1">AVERAGE(OFFSET($CC$3,0,0,'Données projet'!$E$12+1,1))-AVERAGE(OFFSET($H$3,0,0,'Données projet'!$E$12+1,1))</f>
        <v>534.99316143569899</v>
      </c>
      <c r="CE53" s="59">
        <f t="shared" si="40"/>
        <v>449.56965858934262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63</v>
      </c>
      <c r="CH53" s="16">
        <f>IF(ISNA(VLOOKUP(A53,'Données projet'!$A$113:$I$133,5,0)),0%,VLOOKUP(A53,'Données projet'!$A$113:$I$133,5,0)*VLOOKUP('Données projet'!$B$12,Paramètres!$A$1:$I$89,7,0))</f>
        <v>0.33</v>
      </c>
      <c r="CI53" s="16">
        <f>IF(ISNA(VLOOKUP(A53,'Données projet'!$A$113:$I$133,6,0)),0%,VLOOKUP(A53,'Données projet'!$A$113:$I$133,6,0)*VLOOKUP('Données projet'!$B$12,Paramètres!$A$1:$I$89,7,0))</f>
        <v>0.13750000000000001</v>
      </c>
      <c r="CJ53" s="16">
        <f>IF(ISNA(VLOOKUP(A53,'Données projet'!$A$113:$I$133,7,0)),0%,VLOOKUP(A53,'Données projet'!$A$113:$I$133,7,0))</f>
        <v>0.15</v>
      </c>
      <c r="CK53" s="21">
        <f>EXP(-LN(2)/35)*CK52+(1-EXP(-LN(2)/35))/(LN(2)/35)*CG53*CH53*VLOOKUP('Données projet'!$B$12,Paramètres!$A$1:$I$89,3,0)*0.475*44/12</f>
        <v>61.176639122619946</v>
      </c>
      <c r="CL53" s="21">
        <f>EXP(-LN(2)/25)*CL52+(1-EXP(-LN(2)/25))/(LN(2)/25)*Calculateur!CG53*Calculateur!CI53*VLOOKUP('Données projet'!$B$12,Paramètres!$A$1:$I$89,3,0)*0.475*44/12</f>
        <v>42.256012460163824</v>
      </c>
      <c r="CM53" s="21">
        <f>EXP(-LN(2)/2)*CM52+(1-EXP(-LN(2)/2))/(LN(2)/2)*CG53*CJ53*VLOOKUP('Données projet'!$B$12,Paramètres!$A$1:$I$89,3,0)*0.475*44/12</f>
        <v>6.3851156550083727</v>
      </c>
      <c r="CN53" s="22">
        <f t="shared" si="12"/>
        <v>109.81776723779214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144</v>
      </c>
      <c r="CR53" s="12">
        <f>VLOOKUP(A53,'Données projet'!$A$139:$I$159,9,0)</f>
        <v>5.2</v>
      </c>
      <c r="CS53" s="12">
        <f t="array" ref="CS53">INDEX(CR:CR,MIN(IF(ISNUMBER(CR53:CR249),ROW(CR53:CR249),"")))</f>
        <v>5.2</v>
      </c>
      <c r="CT53" s="12">
        <f>IF('Données projet'!$A$140&gt;35,CT52+CS53-DB52,IF(A53&lt;'Données projet'!$A$140,$CQ$205^A53,IF(A53='Données projet'!$A$140,'Données projet'!$B$140,CT52+CS53-DB52)))</f>
        <v>143.99999999999991</v>
      </c>
      <c r="CU53" s="17">
        <f>CT53*VLOOKUP('Données projet'!$B$13,Paramètres!$A$1:$I$89,3,0)*VLOOKUP('Données projet'!$B$13,Paramètres!$A$1:$I$89,5,0)</f>
        <v>163.98719999999989</v>
      </c>
      <c r="CV53" s="13">
        <f t="shared" si="41"/>
        <v>41.74054710573332</v>
      </c>
      <c r="CW53" s="20">
        <f t="shared" si="13"/>
        <v>358.3091595424853</v>
      </c>
      <c r="CX53" s="59">
        <f t="shared" si="14"/>
        <v>651.64249287581856</v>
      </c>
      <c r="CY53" s="59">
        <f ca="1">AVERAGE(OFFSET($CX$3,0,0,'Données projet'!$E$13+1,1))-AVERAGE(OFFSET($H$3,0,0,'Données projet'!$E$13+1,1))</f>
        <v>389.89050053480827</v>
      </c>
      <c r="CZ53" s="59">
        <f t="shared" si="42"/>
        <v>216.40816051909616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10</v>
      </c>
      <c r="DC53" s="16">
        <f>IF(ISNA(VLOOKUP(A53,'Données projet'!$A$139:$I$159,5,0)),0%,VLOOKUP(A53,'Données projet'!$A$139:$I$159,5,0)*VLOOKUP('Données projet'!$B$13,Paramètres!$A$1:$I$89,7,0))</f>
        <v>8.6000000000000007E-2</v>
      </c>
      <c r="DD53" s="16">
        <f>IF(ISNA(VLOOKUP(A53,'Données projet'!$A$139:$I$159,6,0)),0%,VLOOKUP(A53,'Données projet'!$A$139:$I$159,6,0)*VLOOKUP('Données projet'!$B$13,Paramètres!$A$1:$I$89,7,0))</f>
        <v>1.72E-2</v>
      </c>
      <c r="DE53" s="16">
        <f>IF(ISNA(VLOOKUP(A53,'Données projet'!$A$139:$I$159,7,0)),0%,VLOOKUP(A53,'Données projet'!$A$139:$I$159,7,0))</f>
        <v>0.06</v>
      </c>
      <c r="DF53" s="21">
        <f>EXP(-LN(2)/35)*DF52+(1-EXP(-LN(2)/35))/(LN(2)/35)*DB53*DC53*VLOOKUP('Données projet'!$B$13,Paramètres!$A$1:$I$89,3,0)*0.475*44/12</f>
        <v>2.8693150348729843</v>
      </c>
      <c r="DG53" s="21">
        <f>EXP(-LN(2)/25)*DG52+(1-EXP(-LN(2)/25))/(LN(2)/25)*Calculateur!DB53*Calculateur!DD53*VLOOKUP('Données projet'!$B$13,Paramètres!$A$1:$I$89,3,0)*0.475*44/12</f>
        <v>0.98648192071112706</v>
      </c>
      <c r="DH53" s="21">
        <f>EXP(-LN(2)/2)*DH52+(1-EXP(-LN(2)/2))/(LN(2)/2)*DB53*DE53*VLOOKUP('Données projet'!$B$13,Paramètres!$A$1:$I$89,3,0)*0.475*44/12</f>
        <v>0.805363724994273</v>
      </c>
      <c r="DI53" s="22">
        <f t="shared" si="15"/>
        <v>4.6611606805783845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149.29199999999997</v>
      </c>
      <c r="P54" s="13">
        <f t="shared" si="33"/>
        <v>38.417645803815411</v>
      </c>
      <c r="Q54" s="20">
        <f t="shared" si="53"/>
        <v>326.9276331083118</v>
      </c>
      <c r="R54" s="59">
        <f t="shared" si="0"/>
        <v>620.26096644164511</v>
      </c>
      <c r="S54" s="59">
        <f ca="1">AVERAGE(OFFSET($R$3,0,0,'Données projet'!$E$9+1,1))-AVERAGE(OFFSET($H$3,0,0,'Données projet'!$E$9+1,1))</f>
        <v>371.7282125501186</v>
      </c>
      <c r="T54" s="59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15.662362501933289</v>
      </c>
      <c r="AA54" s="21">
        <f>EXP(-LN(2)/25)*AA53+(1-EXP(-LN(2)/25))/(LN(2)/25)*Calculateur!V54*Calculateur!X54*VLOOKUP('Données projet'!$B$9,Paramètres!$A$1:$I$89,3,0)*0.475*44/12</f>
        <v>1.6471154764519702</v>
      </c>
      <c r="AB54" s="21">
        <f>EXP(-LN(2)/2)*AB53+(1-EXP(-LN(2)/2))/(LN(2)/2)*V54*Y54*VLOOKUP('Données projet'!$B$9,Paramètres!$A$1:$I$89,3,0)*0.475*44/12</f>
        <v>0.95101075889113007</v>
      </c>
      <c r="AC54" s="22">
        <f t="shared" si="3"/>
        <v>18.26048873727639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11.860909090909091</v>
      </c>
      <c r="AI54" s="13">
        <f>IF('Données projet'!$A$62&gt;35,AI53+AH54-AQ53,IF(A54&lt;'Données projet'!$A$62,$AF$205^A54,IF(A54='Données projet'!$A$62,'Données projet'!$B$62,AI53+AH54-AQ53)))</f>
        <v>360.36909090909103</v>
      </c>
      <c r="AJ54" s="13">
        <f>AI54*VLOOKUP('Données projet'!$B$10,Paramètres!$A$1:$I$89,3,0)*VLOOKUP('Données projet'!$B$10,Paramètres!$A$1:$I$89,5,0)</f>
        <v>168.65273454545459</v>
      </c>
      <c r="AK54" s="13">
        <f t="shared" si="35"/>
        <v>42.78814135310045</v>
      </c>
      <c r="AL54" s="20">
        <f t="shared" si="4"/>
        <v>368.25952552331665</v>
      </c>
      <c r="AM54" s="59">
        <f t="shared" si="5"/>
        <v>661.59285885664997</v>
      </c>
      <c r="AN54" s="59">
        <f ca="1">AVERAGE(OFFSET($AM$3,0,0,'Données projet'!$E$10+1,1))-AVERAGE(OFFSET($H$3,0,0,'Données projet'!$E$10+1,1))</f>
        <v>218.32525311070435</v>
      </c>
      <c r="AO54" s="59">
        <f t="shared" si="36"/>
        <v>275.36315264099204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8.459316454334342</v>
      </c>
      <c r="AV54" s="21">
        <f>EXP(-LN(2)/25)*AV53+(1-EXP(-LN(2)/25))/(LN(2)/25)*Calculateur!AQ54*Calculateur!AS54*VLOOKUP('Données projet'!$B$10,Paramètres!$A$1:$I$89,3,0)*0.475*44/12</f>
        <v>7.6795903465839439</v>
      </c>
      <c r="AW54" s="21">
        <f>EXP(-LN(2)/2)*AW53+(1-EXP(-LN(2)/2))/(LN(2)/2)*AQ54*AT54*VLOOKUP('Données projet'!$B$10,Paramètres!$A$1:$I$89,3,0)*0.475*44/12</f>
        <v>0.325019072142883</v>
      </c>
      <c r="AX54" s="21">
        <f t="shared" si="6"/>
        <v>16.463925873061168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9.1999999999999993</v>
      </c>
      <c r="BD54" s="12">
        <f>IF('Données projet'!$A$88&gt;35,BD53+BC54-BL53,IF(A54&lt;'Données projet'!$A$88,$BA$205^A54,IF(A54='Données projet'!$A$88,'Données projet'!$B$88,BD53+BC54-BL53)))</f>
        <v>291.19999999999993</v>
      </c>
      <c r="BE54" s="13">
        <f>BD54*VLOOKUP('Données projet'!$B$11,Paramètres!$A$1:$I$89,3,0)*VLOOKUP('Données projet'!$B$11,Paramètres!$A$1:$I$89,5,0)</f>
        <v>277.10591999999991</v>
      </c>
      <c r="BF54" s="13">
        <f t="shared" si="37"/>
        <v>66.355037246694323</v>
      </c>
      <c r="BG54" s="20">
        <f t="shared" si="7"/>
        <v>598.19450053799244</v>
      </c>
      <c r="BH54" s="59">
        <f t="shared" si="8"/>
        <v>891.52783387132581</v>
      </c>
      <c r="BI54" s="59">
        <f ca="1">AVERAGE(OFFSET($BH$3,0,0,'Données projet'!$E$11+1,1))-AVERAGE(OFFSET($H$3,0,0,'Données projet'!$E$11+1,1))</f>
        <v>446.62872871405051</v>
      </c>
      <c r="BJ54" s="59">
        <f t="shared" si="38"/>
        <v>471.28934889691658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37.442976774195159</v>
      </c>
      <c r="BQ54" s="21">
        <f>EXP(-LN(2)/25)*BQ53+(1-EXP(-LN(2)/25))/(LN(2)/25)*Calculateur!BL54*Calculateur!BN54*VLOOKUP('Données projet'!$B$11,Paramètres!$A$1:$I$89,3,0)*0.475*44/12</f>
        <v>2.9941115048764901</v>
      </c>
      <c r="BR54" s="21">
        <f>EXP(-LN(2)/2)*BR53+(1-EXP(-LN(2)/2))/(LN(2)/2)*BL54*BO54*VLOOKUP('Données projet'!$B$11,Paramètres!$A$1:$I$89,3,0)*0.475*44/12</f>
        <v>1.343066344008101</v>
      </c>
      <c r="BS54" s="22">
        <f t="shared" si="9"/>
        <v>41.780154623079753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25.8</v>
      </c>
      <c r="BY54" s="12">
        <f>IF('Données projet'!$A$114&gt;35,BY53+BX54-CG53,IF(A54&lt;'Données projet'!$A$114,$BV$205^A54,IF(A54='Données projet'!$A$114,'Données projet'!$B$114,BY53+BX54-CG53)))</f>
        <v>735.80000000000018</v>
      </c>
      <c r="BZ54" s="13">
        <f>BY54*VLOOKUP('Données projet'!$B$12,Paramètres!$A$1:$I$89,3,0)*VLOOKUP('Données projet'!$B$12,Paramètres!$A$1:$I$89,5,0)</f>
        <v>325.22360000000009</v>
      </c>
      <c r="CA54" s="13">
        <f t="shared" si="39"/>
        <v>76.439198875311163</v>
      </c>
      <c r="CB54" s="20">
        <f t="shared" si="10"/>
        <v>699.56270804116718</v>
      </c>
      <c r="CC54" s="59">
        <f t="shared" si="11"/>
        <v>992.89604137450056</v>
      </c>
      <c r="CD54" s="59">
        <f ca="1">AVERAGE(OFFSET($CC$3,0,0,'Données projet'!$E$12+1,1))-AVERAGE(OFFSET($H$3,0,0,'Données projet'!$E$12+1,1))</f>
        <v>534.99316143569899</v>
      </c>
      <c r="CE54" s="59">
        <f t="shared" si="40"/>
        <v>449.56965858934262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59.977002543490777</v>
      </c>
      <c r="CL54" s="21">
        <f>EXP(-LN(2)/25)*CL53+(1-EXP(-LN(2)/25))/(LN(2)/25)*Calculateur!CG54*Calculateur!CI54*VLOOKUP('Données projet'!$B$12,Paramètres!$A$1:$I$89,3,0)*0.475*44/12</f>
        <v>41.100519577293525</v>
      </c>
      <c r="CM54" s="21">
        <f>EXP(-LN(2)/2)*CM53+(1-EXP(-LN(2)/2))/(LN(2)/2)*CG54*CJ54*VLOOKUP('Données projet'!$B$12,Paramètres!$A$1:$I$89,3,0)*0.475*44/12</f>
        <v>4.5149585783168051</v>
      </c>
      <c r="CN54" s="22">
        <f t="shared" si="12"/>
        <v>105.5924806991011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138.79999999999993</v>
      </c>
      <c r="CU54" s="17">
        <f>CT54*VLOOKUP('Données projet'!$B$13,Paramètres!$A$1:$I$89,3,0)*VLOOKUP('Données projet'!$B$13,Paramètres!$A$1:$I$89,5,0)</f>
        <v>158.06543999999991</v>
      </c>
      <c r="CV54" s="13">
        <f t="shared" si="41"/>
        <v>40.405861553601412</v>
      </c>
      <c r="CW54" s="20">
        <f t="shared" si="13"/>
        <v>345.67085020585563</v>
      </c>
      <c r="CX54" s="59">
        <f t="shared" si="14"/>
        <v>639.00418353918894</v>
      </c>
      <c r="CY54" s="59">
        <f ca="1">AVERAGE(OFFSET($CX$3,0,0,'Données projet'!$E$13+1,1))-AVERAGE(OFFSET($H$3,0,0,'Données projet'!$E$13+1,1))</f>
        <v>389.89050053480827</v>
      </c>
      <c r="CZ54" s="59">
        <f t="shared" si="42"/>
        <v>216.40816051909616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2.8130495171484875</v>
      </c>
      <c r="DG54" s="21">
        <f>EXP(-LN(2)/25)*DG53+(1-EXP(-LN(2)/25))/(LN(2)/25)*Calculateur!DB54*Calculateur!DD54*VLOOKUP('Données projet'!$B$13,Paramètres!$A$1:$I$89,3,0)*0.475*44/12</f>
        <v>0.95950652071245168</v>
      </c>
      <c r="DH54" s="21">
        <f>EXP(-LN(2)/2)*DH53+(1-EXP(-LN(2)/2))/(LN(2)/2)*DB54*DE54*VLOOKUP('Données projet'!$B$13,Paramètres!$A$1:$I$89,3,0)*0.475*44/12</f>
        <v>0.56947815126510826</v>
      </c>
      <c r="DI54" s="22">
        <f t="shared" si="15"/>
        <v>4.3420341891260472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156.53039999999999</v>
      </c>
      <c r="P55" s="13">
        <f t="shared" si="33"/>
        <v>40.058941713182037</v>
      </c>
      <c r="Q55" s="20">
        <f t="shared" si="53"/>
        <v>342.393103483792</v>
      </c>
      <c r="R55" s="59">
        <f t="shared" si="0"/>
        <v>635.72643681712532</v>
      </c>
      <c r="S55" s="59">
        <f ca="1">AVERAGE(OFFSET($R$3,0,0,'Données projet'!$E$9+1,1))-AVERAGE(OFFSET($H$3,0,0,'Données projet'!$E$9+1,1))</f>
        <v>371.7282125501186</v>
      </c>
      <c r="T55" s="59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15.355233126368214</v>
      </c>
      <c r="AA55" s="21">
        <f>EXP(-LN(2)/25)*AA54+(1-EXP(-LN(2)/25))/(LN(2)/25)*Calculateur!V55*Calculateur!X55*VLOOKUP('Données projet'!$B$9,Paramètres!$A$1:$I$89,3,0)*0.475*44/12</f>
        <v>1.6020750171303526</v>
      </c>
      <c r="AB55" s="21">
        <f>EXP(-LN(2)/2)*AB54+(1-EXP(-LN(2)/2))/(LN(2)/2)*V55*Y55*VLOOKUP('Données projet'!$B$9,Paramètres!$A$1:$I$89,3,0)*0.475*44/12</f>
        <v>0.6724661565932829</v>
      </c>
      <c r="AC55" s="22">
        <f t="shared" si="3"/>
        <v>17.629774300091849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372.23</v>
      </c>
      <c r="AG55" s="12">
        <f>VLOOKUP(A55,'Données projet'!$A$61:$I$81,9,0)</f>
        <v>11.860909090909091</v>
      </c>
      <c r="AH55" s="12">
        <f t="array" ref="AH55">INDEX(AG:AG,MIN(IF(ISNUMBER(AG55:AG251),ROW(AG55:AG251),"")))</f>
        <v>11.860909090909091</v>
      </c>
      <c r="AI55" s="13">
        <f>IF('Données projet'!$A$62&gt;35,AI54+AH55-AQ54,IF(A55&lt;'Données projet'!$A$62,$AF$205^A55,IF(A55='Données projet'!$A$62,'Données projet'!$B$62,AI54+AH55-AQ54)))</f>
        <v>372.23000000000013</v>
      </c>
      <c r="AJ55" s="13">
        <f>AI55*VLOOKUP('Données projet'!$B$10,Paramètres!$A$1:$I$89,3,0)*VLOOKUP('Données projet'!$B$10,Paramètres!$A$1:$I$89,5,0)</f>
        <v>174.20364000000006</v>
      </c>
      <c r="AK55" s="13">
        <f t="shared" si="35"/>
        <v>44.030156511214884</v>
      </c>
      <c r="AL55" s="20">
        <f t="shared" si="4"/>
        <v>380.09052892369937</v>
      </c>
      <c r="AM55" s="59">
        <f t="shared" si="5"/>
        <v>673.42386225703262</v>
      </c>
      <c r="AN55" s="59">
        <f ca="1">AVERAGE(OFFSET($AM$3,0,0,'Données projet'!$E$10+1,1))-AVERAGE(OFFSET($H$3,0,0,'Données projet'!$E$10+1,1))</f>
        <v>218.32525311070435</v>
      </c>
      <c r="AO55" s="59">
        <f t="shared" si="36"/>
        <v>275.36315264099204</v>
      </c>
      <c r="AP55" s="15">
        <f>IF(ISNA(VLOOKUP(A55,'Données projet'!$A$61:$I$81,3,0)),0,VLOOKUP(A55,'Données projet'!$A$61:$I$81,3,0))</f>
        <v>4</v>
      </c>
      <c r="AQ55" s="15">
        <f>IF(ISNA(VLOOKUP(A55,'Données projet'!$A$61:$I$81,4,0)),0,VLOOKUP(A55,'Données projet'!$A$61:$I$81,4,0))</f>
        <v>74.45</v>
      </c>
      <c r="AR55" s="16">
        <f>IF(ISNA(VLOOKUP(A55,'Données projet'!$A$61:$I$81,5,0)),0%,VLOOKUP(A55,'Données projet'!$A$61:$I$81,5,0)*VLOOKUP('Données projet'!$B$10,Paramètres!$A$1:$I$89,7,0))</f>
        <v>0.27500000000000002</v>
      </c>
      <c r="AS55" s="16">
        <f>IF(ISNA(VLOOKUP(A55,'Données projet'!$A$61:$I$81,6,0)),0%,VLOOKUP(A55,'Données projet'!$A$61:$I$81,6,0)*VLOOKUP('Données projet'!$B$10,Paramètres!$A$1:$I$89,7,0))</f>
        <v>0.11000000000000001</v>
      </c>
      <c r="AT55" s="16">
        <f>IF(ISNA(VLOOKUP(A55,'Données projet'!$A$61:$I$81,7,0)),0%,VLOOKUP(A55,'Données projet'!$A$61:$I$81,7,0))</f>
        <v>0.3</v>
      </c>
      <c r="AU55" s="21">
        <f>EXP(-LN(2)/35)*AU54+(1-EXP(-LN(2)/35))/(LN(2)/35)*AQ55*AR55*VLOOKUP('Données projet'!$B$10,Paramètres!$A$1:$I$89,3,0)*0.475*44/12</f>
        <v>21.004196959490287</v>
      </c>
      <c r="AV55" s="21">
        <f>EXP(-LN(2)/25)*AV54+(1-EXP(-LN(2)/25))/(LN(2)/25)*Calculateur!AQ55*Calculateur!AS55*VLOOKUP('Données projet'!$B$10,Paramètres!$A$1:$I$89,3,0)*0.475*44/12</f>
        <v>12.533877715043355</v>
      </c>
      <c r="AW55" s="21">
        <f>EXP(-LN(2)/2)*AW54+(1-EXP(-LN(2)/2))/(LN(2)/2)*AQ55*AT55*VLOOKUP('Données projet'!$B$10,Paramètres!$A$1:$I$89,3,0)*0.475*44/12</f>
        <v>12.064798304865885</v>
      </c>
      <c r="AX55" s="21">
        <f t="shared" si="6"/>
        <v>45.602872979399521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9.1999999999999993</v>
      </c>
      <c r="BD55" s="12">
        <f>IF('Données projet'!$A$88&gt;35,BD54+BC55-BL54,IF(A55&lt;'Données projet'!$A$88,$BA$205^A55,IF(A55='Données projet'!$A$88,'Données projet'!$B$88,BD54+BC55-BL54)))</f>
        <v>300.39999999999992</v>
      </c>
      <c r="BE55" s="13">
        <f>BD55*VLOOKUP('Données projet'!$B$11,Paramètres!$A$1:$I$89,3,0)*VLOOKUP('Données projet'!$B$11,Paramètres!$A$1:$I$89,5,0)</f>
        <v>285.86063999999993</v>
      </c>
      <c r="BF55" s="13">
        <f t="shared" si="37"/>
        <v>68.20403347248218</v>
      </c>
      <c r="BG55" s="20">
        <f t="shared" si="7"/>
        <v>616.66263963123959</v>
      </c>
      <c r="BH55" s="59">
        <f t="shared" si="8"/>
        <v>909.99597296457296</v>
      </c>
      <c r="BI55" s="59">
        <f ca="1">AVERAGE(OFFSET($BH$3,0,0,'Données projet'!$E$11+1,1))-AVERAGE(OFFSET($H$3,0,0,'Données projet'!$E$11+1,1))</f>
        <v>446.62872871405051</v>
      </c>
      <c r="BJ55" s="59">
        <f t="shared" si="38"/>
        <v>471.28934889691658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36.708742837613961</v>
      </c>
      <c r="BQ55" s="21">
        <f>EXP(-LN(2)/25)*BQ54+(1-EXP(-LN(2)/25))/(LN(2)/25)*Calculateur!BL55*Calculateur!BN55*VLOOKUP('Données projet'!$B$11,Paramètres!$A$1:$I$89,3,0)*0.475*44/12</f>
        <v>2.9122373683221614</v>
      </c>
      <c r="BR55" s="21">
        <f>EXP(-LN(2)/2)*BR54+(1-EXP(-LN(2)/2))/(LN(2)/2)*BL55*BO55*VLOOKUP('Données projet'!$B$11,Paramètres!$A$1:$I$89,3,0)*0.475*44/12</f>
        <v>0.94969131943155272</v>
      </c>
      <c r="BS55" s="22">
        <f t="shared" si="9"/>
        <v>40.570671525367672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25.8</v>
      </c>
      <c r="BY55" s="12">
        <f>IF('Données projet'!$A$114&gt;35,BY54+BX55-CG54,IF(A55&lt;'Données projet'!$A$114,$BV$205^A55,IF(A55='Données projet'!$A$114,'Données projet'!$B$114,BY54+BX55-CG54)))</f>
        <v>761.60000000000014</v>
      </c>
      <c r="BZ55" s="13">
        <f>BY55*VLOOKUP('Données projet'!$B$12,Paramètres!$A$1:$I$89,3,0)*VLOOKUP('Données projet'!$B$12,Paramètres!$A$1:$I$89,5,0)</f>
        <v>336.62720000000013</v>
      </c>
      <c r="CA55" s="13">
        <f t="shared" si="39"/>
        <v>78.802700776949294</v>
      </c>
      <c r="CB55" s="20">
        <f t="shared" si="10"/>
        <v>723.54041051985348</v>
      </c>
      <c r="CC55" s="59">
        <f t="shared" si="11"/>
        <v>1016.8737438531869</v>
      </c>
      <c r="CD55" s="59">
        <f ca="1">AVERAGE(OFFSET($CC$3,0,0,'Données projet'!$E$12+1,1))-AVERAGE(OFFSET($H$3,0,0,'Données projet'!$E$12+1,1))</f>
        <v>534.99316143569899</v>
      </c>
      <c r="CE55" s="59">
        <f t="shared" si="40"/>
        <v>449.56965858934262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58.800890105972265</v>
      </c>
      <c r="CL55" s="21">
        <f>EXP(-LN(2)/25)*CL54+(1-EXP(-LN(2)/25))/(LN(2)/25)*Calculateur!CG55*Calculateur!CI55*VLOOKUP('Données projet'!$B$12,Paramètres!$A$1:$I$89,3,0)*0.475*44/12</f>
        <v>39.976623708070044</v>
      </c>
      <c r="CM55" s="21">
        <f>EXP(-LN(2)/2)*CM54+(1-EXP(-LN(2)/2))/(LN(2)/2)*CG55*CJ55*VLOOKUP('Données projet'!$B$12,Paramètres!$A$1:$I$89,3,0)*0.475*44/12</f>
        <v>3.1925578275041873</v>
      </c>
      <c r="CN55" s="22">
        <f t="shared" si="12"/>
        <v>101.9700716415465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143.59999999999994</v>
      </c>
      <c r="CU55" s="17">
        <f>CT55*VLOOKUP('Données projet'!$B$13,Paramètres!$A$1:$I$89,3,0)*VLOOKUP('Données projet'!$B$13,Paramètres!$A$1:$I$89,5,0)</f>
        <v>163.53167999999991</v>
      </c>
      <c r="CV55" s="13">
        <f t="shared" si="41"/>
        <v>41.638080671909066</v>
      </c>
      <c r="CW55" s="20">
        <f t="shared" si="13"/>
        <v>357.33733317024149</v>
      </c>
      <c r="CX55" s="59">
        <f t="shared" si="14"/>
        <v>650.67066650357481</v>
      </c>
      <c r="CY55" s="59">
        <f ca="1">AVERAGE(OFFSET($CX$3,0,0,'Données projet'!$E$13+1,1))-AVERAGE(OFFSET($H$3,0,0,'Données projet'!$E$13+1,1))</f>
        <v>389.89050053480827</v>
      </c>
      <c r="CZ55" s="59">
        <f t="shared" si="42"/>
        <v>216.40816051909616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2.7578873319079911</v>
      </c>
      <c r="DG55" s="21">
        <f>EXP(-LN(2)/25)*DG54+(1-EXP(-LN(2)/25))/(LN(2)/25)*Calculateur!DB55*Calculateur!DD55*VLOOKUP('Données projet'!$B$13,Paramètres!$A$1:$I$89,3,0)*0.475*44/12</f>
        <v>0.9332687644453147</v>
      </c>
      <c r="DH55" s="21">
        <f>EXP(-LN(2)/2)*DH54+(1-EXP(-LN(2)/2))/(LN(2)/2)*DB55*DE55*VLOOKUP('Données projet'!$B$13,Paramètres!$A$1:$I$89,3,0)*0.475*44/12</f>
        <v>0.40268186249713656</v>
      </c>
      <c r="DI55" s="22">
        <f t="shared" si="15"/>
        <v>4.0938379588504423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163.7688</v>
      </c>
      <c r="P56" s="13">
        <f t="shared" si="33"/>
        <v>41.691423503509803</v>
      </c>
      <c r="Q56" s="20">
        <f t="shared" si="53"/>
        <v>357.84322260194625</v>
      </c>
      <c r="R56" s="59">
        <f t="shared" si="0"/>
        <v>651.17655593527957</v>
      </c>
      <c r="S56" s="59">
        <f ca="1">AVERAGE(OFFSET($R$3,0,0,'Données projet'!$E$9+1,1))-AVERAGE(OFFSET($H$3,0,0,'Données projet'!$E$9+1,1))</f>
        <v>371.7282125501186</v>
      </c>
      <c r="T56" s="59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15.054126370527548</v>
      </c>
      <c r="AA56" s="21">
        <f>EXP(-LN(2)/25)*AA55+(1-EXP(-LN(2)/25))/(LN(2)/25)*Calculateur!V56*Calculateur!X56*VLOOKUP('Données projet'!$B$9,Paramètres!$A$1:$I$89,3,0)*0.475*44/12</f>
        <v>1.5582661915374596</v>
      </c>
      <c r="AB56" s="21">
        <f>EXP(-LN(2)/2)*AB55+(1-EXP(-LN(2)/2))/(LN(2)/2)*V56*Y56*VLOOKUP('Données projet'!$B$9,Paramètres!$A$1:$I$89,3,0)*0.475*44/12</f>
        <v>0.47550537944556515</v>
      </c>
      <c r="AC56" s="22">
        <f t="shared" si="3"/>
        <v>17.087897941510573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13.499999999999993</v>
      </c>
      <c r="AI56" s="13">
        <f>IF('Données projet'!$A$62&gt;35,AI55+AH56-AQ55,IF(A56&lt;'Données projet'!$A$62,$AF$205^A56,IF(A56='Données projet'!$A$62,'Données projet'!$B$62,AI55+AH56-AQ55)))</f>
        <v>311.28000000000014</v>
      </c>
      <c r="AJ56" s="13">
        <f>AI56*VLOOKUP('Données projet'!$B$10,Paramètres!$A$1:$I$89,3,0)*VLOOKUP('Données projet'!$B$10,Paramètres!$A$1:$I$89,5,0)</f>
        <v>145.67904000000007</v>
      </c>
      <c r="AK56" s="13">
        <f t="shared" si="35"/>
        <v>37.594967756759957</v>
      </c>
      <c r="AL56" s="20">
        <f t="shared" si="4"/>
        <v>319.20223017635703</v>
      </c>
      <c r="AM56" s="59">
        <f t="shared" si="5"/>
        <v>612.53556350969029</v>
      </c>
      <c r="AN56" s="59">
        <f ca="1">AVERAGE(OFFSET($AM$3,0,0,'Données projet'!$E$10+1,1))-AVERAGE(OFFSET($H$3,0,0,'Données projet'!$E$10+1,1))</f>
        <v>218.32525311070435</v>
      </c>
      <c r="AO56" s="59">
        <f t="shared" si="36"/>
        <v>275.36315264099204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20.592317468409817</v>
      </c>
      <c r="AV56" s="21">
        <f>EXP(-LN(2)/25)*AV55+(1-EXP(-LN(2)/25))/(LN(2)/25)*Calculateur!AQ56*Calculateur!AS56*VLOOKUP('Données projet'!$B$10,Paramètres!$A$1:$I$89,3,0)*0.475*44/12</f>
        <v>12.191138169797512</v>
      </c>
      <c r="AW56" s="21">
        <f>EXP(-LN(2)/2)*AW55+(1-EXP(-LN(2)/2))/(LN(2)/2)*AQ56*AT56*VLOOKUP('Données projet'!$B$10,Paramètres!$A$1:$I$89,3,0)*0.475*44/12</f>
        <v>8.5311006950186314</v>
      </c>
      <c r="AX56" s="21">
        <f t="shared" si="6"/>
        <v>41.314556333225958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9.1999999999999993</v>
      </c>
      <c r="BD56" s="12">
        <f>IF('Données projet'!$A$88&gt;35,BD55+BC56-BL55,IF(A56&lt;'Données projet'!$A$88,$BA$205^A56,IF(A56='Données projet'!$A$88,'Données projet'!$B$88,BD55+BC56-BL55)))</f>
        <v>309.59999999999991</v>
      </c>
      <c r="BE56" s="13">
        <f>BD56*VLOOKUP('Données projet'!$B$11,Paramètres!$A$1:$I$89,3,0)*VLOOKUP('Données projet'!$B$11,Paramètres!$A$1:$I$89,5,0)</f>
        <v>294.6153599999999</v>
      </c>
      <c r="BF56" s="13">
        <f t="shared" si="37"/>
        <v>70.04644895765243</v>
      </c>
      <c r="BG56" s="20">
        <f t="shared" si="7"/>
        <v>635.11931726791101</v>
      </c>
      <c r="BH56" s="59">
        <f t="shared" si="8"/>
        <v>928.45265060124439</v>
      </c>
      <c r="BI56" s="59">
        <f ca="1">AVERAGE(OFFSET($BH$3,0,0,'Données projet'!$E$11+1,1))-AVERAGE(OFFSET($H$3,0,0,'Données projet'!$E$11+1,1))</f>
        <v>446.62872871405051</v>
      </c>
      <c r="BJ56" s="59">
        <f t="shared" si="38"/>
        <v>471.28934889691658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35.988906780690641</v>
      </c>
      <c r="BQ56" s="21">
        <f>EXP(-LN(2)/25)*BQ55+(1-EXP(-LN(2)/25))/(LN(2)/25)*Calculateur!BL56*Calculateur!BN56*VLOOKUP('Données projet'!$B$11,Paramètres!$A$1:$I$89,3,0)*0.475*44/12</f>
        <v>2.8326020843374846</v>
      </c>
      <c r="BR56" s="21">
        <f>EXP(-LN(2)/2)*BR55+(1-EXP(-LN(2)/2))/(LN(2)/2)*BL56*BO56*VLOOKUP('Données projet'!$B$11,Paramètres!$A$1:$I$89,3,0)*0.475*44/12</f>
        <v>0.6715331720040506</v>
      </c>
      <c r="BS56" s="22">
        <f t="shared" si="9"/>
        <v>39.493042037032183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25.8</v>
      </c>
      <c r="BY56" s="12">
        <f>IF('Données projet'!$A$114&gt;35,BY55+BX56-CG55,IF(A56&lt;'Données projet'!$A$114,$BV$205^A56,IF(A56='Données projet'!$A$114,'Données projet'!$B$114,BY55+BX56-CG55)))</f>
        <v>787.40000000000009</v>
      </c>
      <c r="BZ56" s="13">
        <f>BY56*VLOOKUP('Données projet'!$B$12,Paramètres!$A$1:$I$89,3,0)*VLOOKUP('Données projet'!$B$12,Paramètres!$A$1:$I$89,5,0)</f>
        <v>348.03080000000011</v>
      </c>
      <c r="CA56" s="13">
        <f t="shared" si="39"/>
        <v>81.156899454136564</v>
      </c>
      <c r="CB56" s="20">
        <f t="shared" si="10"/>
        <v>747.50190988262136</v>
      </c>
      <c r="CC56" s="59">
        <f t="shared" si="11"/>
        <v>1040.8352432159547</v>
      </c>
      <c r="CD56" s="59">
        <f ca="1">AVERAGE(OFFSET($CC$3,0,0,'Données projet'!$E$12+1,1))-AVERAGE(OFFSET($H$3,0,0,'Données projet'!$E$12+1,1))</f>
        <v>534.99316143569899</v>
      </c>
      <c r="CE56" s="59">
        <f t="shared" si="40"/>
        <v>449.56965858934262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57.647840515995739</v>
      </c>
      <c r="CL56" s="21">
        <f>EXP(-LN(2)/25)*CL55+(1-EXP(-LN(2)/25))/(LN(2)/25)*Calculateur!CG56*Calculateur!CI56*VLOOKUP('Données projet'!$B$12,Paramètres!$A$1:$I$89,3,0)*0.475*44/12</f>
        <v>38.883460830493597</v>
      </c>
      <c r="CM56" s="21">
        <f>EXP(-LN(2)/2)*CM55+(1-EXP(-LN(2)/2))/(LN(2)/2)*CG56*CJ56*VLOOKUP('Données projet'!$B$12,Paramètres!$A$1:$I$89,3,0)*0.475*44/12</f>
        <v>2.257479289158403</v>
      </c>
      <c r="CN56" s="22">
        <f t="shared" si="12"/>
        <v>98.788780635647726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148.39999999999995</v>
      </c>
      <c r="CU56" s="17">
        <f>CT56*VLOOKUP('Données projet'!$B$13,Paramètres!$A$1:$I$89,3,0)*VLOOKUP('Données projet'!$B$13,Paramètres!$A$1:$I$89,5,0)</f>
        <v>168.99791999999997</v>
      </c>
      <c r="CV56" s="13">
        <f t="shared" si="41"/>
        <v>42.865513835756317</v>
      </c>
      <c r="CW56" s="20">
        <f t="shared" si="13"/>
        <v>368.99548059727545</v>
      </c>
      <c r="CX56" s="59">
        <f t="shared" si="14"/>
        <v>662.3288139306087</v>
      </c>
      <c r="CY56" s="59">
        <f ca="1">AVERAGE(OFFSET($CX$3,0,0,'Données projet'!$E$13+1,1))-AVERAGE(OFFSET($H$3,0,0,'Données projet'!$E$13+1,1))</f>
        <v>389.89050053480827</v>
      </c>
      <c r="CZ56" s="59">
        <f t="shared" si="42"/>
        <v>216.40816051909616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2.70380684347445</v>
      </c>
      <c r="DG56" s="21">
        <f>EXP(-LN(2)/25)*DG55+(1-EXP(-LN(2)/25))/(LN(2)/25)*Calculateur!DB56*Calculateur!DD56*VLOOKUP('Données projet'!$B$13,Paramètres!$A$1:$I$89,3,0)*0.475*44/12</f>
        <v>0.90774848100308625</v>
      </c>
      <c r="DH56" s="21">
        <f>EXP(-LN(2)/2)*DH55+(1-EXP(-LN(2)/2))/(LN(2)/2)*DB56*DE56*VLOOKUP('Données projet'!$B$13,Paramètres!$A$1:$I$89,3,0)*0.475*44/12</f>
        <v>0.28473907563255418</v>
      </c>
      <c r="DI56" s="22">
        <f t="shared" si="15"/>
        <v>3.8962944001100905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171.00719999999998</v>
      </c>
      <c r="P57" s="13">
        <f t="shared" si="33"/>
        <v>43.315525267338089</v>
      </c>
      <c r="Q57" s="20">
        <f t="shared" si="53"/>
        <v>373.27874650728046</v>
      </c>
      <c r="R57" s="59">
        <f t="shared" si="0"/>
        <v>666.61207984061377</v>
      </c>
      <c r="S57" s="59">
        <f ca="1">AVERAGE(OFFSET($R$3,0,0,'Données projet'!$E$9+1,1))-AVERAGE(OFFSET($H$3,0,0,'Données projet'!$E$9+1,1))</f>
        <v>371.7282125501186</v>
      </c>
      <c r="T57" s="59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14.758924134511931</v>
      </c>
      <c r="AA57" s="21">
        <f>EXP(-LN(2)/25)*AA56+(1-EXP(-LN(2)/25))/(LN(2)/25)*Calculateur!V57*Calculateur!X57*VLOOKUP('Données projet'!$B$9,Paramètres!$A$1:$I$89,3,0)*0.475*44/12</f>
        <v>1.5156553205842103</v>
      </c>
      <c r="AB57" s="21">
        <f>EXP(-LN(2)/2)*AB56+(1-EXP(-LN(2)/2))/(LN(2)/2)*V57*Y57*VLOOKUP('Données projet'!$B$9,Paramètres!$A$1:$I$89,3,0)*0.475*44/12</f>
        <v>0.33623307829664151</v>
      </c>
      <c r="AC57" s="22">
        <f t="shared" si="3"/>
        <v>16.610812533392782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13.499999999999993</v>
      </c>
      <c r="AI57" s="13">
        <f>IF('Données projet'!$A$62&gt;35,AI56+AH57-AQ56,IF(A57&lt;'Données projet'!$A$62,$AF$205^A57,IF(A57='Données projet'!$A$62,'Données projet'!$B$62,AI56+AH57-AQ56)))</f>
        <v>324.78000000000014</v>
      </c>
      <c r="AJ57" s="13">
        <f>AI57*VLOOKUP('Données projet'!$B$10,Paramètres!$A$1:$I$89,3,0)*VLOOKUP('Données projet'!$B$10,Paramètres!$A$1:$I$89,5,0)</f>
        <v>151.99704000000006</v>
      </c>
      <c r="AK57" s="13">
        <f t="shared" si="35"/>
        <v>39.03207020267962</v>
      </c>
      <c r="AL57" s="20">
        <f t="shared" si="4"/>
        <v>332.70903360300042</v>
      </c>
      <c r="AM57" s="59">
        <f t="shared" si="5"/>
        <v>626.04236693633379</v>
      </c>
      <c r="AN57" s="59">
        <f ca="1">AVERAGE(OFFSET($AM$3,0,0,'Données projet'!$E$10+1,1))-AVERAGE(OFFSET($H$3,0,0,'Données projet'!$E$10+1,1))</f>
        <v>218.32525311070435</v>
      </c>
      <c r="AO57" s="59">
        <f t="shared" si="36"/>
        <v>275.36315264099204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20.188514682927753</v>
      </c>
      <c r="AV57" s="21">
        <f>EXP(-LN(2)/25)*AV56+(1-EXP(-LN(2)/25))/(LN(2)/25)*Calculateur!AQ57*Calculateur!AS57*VLOOKUP('Données projet'!$B$10,Paramètres!$A$1:$I$89,3,0)*0.475*44/12</f>
        <v>11.857770855440306</v>
      </c>
      <c r="AW57" s="21">
        <f>EXP(-LN(2)/2)*AW56+(1-EXP(-LN(2)/2))/(LN(2)/2)*AQ57*AT57*VLOOKUP('Données projet'!$B$10,Paramètres!$A$1:$I$89,3,0)*0.475*44/12</f>
        <v>6.0323991524329434</v>
      </c>
      <c r="AX57" s="21">
        <f t="shared" si="6"/>
        <v>38.078684690801005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9.1999999999999993</v>
      </c>
      <c r="BD57" s="12">
        <f>IF('Données projet'!$A$88&gt;35,BD56+BC57-BL56,IF(A57&lt;'Données projet'!$A$88,$BA$205^A57,IF(A57='Données projet'!$A$88,'Données projet'!$B$88,BD56+BC57-BL56)))</f>
        <v>318.7999999999999</v>
      </c>
      <c r="BE57" s="13">
        <f>BD57*VLOOKUP('Données projet'!$B$11,Paramètres!$A$1:$I$89,3,0)*VLOOKUP('Données projet'!$B$11,Paramètres!$A$1:$I$89,5,0)</f>
        <v>303.37007999999992</v>
      </c>
      <c r="BF57" s="13">
        <f t="shared" si="37"/>
        <v>71.882501704072283</v>
      </c>
      <c r="BG57" s="20">
        <f t="shared" si="7"/>
        <v>653.56491313459242</v>
      </c>
      <c r="BH57" s="59">
        <f t="shared" si="8"/>
        <v>946.89824646792567</v>
      </c>
      <c r="BI57" s="59">
        <f ca="1">AVERAGE(OFFSET($BH$3,0,0,'Données projet'!$E$11+1,1))-AVERAGE(OFFSET($H$3,0,0,'Données projet'!$E$11+1,1))</f>
        <v>446.62872871405051</v>
      </c>
      <c r="BJ57" s="59">
        <f t="shared" si="38"/>
        <v>471.28934889691658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35.283186269786945</v>
      </c>
      <c r="BQ57" s="21">
        <f>EXP(-LN(2)/25)*BQ56+(1-EXP(-LN(2)/25))/(LN(2)/25)*Calculateur!BL57*Calculateur!BN57*VLOOKUP('Données projet'!$B$11,Paramètres!$A$1:$I$89,3,0)*0.475*44/12</f>
        <v>2.7551444313812063</v>
      </c>
      <c r="BR57" s="21">
        <f>EXP(-LN(2)/2)*BR56+(1-EXP(-LN(2)/2))/(LN(2)/2)*BL57*BO57*VLOOKUP('Données projet'!$B$11,Paramètres!$A$1:$I$89,3,0)*0.475*44/12</f>
        <v>0.47484565971577641</v>
      </c>
      <c r="BS57" s="22">
        <f t="shared" si="9"/>
        <v>38.513176360883925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25.8</v>
      </c>
      <c r="BY57" s="12">
        <f>IF('Données projet'!$A$114&gt;35,BY56+BX57-CG56,IF(A57&lt;'Données projet'!$A$114,$BV$205^A57,IF(A57='Données projet'!$A$114,'Données projet'!$B$114,BY56+BX57-CG56)))</f>
        <v>813.2</v>
      </c>
      <c r="BZ57" s="13">
        <f>BY57*VLOOKUP('Données projet'!$B$12,Paramètres!$A$1:$I$89,3,0)*VLOOKUP('Données projet'!$B$12,Paramètres!$A$1:$I$89,5,0)</f>
        <v>359.4344000000001</v>
      </c>
      <c r="CA57" s="13">
        <f t="shared" si="39"/>
        <v>83.502134694468566</v>
      </c>
      <c r="CB57" s="20">
        <f t="shared" si="10"/>
        <v>771.44779792619954</v>
      </c>
      <c r="CC57" s="59">
        <f t="shared" si="11"/>
        <v>1064.7811312595329</v>
      </c>
      <c r="CD57" s="59">
        <f ca="1">AVERAGE(OFFSET($CC$3,0,0,'Données projet'!$E$12+1,1))-AVERAGE(OFFSET($H$3,0,0,'Données projet'!$E$12+1,1))</f>
        <v>534.99316143569899</v>
      </c>
      <c r="CE57" s="59">
        <f t="shared" si="40"/>
        <v>449.56965858934262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56.51740152518785</v>
      </c>
      <c r="CL57" s="21">
        <f>EXP(-LN(2)/25)*CL56+(1-EXP(-LN(2)/25))/(LN(2)/25)*Calculateur!CG57*Calculateur!CI57*VLOOKUP('Données projet'!$B$12,Paramètres!$A$1:$I$89,3,0)*0.475*44/12</f>
        <v>37.820190549291411</v>
      </c>
      <c r="CM57" s="21">
        <f>EXP(-LN(2)/2)*CM56+(1-EXP(-LN(2)/2))/(LN(2)/2)*CG57*CJ57*VLOOKUP('Données projet'!$B$12,Paramètres!$A$1:$I$89,3,0)*0.475*44/12</f>
        <v>1.5962789137520939</v>
      </c>
      <c r="CN57" s="22">
        <f t="shared" si="12"/>
        <v>95.933870988231348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153.19999999999996</v>
      </c>
      <c r="CU57" s="17">
        <f>CT57*VLOOKUP('Données projet'!$B$13,Paramètres!$A$1:$I$89,3,0)*VLOOKUP('Données projet'!$B$13,Paramètres!$A$1:$I$89,5,0)</f>
        <v>174.46415999999996</v>
      </c>
      <c r="CV57" s="13">
        <f t="shared" si="41"/>
        <v>44.088333601990598</v>
      </c>
      <c r="CW57" s="20">
        <f t="shared" si="13"/>
        <v>380.64559302346692</v>
      </c>
      <c r="CX57" s="59">
        <f t="shared" si="14"/>
        <v>673.97892635680023</v>
      </c>
      <c r="CY57" s="59">
        <f ca="1">AVERAGE(OFFSET($CX$3,0,0,'Données projet'!$E$13+1,1))-AVERAGE(OFFSET($H$3,0,0,'Données projet'!$E$13+1,1))</f>
        <v>389.89050053480827</v>
      </c>
      <c r="CZ57" s="59">
        <f t="shared" si="42"/>
        <v>216.40816051909616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2.6507868404332497</v>
      </c>
      <c r="DG57" s="21">
        <f>EXP(-LN(2)/25)*DG56+(1-EXP(-LN(2)/25))/(LN(2)/25)*Calculateur!DB57*Calculateur!DD57*VLOOKUP('Données projet'!$B$13,Paramètres!$A$1:$I$89,3,0)*0.475*44/12</f>
        <v>0.88292605105363897</v>
      </c>
      <c r="DH57" s="21">
        <f>EXP(-LN(2)/2)*DH56+(1-EXP(-LN(2)/2))/(LN(2)/2)*DB57*DE57*VLOOKUP('Données projet'!$B$13,Paramètres!$A$1:$I$89,3,0)*0.475*44/12</f>
        <v>0.20134093124856831</v>
      </c>
      <c r="DI57" s="22">
        <f t="shared" si="15"/>
        <v>3.7350538227354568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178.2456</v>
      </c>
      <c r="P58" s="13">
        <f t="shared" si="33"/>
        <v>44.931642269910427</v>
      </c>
      <c r="Q58" s="20">
        <f t="shared" si="53"/>
        <v>388.70036362009404</v>
      </c>
      <c r="R58" s="59">
        <f t="shared" si="0"/>
        <v>682.03369695342735</v>
      </c>
      <c r="S58" s="59">
        <f ca="1">AVERAGE(OFFSET($R$3,0,0,'Données projet'!$E$9+1,1))-AVERAGE(OFFSET($H$3,0,0,'Données projet'!$E$9+1,1))</f>
        <v>371.7282125501186</v>
      </c>
      <c r="T58" s="59">
        <f t="shared" si="34"/>
        <v>231.36959598460686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0.34400000000000003</v>
      </c>
      <c r="X58" s="16">
        <f>IF(ISNA(VLOOKUP(A58,'Données projet'!$A$35:$I$55,6,0)),0%,VLOOKUP(A58,'Données projet'!$A$35:$I$55,6,0)*VLOOKUP('Données projet'!$B$9,Paramètres!$A$1:$I$89,7,0))</f>
        <v>1.72E-2</v>
      </c>
      <c r="Y58" s="16">
        <f>IF(ISNA(VLOOKUP(A58,'Données projet'!$A$35:$I$55,7,0)),0%,VLOOKUP(A58,'Données projet'!$A$35:$I$55,7,0))</f>
        <v>0.06</v>
      </c>
      <c r="Z58" s="21">
        <f>EXP(-LN(2)/35)*Z57+(1-EXP(-LN(2)/35))/(LN(2)/35)*V58*W58*VLOOKUP('Données projet'!$B$9,Paramètres!$A$1:$I$89,3,0)*0.475*44/12</f>
        <v>21.695169260364803</v>
      </c>
      <c r="AA58" s="21">
        <f>EXP(-LN(2)/25)*AA57+(1-EXP(-LN(2)/25))/(LN(2)/25)*Calculateur!V58*Calculateur!X58*VLOOKUP('Données projet'!$B$9,Paramètres!$A$1:$I$89,3,0)*0.475*44/12</f>
        <v>1.8340700688816443</v>
      </c>
      <c r="AB58" s="21">
        <f>EXP(-LN(2)/2)*AB57+(1-EXP(-LN(2)/2))/(LN(2)/2)*V58*Y58*VLOOKUP('Données projet'!$B$9,Paramètres!$A$1:$I$89,3,0)*0.475*44/12</f>
        <v>1.313418661664826</v>
      </c>
      <c r="AC58" s="22">
        <f t="shared" si="3"/>
        <v>24.842657990911274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13.499999999999993</v>
      </c>
      <c r="AI58" s="13">
        <f>IF('Données projet'!$A$62&gt;35,AI57+AH58-AQ57,IF(A58&lt;'Données projet'!$A$62,$AF$205^A58,IF(A58='Données projet'!$A$62,'Données projet'!$B$62,AI57+AH58-AQ57)))</f>
        <v>338.28000000000014</v>
      </c>
      <c r="AJ58" s="13">
        <f>AI58*VLOOKUP('Données projet'!$B$10,Paramètres!$A$1:$I$89,3,0)*VLOOKUP('Données projet'!$B$10,Paramètres!$A$1:$I$89,5,0)</f>
        <v>158.31504000000007</v>
      </c>
      <c r="AK58" s="13">
        <f t="shared" si="35"/>
        <v>40.462234124775541</v>
      </c>
      <c r="AL58" s="20">
        <f t="shared" si="4"/>
        <v>346.20375243398416</v>
      </c>
      <c r="AM58" s="59">
        <f t="shared" si="5"/>
        <v>639.53708576731742</v>
      </c>
      <c r="AN58" s="59">
        <f ca="1">AVERAGE(OFFSET($AM$3,0,0,'Données projet'!$E$10+1,1))-AVERAGE(OFFSET($H$3,0,0,'Données projet'!$E$10+1,1))</f>
        <v>218.32525311070435</v>
      </c>
      <c r="AO58" s="59">
        <f t="shared" si="36"/>
        <v>275.36315264099204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19.79263022377361</v>
      </c>
      <c r="AV58" s="21">
        <f>EXP(-LN(2)/25)*AV57+(1-EXP(-LN(2)/25))/(LN(2)/25)*Calculateur!AQ58*Calculateur!AS58*VLOOKUP('Données projet'!$B$10,Paramètres!$A$1:$I$89,3,0)*0.475*44/12</f>
        <v>11.533519487825222</v>
      </c>
      <c r="AW58" s="21">
        <f>EXP(-LN(2)/2)*AW57+(1-EXP(-LN(2)/2))/(LN(2)/2)*AQ58*AT58*VLOOKUP('Données projet'!$B$10,Paramètres!$A$1:$I$89,3,0)*0.475*44/12</f>
        <v>4.2655503475093166</v>
      </c>
      <c r="AX58" s="21">
        <f t="shared" si="6"/>
        <v>35.591700059108149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328</v>
      </c>
      <c r="BB58" s="12">
        <f>VLOOKUP(A58,'Données projet'!$A$87:$I$107,9,0)</f>
        <v>9.1999999999999993</v>
      </c>
      <c r="BC58" s="12">
        <f t="array" ref="BC58">INDEX(BB:BB,MIN(IF(ISNUMBER(BB58:BB254),ROW(BB58:BB254),"")))</f>
        <v>9.1999999999999993</v>
      </c>
      <c r="BD58" s="12">
        <f>IF('Données projet'!$A$88&gt;35,BD57+BC58-BL57,IF(A58&lt;'Données projet'!$A$88,$BA$205^A58,IF(A58='Données projet'!$A$88,'Données projet'!$B$88,BD57+BC58-BL57)))</f>
        <v>327.99999999999989</v>
      </c>
      <c r="BE58" s="13">
        <f>BD58*VLOOKUP('Données projet'!$B$11,Paramètres!$A$1:$I$89,3,0)*VLOOKUP('Données projet'!$B$11,Paramètres!$A$1:$I$89,5,0)</f>
        <v>312.12479999999988</v>
      </c>
      <c r="BF58" s="13">
        <f t="shared" si="37"/>
        <v>73.71239641577975</v>
      </c>
      <c r="BG58" s="20">
        <f t="shared" si="7"/>
        <v>671.99978375748287</v>
      </c>
      <c r="BH58" s="59">
        <f t="shared" si="8"/>
        <v>965.33311709081613</v>
      </c>
      <c r="BI58" s="59">
        <f ca="1">AVERAGE(OFFSET($BH$3,0,0,'Données projet'!$E$11+1,1))-AVERAGE(OFFSET($H$3,0,0,'Données projet'!$E$11+1,1))</f>
        <v>446.62872871405051</v>
      </c>
      <c r="BJ58" s="59">
        <f t="shared" si="38"/>
        <v>471.28934889691658</v>
      </c>
      <c r="BK58" s="15">
        <f>IF(ISNA(VLOOKUP(A58,'Données projet'!$A$87:$I$107,3,0)),0,VLOOKUP(A58,'Données projet'!$A$87:$I$107,3,0))</f>
        <v>10</v>
      </c>
      <c r="BL58" s="15">
        <f>IF(ISNA(VLOOKUP(A58,'Données projet'!$A$87:$I$107,4,0)),0,VLOOKUP(A58,'Données projet'!$A$87:$I$107,4,0))</f>
        <v>28</v>
      </c>
      <c r="BM58" s="16">
        <f>IF(ISNA(VLOOKUP(A58,'Données projet'!$A$87:$I$107,5,0)),0%,VLOOKUP(A58,'Données projet'!$A$87:$I$107,5,0)*VLOOKUP('Données projet'!$B$11,Paramètres!$A$1:$I$89,7,0))</f>
        <v>0.34400000000000003</v>
      </c>
      <c r="BN58" s="16">
        <f>IF(ISNA(VLOOKUP(A58,'Données projet'!$A$87:$I$107,6,0)),0%,VLOOKUP(A58,'Données projet'!$A$87:$I$107,6,0)*VLOOKUP('Données projet'!$B$11,Paramètres!$A$1:$I$89,7,0))</f>
        <v>1.72E-2</v>
      </c>
      <c r="BO58" s="16">
        <f>IF(ISNA(VLOOKUP(A58,'Données projet'!$A$87:$I$107,7,0)),0%,VLOOKUP(A58,'Données projet'!$A$87:$I$107,7,0))</f>
        <v>0.06</v>
      </c>
      <c r="BP58" s="21">
        <f>EXP(-LN(2)/35)*BP57+(1-EXP(-LN(2)/35))/(LN(2)/35)*BL58*BM58*VLOOKUP('Données projet'!$B$11,Paramètres!$A$1:$I$89,3,0)*0.475*44/12</f>
        <v>44.723837293646426</v>
      </c>
      <c r="BQ58" s="21">
        <f>EXP(-LN(2)/25)*BQ57+(1-EXP(-LN(2)/25))/(LN(2)/25)*Calculateur!BL58*Calculateur!BN58*VLOOKUP('Données projet'!$B$11,Paramètres!$A$1:$I$89,3,0)*0.475*44/12</f>
        <v>3.184436719199101</v>
      </c>
      <c r="BR58" s="21">
        <f>EXP(-LN(2)/2)*BR57+(1-EXP(-LN(2)/2))/(LN(2)/2)*BL58*BO58*VLOOKUP('Données projet'!$B$11,Paramètres!$A$1:$I$89,3,0)*0.475*44/12</f>
        <v>1.8441717420586841</v>
      </c>
      <c r="BS58" s="22">
        <f t="shared" si="9"/>
        <v>49.752445754904208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839</v>
      </c>
      <c r="BW58" s="12">
        <f>VLOOKUP(A58,'Données projet'!$A$113:$I$133,9,0)</f>
        <v>25.8</v>
      </c>
      <c r="BX58" s="12">
        <f t="array" ref="BX58">INDEX(BW:BW,MIN(IF(ISNUMBER(BW58:BW254),ROW(BW58:BW254),"")))</f>
        <v>25.8</v>
      </c>
      <c r="BY58" s="12">
        <f>IF('Données projet'!$A$114&gt;35,BY57+BX58-CG57,IF(A58&lt;'Données projet'!$A$114,$BV$205^A58,IF(A58='Données projet'!$A$114,'Données projet'!$B$114,BY57+BX58-CG57)))</f>
        <v>839</v>
      </c>
      <c r="BZ58" s="13">
        <f>BY58*VLOOKUP('Données projet'!$B$12,Paramètres!$A$1:$I$89,3,0)*VLOOKUP('Données projet'!$B$12,Paramètres!$A$1:$I$89,5,0)</f>
        <v>370.83800000000008</v>
      </c>
      <c r="CA58" s="13">
        <f t="shared" si="39"/>
        <v>85.838723500638949</v>
      </c>
      <c r="CB58" s="20">
        <f t="shared" si="10"/>
        <v>795.37862676361283</v>
      </c>
      <c r="CC58" s="59">
        <f t="shared" si="11"/>
        <v>1088.7119600969461</v>
      </c>
      <c r="CD58" s="59">
        <f ca="1">AVERAGE(OFFSET($CC$3,0,0,'Données projet'!$E$12+1,1))-AVERAGE(OFFSET($H$3,0,0,'Données projet'!$E$12+1,1))</f>
        <v>534.99316143569899</v>
      </c>
      <c r="CE58" s="59">
        <f t="shared" si="40"/>
        <v>449.56965858934262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55</v>
      </c>
      <c r="CH58" s="16">
        <f>IF(ISNA(VLOOKUP(A58,'Données projet'!$A$113:$I$133,5,0)),0%,VLOOKUP(A58,'Données projet'!$A$113:$I$133,5,0)*VLOOKUP('Données projet'!$B$12,Paramètres!$A$1:$I$89,7,0))</f>
        <v>0.33</v>
      </c>
      <c r="CI58" s="16">
        <f>IF(ISNA(VLOOKUP(A58,'Données projet'!$A$113:$I$133,6,0)),0%,VLOOKUP(A58,'Données projet'!$A$113:$I$133,6,0)*VLOOKUP('Données projet'!$B$12,Paramètres!$A$1:$I$89,7,0))</f>
        <v>0.13750000000000001</v>
      </c>
      <c r="CJ58" s="16">
        <f>IF(ISNA(VLOOKUP(A58,'Données projet'!$A$113:$I$133,7,0)),0%,VLOOKUP(A58,'Données projet'!$A$113:$I$133,7,0))</f>
        <v>0.15</v>
      </c>
      <c r="CK58" s="21">
        <f>EXP(-LN(2)/35)*CK57+(1-EXP(-LN(2)/35))/(LN(2)/35)*CG58*CH58*VLOOKUP('Données projet'!$B$12,Paramètres!$A$1:$I$89,3,0)*0.475*44/12</f>
        <v>66.051227784362624</v>
      </c>
      <c r="CL58" s="21">
        <f>EXP(-LN(2)/25)*CL57+(1-EXP(-LN(2)/25))/(LN(2)/25)*Calculateur!CG58*Calculateur!CI58*VLOOKUP('Données projet'!$B$12,Paramètres!$A$1:$I$89,3,0)*0.475*44/12</f>
        <v>41.202743798163581</v>
      </c>
      <c r="CM58" s="21">
        <f>EXP(-LN(2)/2)*CM57+(1-EXP(-LN(2)/2))/(LN(2)/2)*CG58*CJ58*VLOOKUP('Données projet'!$B$12,Paramètres!$A$1:$I$89,3,0)*0.475*44/12</f>
        <v>5.2574247175094602</v>
      </c>
      <c r="CN58" s="22">
        <f t="shared" si="12"/>
        <v>112.51139630003567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158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157.99999999999997</v>
      </c>
      <c r="CU58" s="17">
        <f>CT58*VLOOKUP('Données projet'!$B$13,Paramètres!$A$1:$I$89,3,0)*VLOOKUP('Données projet'!$B$13,Paramètres!$A$1:$I$89,5,0)</f>
        <v>179.93039999999996</v>
      </c>
      <c r="CV58" s="13">
        <f t="shared" si="41"/>
        <v>45.306701100349692</v>
      </c>
      <c r="CW58" s="20">
        <f t="shared" si="13"/>
        <v>392.28795108310896</v>
      </c>
      <c r="CX58" s="59">
        <f t="shared" si="14"/>
        <v>685.62128441644222</v>
      </c>
      <c r="CY58" s="59">
        <f ca="1">AVERAGE(OFFSET($CX$3,0,0,'Données projet'!$E$13+1,1))-AVERAGE(OFFSET($H$3,0,0,'Données projet'!$E$13+1,1))</f>
        <v>389.89050053480827</v>
      </c>
      <c r="CZ58" s="59">
        <f t="shared" si="42"/>
        <v>216.40816051909616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8.6000000000000007E-2</v>
      </c>
      <c r="DD58" s="16">
        <f>IF(ISNA(VLOOKUP(A58,'Données projet'!$A$139:$I$159,6,0)),0%,VLOOKUP(A58,'Données projet'!$A$139:$I$159,6,0)*VLOOKUP('Données projet'!$B$13,Paramètres!$A$1:$I$89,7,0))</f>
        <v>1.72E-2</v>
      </c>
      <c r="DE58" s="16">
        <f>IF(ISNA(VLOOKUP(A58,'Données projet'!$A$139:$I$159,7,0)),0%,VLOOKUP(A58,'Données projet'!$A$139:$I$159,7,0))</f>
        <v>0.06</v>
      </c>
      <c r="DF58" s="21">
        <f>EXP(-LN(2)/35)*DF57+(1-EXP(-LN(2)/35))/(LN(2)/35)*DB58*DC58*VLOOKUP('Données projet'!$B$13,Paramètres!$A$1:$I$89,3,0)*0.475*44/12</f>
        <v>3.7897350734413475</v>
      </c>
      <c r="DG58" s="21">
        <f>EXP(-LN(2)/25)*DG57+(1-EXP(-LN(2)/25))/(LN(2)/25)*Calculateur!DB58*Calculateur!DD58*VLOOKUP('Données projet'!$B$13,Paramètres!$A$1:$I$89,3,0)*0.475*44/12</f>
        <v>1.096030273089156</v>
      </c>
      <c r="DH58" s="21">
        <f>EXP(-LN(2)/2)*DH57+(1-EXP(-LN(2)/2))/(LN(2)/2)*DB58*DE58*VLOOKUP('Données projet'!$B$13,Paramètres!$A$1:$I$89,3,0)*0.475*44/12</f>
        <v>0.85153191504900372</v>
      </c>
      <c r="DI58" s="22">
        <f t="shared" si="15"/>
        <v>5.7372972615795064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166.12127999999998</v>
      </c>
      <c r="P59" s="13">
        <f t="shared" si="33"/>
        <v>42.220155874487318</v>
      </c>
      <c r="Q59" s="20">
        <f t="shared" si="53"/>
        <v>362.8613341480654</v>
      </c>
      <c r="R59" s="59">
        <f t="shared" si="0"/>
        <v>656.19466748139871</v>
      </c>
      <c r="S59" s="59">
        <f ca="1">AVERAGE(OFFSET($R$3,0,0,'Données projet'!$E$9+1,1))-AVERAGE(OFFSET($H$3,0,0,'Données projet'!$E$9+1,1))</f>
        <v>371.7282125501186</v>
      </c>
      <c r="T59" s="59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21.269740223915672</v>
      </c>
      <c r="AA59" s="21">
        <f>EXP(-LN(2)/25)*AA58+(1-EXP(-LN(2)/25))/(LN(2)/25)*Calculateur!V59*Calculateur!X59*VLOOKUP('Données projet'!$B$9,Paramètres!$A$1:$I$89,3,0)*0.475*44/12</f>
        <v>1.7839173263985226</v>
      </c>
      <c r="AB59" s="21">
        <f>EXP(-LN(2)/2)*AB58+(1-EXP(-LN(2)/2))/(LN(2)/2)*V59*Y59*VLOOKUP('Données projet'!$B$9,Paramètres!$A$1:$I$89,3,0)*0.475*44/12</f>
        <v>0.92872724220015834</v>
      </c>
      <c r="AC59" s="22">
        <f t="shared" si="3"/>
        <v>23.982384792514353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13.499999999999993</v>
      </c>
      <c r="AI59" s="13">
        <f>IF('Données projet'!$A$62&gt;35,AI58+AH59-AQ58,IF(A59&lt;'Données projet'!$A$62,$AF$205^A59,IF(A59='Données projet'!$A$62,'Données projet'!$B$62,AI58+AH59-AQ58)))</f>
        <v>351.78000000000014</v>
      </c>
      <c r="AJ59" s="13">
        <f>AI59*VLOOKUP('Données projet'!$B$10,Paramètres!$A$1:$I$89,3,0)*VLOOKUP('Données projet'!$B$10,Paramètres!$A$1:$I$89,5,0)</f>
        <v>164.63304000000005</v>
      </c>
      <c r="AK59" s="13">
        <f t="shared" si="35"/>
        <v>41.885768105350103</v>
      </c>
      <c r="AL59" s="20">
        <f t="shared" si="4"/>
        <v>359.68692411681815</v>
      </c>
      <c r="AM59" s="59">
        <f t="shared" si="5"/>
        <v>653.02025745015146</v>
      </c>
      <c r="AN59" s="59">
        <f ca="1">AVERAGE(OFFSET($AM$3,0,0,'Données projet'!$E$10+1,1))-AVERAGE(OFFSET($H$3,0,0,'Données projet'!$E$10+1,1))</f>
        <v>218.32525311070435</v>
      </c>
      <c r="AO59" s="59">
        <f t="shared" si="36"/>
        <v>275.36315264099204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19.404508817397804</v>
      </c>
      <c r="AV59" s="21">
        <f>EXP(-LN(2)/25)*AV58+(1-EXP(-LN(2)/25))/(LN(2)/25)*Calculateur!AQ59*Calculateur!AS59*VLOOKUP('Données projet'!$B$10,Paramètres!$A$1:$I$89,3,0)*0.475*44/12</f>
        <v>11.218134790909211</v>
      </c>
      <c r="AW59" s="21">
        <f>EXP(-LN(2)/2)*AW58+(1-EXP(-LN(2)/2))/(LN(2)/2)*AQ59*AT59*VLOOKUP('Données projet'!$B$10,Paramètres!$A$1:$I$89,3,0)*0.475*44/12</f>
        <v>3.0161995762164722</v>
      </c>
      <c r="AX59" s="21">
        <f t="shared" si="6"/>
        <v>33.638843184523488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8.6</v>
      </c>
      <c r="BD59" s="12">
        <f>IF('Données projet'!$A$88&gt;35,BD58+BC59-BL58,IF(A59&lt;'Données projet'!$A$88,$BA$205^A59,IF(A59='Données projet'!$A$88,'Données projet'!$B$88,BD58+BC59-BL58)))</f>
        <v>308.59999999999991</v>
      </c>
      <c r="BE59" s="13">
        <f>BD59*VLOOKUP('Données projet'!$B$11,Paramètres!$A$1:$I$89,3,0)*VLOOKUP('Données projet'!$B$11,Paramètres!$A$1:$I$89,5,0)</f>
        <v>293.66375999999991</v>
      </c>
      <c r="BF59" s="13">
        <f t="shared" si="37"/>
        <v>69.846498404550829</v>
      </c>
      <c r="BG59" s="20">
        <f t="shared" si="7"/>
        <v>633.11370005459253</v>
      </c>
      <c r="BH59" s="59">
        <f t="shared" si="8"/>
        <v>926.44703338792579</v>
      </c>
      <c r="BI59" s="59">
        <f ca="1">AVERAGE(OFFSET($BH$3,0,0,'Données projet'!$E$11+1,1))-AVERAGE(OFFSET($H$3,0,0,'Données projet'!$E$11+1,1))</f>
        <v>446.62872871405051</v>
      </c>
      <c r="BJ59" s="59">
        <f t="shared" si="38"/>
        <v>471.28934889691658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43.846830123165205</v>
      </c>
      <c r="BQ59" s="21">
        <f>EXP(-LN(2)/25)*BQ58+(1-EXP(-LN(2)/25))/(LN(2)/25)*Calculateur!BL59*Calculateur!BN59*VLOOKUP('Données projet'!$B$11,Paramètres!$A$1:$I$89,3,0)*0.475*44/12</f>
        <v>3.0973581296503525</v>
      </c>
      <c r="BR59" s="21">
        <f>EXP(-LN(2)/2)*BR58+(1-EXP(-LN(2)/2))/(LN(2)/2)*BL59*BO59*VLOOKUP('Données projet'!$B$11,Paramètres!$A$1:$I$89,3,0)*0.475*44/12</f>
        <v>1.3040263444823041</v>
      </c>
      <c r="BS59" s="22">
        <f t="shared" si="9"/>
        <v>48.24821459729786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22.2</v>
      </c>
      <c r="BY59" s="12">
        <f>IF('Données projet'!$A$114&gt;35,BY58+BX59-CG58,IF(A59&lt;'Données projet'!$A$114,$BV$205^A59,IF(A59='Données projet'!$A$114,'Données projet'!$B$114,BY58+BX59-CG58)))</f>
        <v>806.2</v>
      </c>
      <c r="BZ59" s="13">
        <f>BY59*VLOOKUP('Données projet'!$B$12,Paramètres!$A$1:$I$89,3,0)*VLOOKUP('Données projet'!$B$12,Paramètres!$A$1:$I$89,5,0)</f>
        <v>356.3404000000001</v>
      </c>
      <c r="CA59" s="13">
        <f t="shared" si="39"/>
        <v>82.866698168460303</v>
      </c>
      <c r="CB59" s="20">
        <f t="shared" si="10"/>
        <v>764.9523626434019</v>
      </c>
      <c r="CC59" s="59">
        <f t="shared" si="11"/>
        <v>1058.2856959767353</v>
      </c>
      <c r="CD59" s="59">
        <f ca="1">AVERAGE(OFFSET($CC$3,0,0,'Données projet'!$E$12+1,1))-AVERAGE(OFFSET($H$3,0,0,'Données projet'!$E$12+1,1))</f>
        <v>534.99316143569899</v>
      </c>
      <c r="CE59" s="59">
        <f t="shared" si="40"/>
        <v>449.56965858934262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64.756003494782178</v>
      </c>
      <c r="CL59" s="21">
        <f>EXP(-LN(2)/25)*CL58+(1-EXP(-LN(2)/25))/(LN(2)/25)*Calculateur!CG59*Calculateur!CI59*VLOOKUP('Données projet'!$B$12,Paramètres!$A$1:$I$89,3,0)*0.475*44/12</f>
        <v>40.076052602244673</v>
      </c>
      <c r="CM59" s="21">
        <f>EXP(-LN(2)/2)*CM58+(1-EXP(-LN(2)/2))/(LN(2)/2)*CG59*CJ59*VLOOKUP('Données projet'!$B$12,Paramètres!$A$1:$I$89,3,0)*0.475*44/12</f>
        <v>3.7175606693287087</v>
      </c>
      <c r="CN59" s="22">
        <f t="shared" si="12"/>
        <v>108.54961676635556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4.8</v>
      </c>
      <c r="CT59" s="12">
        <f>IF('Données projet'!$A$140&gt;35,CT58+CS59-DB58,IF(A59&lt;'Données projet'!$A$140,$CQ$205^A59,IF(A59='Données projet'!$A$140,'Données projet'!$B$140,CT58+CS59-DB58)))</f>
        <v>151.79999999999998</v>
      </c>
      <c r="CU59" s="17">
        <f>CT59*VLOOKUP('Données projet'!$B$13,Paramètres!$A$1:$I$89,3,0)*VLOOKUP('Données projet'!$B$13,Paramètres!$A$1:$I$89,5,0)</f>
        <v>172.86983999999998</v>
      </c>
      <c r="CV59" s="13">
        <f t="shared" si="41"/>
        <v>43.732144710915357</v>
      </c>
      <c r="CW59" s="20">
        <f t="shared" si="13"/>
        <v>377.24845670484416</v>
      </c>
      <c r="CX59" s="59">
        <f t="shared" si="14"/>
        <v>670.58179003817747</v>
      </c>
      <c r="CY59" s="59">
        <f ca="1">AVERAGE(OFFSET($CX$3,0,0,'Données projet'!$E$13+1,1))-AVERAGE(OFFSET($H$3,0,0,'Données projet'!$E$13+1,1))</f>
        <v>389.89050053480827</v>
      </c>
      <c r="CZ59" s="59">
        <f t="shared" si="42"/>
        <v>216.40816051909616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3.7154206801613148</v>
      </c>
      <c r="DG59" s="21">
        <f>EXP(-LN(2)/25)*DG58+(1-EXP(-LN(2)/25))/(LN(2)/25)*Calculateur!DB59*Calculateur!DD59*VLOOKUP('Données projet'!$B$13,Paramètres!$A$1:$I$89,3,0)*0.475*44/12</f>
        <v>1.0660592676338061</v>
      </c>
      <c r="DH59" s="21">
        <f>EXP(-LN(2)/2)*DH58+(1-EXP(-LN(2)/2))/(LN(2)/2)*DB59*DE59*VLOOKUP('Données projet'!$B$13,Paramètres!$A$1:$I$89,3,0)*0.475*44/12</f>
        <v>0.60212399152791773</v>
      </c>
      <c r="DI59" s="22">
        <f t="shared" si="15"/>
        <v>5.3836039393230379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172.99775999999997</v>
      </c>
      <c r="P60" s="13">
        <f t="shared" si="33"/>
        <v>43.760737531919609</v>
      </c>
      <c r="Q60" s="20">
        <f t="shared" si="53"/>
        <v>377.52104986809326</v>
      </c>
      <c r="R60" s="59">
        <f t="shared" si="0"/>
        <v>670.85438320142657</v>
      </c>
      <c r="S60" s="59">
        <f ca="1">AVERAGE(OFFSET($R$3,0,0,'Données projet'!$E$9+1,1))-AVERAGE(OFFSET($H$3,0,0,'Données projet'!$E$9+1,1))</f>
        <v>371.7282125501186</v>
      </c>
      <c r="T60" s="59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20.85265359138522</v>
      </c>
      <c r="AA60" s="21">
        <f>EXP(-LN(2)/25)*AA59+(1-EXP(-LN(2)/25))/(LN(2)/25)*Calculateur!V60*Calculateur!X60*VLOOKUP('Données projet'!$B$9,Paramètres!$A$1:$I$89,3,0)*0.475*44/12</f>
        <v>1.7351360132960201</v>
      </c>
      <c r="AB60" s="21">
        <f>EXP(-LN(2)/2)*AB59+(1-EXP(-LN(2)/2))/(LN(2)/2)*V60*Y60*VLOOKUP('Données projet'!$B$9,Paramètres!$A$1:$I$89,3,0)*0.475*44/12</f>
        <v>0.65670933083241312</v>
      </c>
      <c r="AC60" s="22">
        <f t="shared" si="3"/>
        <v>23.244498935513654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13.499999999999993</v>
      </c>
      <c r="AI60" s="13">
        <f>IF('Données projet'!$A$62&gt;35,AI59+AH60-AQ59,IF(A60&lt;'Données projet'!$A$62,$AF$205^A60,IF(A60='Données projet'!$A$62,'Données projet'!$B$62,AI59+AH60-AQ59)))</f>
        <v>365.28000000000014</v>
      </c>
      <c r="AJ60" s="13">
        <f>AI60*VLOOKUP('Données projet'!$B$10,Paramètres!$A$1:$I$89,3,0)*VLOOKUP('Données projet'!$B$10,Paramètres!$A$1:$I$89,5,0)</f>
        <v>170.95104000000009</v>
      </c>
      <c r="AK60" s="13">
        <f t="shared" si="35"/>
        <v>43.302955700917607</v>
      </c>
      <c r="AL60" s="20">
        <f t="shared" si="4"/>
        <v>373.15904251243165</v>
      </c>
      <c r="AM60" s="59">
        <f t="shared" si="5"/>
        <v>666.49237584576497</v>
      </c>
      <c r="AN60" s="59">
        <f ca="1">AVERAGE(OFFSET($AM$3,0,0,'Données projet'!$E$10+1,1))-AVERAGE(OFFSET($H$3,0,0,'Données projet'!$E$10+1,1))</f>
        <v>218.32525311070435</v>
      </c>
      <c r="AO60" s="59">
        <f t="shared" si="36"/>
        <v>275.36315264099204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19.023998235070344</v>
      </c>
      <c r="AV60" s="21">
        <f>EXP(-LN(2)/25)*AV59+(1-EXP(-LN(2)/25))/(LN(2)/25)*Calculateur!AQ60*Calculateur!AS60*VLOOKUP('Données projet'!$B$10,Paramètres!$A$1:$I$89,3,0)*0.475*44/12</f>
        <v>10.911374305115729</v>
      </c>
      <c r="AW60" s="21">
        <f>EXP(-LN(2)/2)*AW59+(1-EXP(-LN(2)/2))/(LN(2)/2)*AQ60*AT60*VLOOKUP('Données projet'!$B$10,Paramètres!$A$1:$I$89,3,0)*0.475*44/12</f>
        <v>2.1327751737546583</v>
      </c>
      <c r="AX60" s="21">
        <f t="shared" si="6"/>
        <v>32.068147713940732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8.6</v>
      </c>
      <c r="BD60" s="12">
        <f>IF('Données projet'!$A$88&gt;35,BD59+BC60-BL59,IF(A60&lt;'Données projet'!$A$88,$BA$205^A60,IF(A60='Données projet'!$A$88,'Données projet'!$B$88,BD59+BC60-BL59)))</f>
        <v>317.19999999999993</v>
      </c>
      <c r="BE60" s="13">
        <f>BD60*VLOOKUP('Données projet'!$B$11,Paramètres!$A$1:$I$89,3,0)*VLOOKUP('Données projet'!$B$11,Paramètres!$A$1:$I$89,5,0)</f>
        <v>301.84751999999997</v>
      </c>
      <c r="BF60" s="13">
        <f t="shared" si="37"/>
        <v>71.563636129190257</v>
      </c>
      <c r="BG60" s="20">
        <f t="shared" si="7"/>
        <v>650.35776359167301</v>
      </c>
      <c r="BH60" s="59">
        <f t="shared" si="8"/>
        <v>943.69109692500638</v>
      </c>
      <c r="BI60" s="59">
        <f ca="1">AVERAGE(OFFSET($BH$3,0,0,'Données projet'!$E$11+1,1))-AVERAGE(OFFSET($H$3,0,0,'Données projet'!$E$11+1,1))</f>
        <v>446.62872871405051</v>
      </c>
      <c r="BJ60" s="59">
        <f t="shared" si="38"/>
        <v>471.28934889691658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42.987020528375567</v>
      </c>
      <c r="BQ60" s="21">
        <f>EXP(-LN(2)/25)*BQ59+(1-EXP(-LN(2)/25))/(LN(2)/25)*Calculateur!BL60*Calculateur!BN60*VLOOKUP('Données projet'!$B$11,Paramètres!$A$1:$I$89,3,0)*0.475*44/12</f>
        <v>3.0126607087120787</v>
      </c>
      <c r="BR60" s="21">
        <f>EXP(-LN(2)/2)*BR59+(1-EXP(-LN(2)/2))/(LN(2)/2)*BL60*BO60*VLOOKUP('Données projet'!$B$11,Paramètres!$A$1:$I$89,3,0)*0.475*44/12</f>
        <v>0.92208587102934214</v>
      </c>
      <c r="BS60" s="22">
        <f t="shared" si="9"/>
        <v>46.921767108116988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22.2</v>
      </c>
      <c r="BY60" s="12">
        <f>IF('Données projet'!$A$114&gt;35,BY59+BX60-CG59,IF(A60&lt;'Données projet'!$A$114,$BV$205^A60,IF(A60='Données projet'!$A$114,'Données projet'!$B$114,BY59+BX60-CG59)))</f>
        <v>828.40000000000009</v>
      </c>
      <c r="BZ60" s="13">
        <f>BY60*VLOOKUP('Données projet'!$B$12,Paramètres!$A$1:$I$89,3,0)*VLOOKUP('Données projet'!$B$12,Paramètres!$A$1:$I$89,5,0)</f>
        <v>366.15280000000007</v>
      </c>
      <c r="CA60" s="13">
        <f t="shared" si="39"/>
        <v>84.879756652329547</v>
      </c>
      <c r="CB60" s="20">
        <f t="shared" si="10"/>
        <v>785.54836950280742</v>
      </c>
      <c r="CC60" s="59">
        <f t="shared" si="11"/>
        <v>1078.8817028361407</v>
      </c>
      <c r="CD60" s="59">
        <f ca="1">AVERAGE(OFFSET($CC$3,0,0,'Données projet'!$E$12+1,1))-AVERAGE(OFFSET($H$3,0,0,'Données projet'!$E$12+1,1))</f>
        <v>534.99316143569899</v>
      </c>
      <c r="CE60" s="59">
        <f t="shared" si="40"/>
        <v>449.56965858934262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63.486177763511598</v>
      </c>
      <c r="CL60" s="21">
        <f>EXP(-LN(2)/25)*CL59+(1-EXP(-LN(2)/25))/(LN(2)/25)*Calculateur!CG60*Calculateur!CI60*VLOOKUP('Données projet'!$B$12,Paramètres!$A$1:$I$89,3,0)*0.475*44/12</f>
        <v>38.980170836328284</v>
      </c>
      <c r="CM60" s="21">
        <f>EXP(-LN(2)/2)*CM59+(1-EXP(-LN(2)/2))/(LN(2)/2)*CG60*CJ60*VLOOKUP('Données projet'!$B$12,Paramètres!$A$1:$I$89,3,0)*0.475*44/12</f>
        <v>2.6287123587547305</v>
      </c>
      <c r="CN60" s="22">
        <f t="shared" si="12"/>
        <v>105.0950609585946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4.8</v>
      </c>
      <c r="CT60" s="12">
        <f>IF('Données projet'!$A$140&gt;35,CT59+CS60-DB59,IF(A60&lt;'Données projet'!$A$140,$CQ$205^A60,IF(A60='Données projet'!$A$140,'Données projet'!$B$140,CT59+CS60-DB59)))</f>
        <v>156.6</v>
      </c>
      <c r="CU60" s="17">
        <f>CT60*VLOOKUP('Données projet'!$B$13,Paramètres!$A$1:$I$89,3,0)*VLOOKUP('Données projet'!$B$13,Paramètres!$A$1:$I$89,5,0)</f>
        <v>178.33608000000001</v>
      </c>
      <c r="CV60" s="13">
        <f t="shared" si="41"/>
        <v>44.951794770631757</v>
      </c>
      <c r="CW60" s="20">
        <f t="shared" si="13"/>
        <v>388.8930485588503</v>
      </c>
      <c r="CX60" s="59">
        <f t="shared" si="14"/>
        <v>682.22638189218355</v>
      </c>
      <c r="CY60" s="59">
        <f ca="1">AVERAGE(OFFSET($CX$3,0,0,'Données projet'!$E$13+1,1))-AVERAGE(OFFSET($H$3,0,0,'Données projet'!$E$13+1,1))</f>
        <v>389.89050053480827</v>
      </c>
      <c r="CZ60" s="59">
        <f t="shared" si="42"/>
        <v>216.40816051909616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3.6425635468061994</v>
      </c>
      <c r="DG60" s="21">
        <f>EXP(-LN(2)/25)*DG59+(1-EXP(-LN(2)/25))/(LN(2)/25)*Calculateur!DB60*Calculateur!DD60*VLOOKUP('Données projet'!$B$13,Paramètres!$A$1:$I$89,3,0)*0.475*44/12</f>
        <v>1.0369078208987392</v>
      </c>
      <c r="DH60" s="21">
        <f>EXP(-LN(2)/2)*DH59+(1-EXP(-LN(2)/2))/(LN(2)/2)*DB60*DE60*VLOOKUP('Données projet'!$B$13,Paramètres!$A$1:$I$89,3,0)*0.475*44/12</f>
        <v>0.42576595752450197</v>
      </c>
      <c r="DI60" s="22">
        <f t="shared" si="15"/>
        <v>5.1052373252294405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179.87423999999999</v>
      </c>
      <c r="P61" s="13">
        <f t="shared" si="33"/>
        <v>45.294205745553846</v>
      </c>
      <c r="Q61" s="20">
        <f t="shared" si="53"/>
        <v>392.16837634017293</v>
      </c>
      <c r="R61" s="59">
        <f t="shared" si="0"/>
        <v>685.50170967350618</v>
      </c>
      <c r="S61" s="59">
        <f ca="1">AVERAGE(OFFSET($R$3,0,0,'Données projet'!$E$9+1,1))-AVERAGE(OFFSET($H$3,0,0,'Données projet'!$E$9+1,1))</f>
        <v>371.7282125501186</v>
      </c>
      <c r="T61" s="59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20.443745773320963</v>
      </c>
      <c r="AA61" s="21">
        <f>EXP(-LN(2)/25)*AA60+(1-EXP(-LN(2)/25))/(LN(2)/25)*Calculateur!V61*Calculateur!X61*VLOOKUP('Données projet'!$B$9,Paramètres!$A$1:$I$89,3,0)*0.475*44/12</f>
        <v>1.6876886277656031</v>
      </c>
      <c r="AB61" s="21">
        <f>EXP(-LN(2)/2)*AB60+(1-EXP(-LN(2)/2))/(LN(2)/2)*V61*Y61*VLOOKUP('Données projet'!$B$9,Paramètres!$A$1:$I$89,3,0)*0.475*44/12</f>
        <v>0.46436362110007923</v>
      </c>
      <c r="AC61" s="22">
        <f t="shared" si="3"/>
        <v>22.595798022186646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13.499999999999993</v>
      </c>
      <c r="AI61" s="13">
        <f>IF('Données projet'!$A$62&gt;35,AI60+AH61-AQ60,IF(A61&lt;'Données projet'!$A$62,$AF$205^A61,IF(A61='Données projet'!$A$62,'Données projet'!$B$62,AI60+AH61-AQ60)))</f>
        <v>378.78000000000014</v>
      </c>
      <c r="AJ61" s="13">
        <f>AI61*VLOOKUP('Données projet'!$B$10,Paramètres!$A$1:$I$89,3,0)*VLOOKUP('Données projet'!$B$10,Paramètres!$A$1:$I$89,5,0)</f>
        <v>177.26904000000005</v>
      </c>
      <c r="AK61" s="13">
        <f t="shared" si="35"/>
        <v>44.714058321072329</v>
      </c>
      <c r="AL61" s="20">
        <f t="shared" si="4"/>
        <v>386.620562909201</v>
      </c>
      <c r="AM61" s="59">
        <f t="shared" si="5"/>
        <v>679.95389624253426</v>
      </c>
      <c r="AN61" s="59">
        <f ca="1">AVERAGE(OFFSET($AM$3,0,0,'Données projet'!$E$10+1,1))-AVERAGE(OFFSET($H$3,0,0,'Données projet'!$E$10+1,1))</f>
        <v>218.32525311070435</v>
      </c>
      <c r="AO61" s="59">
        <f t="shared" si="36"/>
        <v>275.36315264099204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18.650949233173787</v>
      </c>
      <c r="AV61" s="21">
        <f>EXP(-LN(2)/25)*AV60+(1-EXP(-LN(2)/25))/(LN(2)/25)*Calculateur!AQ61*Calculateur!AS61*VLOOKUP('Données projet'!$B$10,Paramètres!$A$1:$I$89,3,0)*0.475*44/12</f>
        <v>10.613002200938103</v>
      </c>
      <c r="AW61" s="21">
        <f>EXP(-LN(2)/2)*AW60+(1-EXP(-LN(2)/2))/(LN(2)/2)*AQ61*AT61*VLOOKUP('Données projet'!$B$10,Paramètres!$A$1:$I$89,3,0)*0.475*44/12</f>
        <v>1.5080997881082361</v>
      </c>
      <c r="AX61" s="21">
        <f t="shared" si="6"/>
        <v>30.772051222220124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8.6</v>
      </c>
      <c r="BD61" s="12">
        <f>IF('Données projet'!$A$88&gt;35,BD60+BC61-BL60,IF(A61&lt;'Données projet'!$A$88,$BA$205^A61,IF(A61='Données projet'!$A$88,'Données projet'!$B$88,BD60+BC61-BL60)))</f>
        <v>325.79999999999995</v>
      </c>
      <c r="BE61" s="13">
        <f>BD61*VLOOKUP('Données projet'!$B$11,Paramètres!$A$1:$I$89,3,0)*VLOOKUP('Données projet'!$B$11,Paramètres!$A$1:$I$89,5,0)</f>
        <v>310.03127999999998</v>
      </c>
      <c r="BF61" s="13">
        <f t="shared" si="37"/>
        <v>73.275362642397909</v>
      </c>
      <c r="BG61" s="20">
        <f t="shared" si="7"/>
        <v>667.59240260217632</v>
      </c>
      <c r="BH61" s="59">
        <f t="shared" si="8"/>
        <v>960.92573593550969</v>
      </c>
      <c r="BI61" s="59">
        <f ca="1">AVERAGE(OFFSET($BH$3,0,0,'Données projet'!$E$11+1,1))-AVERAGE(OFFSET($H$3,0,0,'Données projet'!$E$11+1,1))</f>
        <v>446.62872871405051</v>
      </c>
      <c r="BJ61" s="59">
        <f t="shared" si="38"/>
        <v>471.28934889691658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42.144071275307681</v>
      </c>
      <c r="BQ61" s="21">
        <f>EXP(-LN(2)/25)*BQ60+(1-EXP(-LN(2)/25))/(LN(2)/25)*Calculateur!BL61*Calculateur!BN61*VLOOKUP('Données projet'!$B$11,Paramètres!$A$1:$I$89,3,0)*0.475*44/12</f>
        <v>2.9302793432034058</v>
      </c>
      <c r="BR61" s="21">
        <f>EXP(-LN(2)/2)*BR60+(1-EXP(-LN(2)/2))/(LN(2)/2)*BL61*BO61*VLOOKUP('Données projet'!$B$11,Paramètres!$A$1:$I$89,3,0)*0.475*44/12</f>
        <v>0.65201317224115218</v>
      </c>
      <c r="BS61" s="22">
        <f t="shared" si="9"/>
        <v>45.726363790752245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22.2</v>
      </c>
      <c r="BY61" s="12">
        <f>IF('Données projet'!$A$114&gt;35,BY60+BX61-CG60,IF(A61&lt;'Données projet'!$A$114,$BV$205^A61,IF(A61='Données projet'!$A$114,'Données projet'!$B$114,BY60+BX61-CG60)))</f>
        <v>850.60000000000014</v>
      </c>
      <c r="BZ61" s="13">
        <f>BY61*VLOOKUP('Données projet'!$B$12,Paramètres!$A$1:$I$89,3,0)*VLOOKUP('Données projet'!$B$12,Paramètres!$A$1:$I$89,5,0)</f>
        <v>375.9652000000001</v>
      </c>
      <c r="CA61" s="13">
        <f t="shared" si="39"/>
        <v>86.886544667455823</v>
      </c>
      <c r="CB61" s="20">
        <f t="shared" si="10"/>
        <v>806.13345529581909</v>
      </c>
      <c r="CC61" s="59">
        <f t="shared" si="11"/>
        <v>1099.4667886291525</v>
      </c>
      <c r="CD61" s="59">
        <f ca="1">AVERAGE(OFFSET($CC$3,0,0,'Données projet'!$E$12+1,1))-AVERAGE(OFFSET($H$3,0,0,'Données projet'!$E$12+1,1))</f>
        <v>534.99316143569899</v>
      </c>
      <c r="CE61" s="59">
        <f t="shared" si="40"/>
        <v>449.56965858934262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62.241252540314015</v>
      </c>
      <c r="CL61" s="21">
        <f>EXP(-LN(2)/25)*CL60+(1-EXP(-LN(2)/25))/(LN(2)/25)*Calculateur!CG61*Calculateur!CI61*VLOOKUP('Données projet'!$B$12,Paramètres!$A$1:$I$89,3,0)*0.475*44/12</f>
        <v>37.914256014930793</v>
      </c>
      <c r="CM61" s="21">
        <f>EXP(-LN(2)/2)*CM60+(1-EXP(-LN(2)/2))/(LN(2)/2)*CG61*CJ61*VLOOKUP('Données projet'!$B$12,Paramètres!$A$1:$I$89,3,0)*0.475*44/12</f>
        <v>1.8587803346643545</v>
      </c>
      <c r="CN61" s="22">
        <f t="shared" si="12"/>
        <v>102.01428888990917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4.8</v>
      </c>
      <c r="CT61" s="12">
        <f>IF('Données projet'!$A$140&gt;35,CT60+CS61-DB60,IF(A61&lt;'Données projet'!$A$140,$CQ$205^A61,IF(A61='Données projet'!$A$140,'Données projet'!$B$140,CT60+CS61-DB60)))</f>
        <v>161.4</v>
      </c>
      <c r="CU61" s="17">
        <f>CT61*VLOOKUP('Données projet'!$B$13,Paramètres!$A$1:$I$89,3,0)*VLOOKUP('Données projet'!$B$13,Paramètres!$A$1:$I$89,5,0)</f>
        <v>183.80232000000001</v>
      </c>
      <c r="CV61" s="13">
        <f t="shared" si="41"/>
        <v>46.167100377923383</v>
      </c>
      <c r="CW61" s="20">
        <f t="shared" si="13"/>
        <v>400.53007382488323</v>
      </c>
      <c r="CX61" s="59">
        <f t="shared" si="14"/>
        <v>693.86340715821655</v>
      </c>
      <c r="CY61" s="59">
        <f ca="1">AVERAGE(OFFSET($CX$3,0,0,'Données projet'!$E$13+1,1))-AVERAGE(OFFSET($H$3,0,0,'Données projet'!$E$13+1,1))</f>
        <v>389.89050053480827</v>
      </c>
      <c r="CZ61" s="59">
        <f t="shared" si="42"/>
        <v>216.40816051909616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3.5711350973977143</v>
      </c>
      <c r="DG61" s="21">
        <f>EXP(-LN(2)/25)*DG60+(1-EXP(-LN(2)/25))/(LN(2)/25)*Calculateur!DB61*Calculateur!DD61*VLOOKUP('Données projet'!$B$13,Paramètres!$A$1:$I$89,3,0)*0.475*44/12</f>
        <v>1.0085535220076507</v>
      </c>
      <c r="DH61" s="21">
        <f>EXP(-LN(2)/2)*DH60+(1-EXP(-LN(2)/2))/(LN(2)/2)*DB61*DE61*VLOOKUP('Données projet'!$B$13,Paramètres!$A$1:$I$89,3,0)*0.475*44/12</f>
        <v>0.30106199576395892</v>
      </c>
      <c r="DI61" s="22">
        <f t="shared" si="15"/>
        <v>4.8807506151693243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186.75071999999997</v>
      </c>
      <c r="P62" s="13">
        <f t="shared" si="33"/>
        <v>46.820863587839391</v>
      </c>
      <c r="Q62" s="20">
        <f t="shared" si="53"/>
        <v>406.80384141548689</v>
      </c>
      <c r="R62" s="59">
        <f t="shared" si="0"/>
        <v>700.13717474882014</v>
      </c>
      <c r="S62" s="59">
        <f ca="1">AVERAGE(OFFSET($R$3,0,0,'Données projet'!$E$9+1,1))-AVERAGE(OFFSET($H$3,0,0,'Données projet'!$E$9+1,1))</f>
        <v>371.7282125501186</v>
      </c>
      <c r="T62" s="59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20.042856388159805</v>
      </c>
      <c r="AA62" s="21">
        <f>EXP(-LN(2)/25)*AA61+(1-EXP(-LN(2)/25))/(LN(2)/25)*Calculateur!V62*Calculateur!X62*VLOOKUP('Données projet'!$B$9,Paramètres!$A$1:$I$89,3,0)*0.475*44/12</f>
        <v>1.641538693487665</v>
      </c>
      <c r="AB62" s="21">
        <f>EXP(-LN(2)/2)*AB61+(1-EXP(-LN(2)/2))/(LN(2)/2)*V62*Y62*VLOOKUP('Données projet'!$B$9,Paramètres!$A$1:$I$89,3,0)*0.475*44/12</f>
        <v>0.32835466541620661</v>
      </c>
      <c r="AC62" s="22">
        <f t="shared" si="3"/>
        <v>22.012749747063676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13.499999999999993</v>
      </c>
      <c r="AI62" s="13">
        <f>IF('Données projet'!$A$62&gt;35,AI61+AH62-AQ61,IF(A62&lt;'Données projet'!$A$62,$AF$205^A62,IF(A62='Données projet'!$A$62,'Données projet'!$B$62,AI61+AH62-AQ61)))</f>
        <v>392.28000000000014</v>
      </c>
      <c r="AJ62" s="13">
        <f>AI62*VLOOKUP('Données projet'!$B$10,Paramètres!$A$1:$I$89,3,0)*VLOOKUP('Données projet'!$B$10,Paramètres!$A$1:$I$89,5,0)</f>
        <v>183.58704000000009</v>
      </c>
      <c r="AK62" s="13">
        <f t="shared" si="35"/>
        <v>46.119317685403885</v>
      </c>
      <c r="AL62" s="20">
        <f t="shared" si="4"/>
        <v>400.07190630207856</v>
      </c>
      <c r="AM62" s="59">
        <f t="shared" si="5"/>
        <v>693.40523963541182</v>
      </c>
      <c r="AN62" s="59">
        <f ca="1">AVERAGE(OFFSET($AM$3,0,0,'Données projet'!$E$10+1,1))-AVERAGE(OFFSET($H$3,0,0,'Données projet'!$E$10+1,1))</f>
        <v>218.32525311070435</v>
      </c>
      <c r="AO62" s="59">
        <f t="shared" si="36"/>
        <v>275.36315264099204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18.285215494667</v>
      </c>
      <c r="AV62" s="21">
        <f>EXP(-LN(2)/25)*AV61+(1-EXP(-LN(2)/25))/(LN(2)/25)*Calculateur!AQ62*Calculateur!AS62*VLOOKUP('Données projet'!$B$10,Paramètres!$A$1:$I$89,3,0)*0.475*44/12</f>
        <v>10.322789097639921</v>
      </c>
      <c r="AW62" s="21">
        <f>EXP(-LN(2)/2)*AW61+(1-EXP(-LN(2)/2))/(LN(2)/2)*AQ62*AT62*VLOOKUP('Données projet'!$B$10,Paramètres!$A$1:$I$89,3,0)*0.475*44/12</f>
        <v>1.0663875868773292</v>
      </c>
      <c r="AX62" s="21">
        <f t="shared" si="6"/>
        <v>29.674392179184249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8.6</v>
      </c>
      <c r="BD62" s="12">
        <f>IF('Données projet'!$A$88&gt;35,BD61+BC62-BL61,IF(A62&lt;'Données projet'!$A$88,$BA$205^A62,IF(A62='Données projet'!$A$88,'Données projet'!$B$88,BD61+BC62-BL61)))</f>
        <v>334.4</v>
      </c>
      <c r="BE62" s="13">
        <f>BD62*VLOOKUP('Données projet'!$B$11,Paramètres!$A$1:$I$89,3,0)*VLOOKUP('Données projet'!$B$11,Paramètres!$A$1:$I$89,5,0)</f>
        <v>318.21503999999999</v>
      </c>
      <c r="BF62" s="13">
        <f t="shared" si="37"/>
        <v>74.981837200533874</v>
      </c>
      <c r="BG62" s="20">
        <f t="shared" si="7"/>
        <v>684.81789445759648</v>
      </c>
      <c r="BH62" s="59">
        <f t="shared" si="8"/>
        <v>978.15122779092985</v>
      </c>
      <c r="BI62" s="59">
        <f ca="1">AVERAGE(OFFSET($BH$3,0,0,'Données projet'!$E$11+1,1))-AVERAGE(OFFSET($H$3,0,0,'Données projet'!$E$11+1,1))</f>
        <v>446.62872871405051</v>
      </c>
      <c r="BJ62" s="59">
        <f t="shared" si="38"/>
        <v>471.28934889691658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41.317651742944186</v>
      </c>
      <c r="BQ62" s="21">
        <f>EXP(-LN(2)/25)*BQ61+(1-EXP(-LN(2)/25))/(LN(2)/25)*Calculateur!BL62*Calculateur!BN62*VLOOKUP('Données projet'!$B$11,Paramètres!$A$1:$I$89,3,0)*0.475*44/12</f>
        <v>2.8501507004668154</v>
      </c>
      <c r="BR62" s="21">
        <f>EXP(-LN(2)/2)*BR61+(1-EXP(-LN(2)/2))/(LN(2)/2)*BL62*BO62*VLOOKUP('Données projet'!$B$11,Paramètres!$A$1:$I$89,3,0)*0.475*44/12</f>
        <v>0.46104293551467113</v>
      </c>
      <c r="BS62" s="22">
        <f t="shared" si="9"/>
        <v>44.628845378925668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22.2</v>
      </c>
      <c r="BY62" s="12">
        <f>IF('Données projet'!$A$114&gt;35,BY61+BX62-CG61,IF(A62&lt;'Données projet'!$A$114,$BV$205^A62,IF(A62='Données projet'!$A$114,'Données projet'!$B$114,BY61+BX62-CG61)))</f>
        <v>872.80000000000018</v>
      </c>
      <c r="BZ62" s="13">
        <f>BY62*VLOOKUP('Données projet'!$B$12,Paramètres!$A$1:$I$89,3,0)*VLOOKUP('Données projet'!$B$12,Paramètres!$A$1:$I$89,5,0)</f>
        <v>385.77760000000012</v>
      </c>
      <c r="CA62" s="13">
        <f t="shared" si="39"/>
        <v>88.887244682264352</v>
      </c>
      <c r="CB62" s="20">
        <f t="shared" si="10"/>
        <v>826.7079378216107</v>
      </c>
      <c r="CC62" s="59">
        <f t="shared" si="11"/>
        <v>1120.0412711549441</v>
      </c>
      <c r="CD62" s="59">
        <f ca="1">AVERAGE(OFFSET($CC$3,0,0,'Données projet'!$E$12+1,1))-AVERAGE(OFFSET($H$3,0,0,'Données projet'!$E$12+1,1))</f>
        <v>534.99316143569899</v>
      </c>
      <c r="CE62" s="59">
        <f t="shared" si="40"/>
        <v>449.56965858934262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61.020739541413931</v>
      </c>
      <c r="CL62" s="21">
        <f>EXP(-LN(2)/25)*CL61+(1-EXP(-LN(2)/25))/(LN(2)/25)*Calculateur!CG62*Calculateur!CI62*VLOOKUP('Données projet'!$B$12,Paramètres!$A$1:$I$89,3,0)*0.475*44/12</f>
        <v>36.877488690378442</v>
      </c>
      <c r="CM62" s="21">
        <f>EXP(-LN(2)/2)*CM61+(1-EXP(-LN(2)/2))/(LN(2)/2)*CG62*CJ62*VLOOKUP('Données projet'!$B$12,Paramètres!$A$1:$I$89,3,0)*0.475*44/12</f>
        <v>1.3143561793773655</v>
      </c>
      <c r="CN62" s="22">
        <f t="shared" si="12"/>
        <v>99.212584411169743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4.8</v>
      </c>
      <c r="CT62" s="12">
        <f>IF('Données projet'!$A$140&gt;35,CT61+CS62-DB61,IF(A62&lt;'Données projet'!$A$140,$CQ$205^A62,IF(A62='Données projet'!$A$140,'Données projet'!$B$140,CT61+CS62-DB61)))</f>
        <v>166.20000000000002</v>
      </c>
      <c r="CU62" s="17">
        <f>CT62*VLOOKUP('Données projet'!$B$13,Paramètres!$A$1:$I$89,3,0)*VLOOKUP('Données projet'!$B$13,Paramètres!$A$1:$I$89,5,0)</f>
        <v>189.26856000000001</v>
      </c>
      <c r="CV62" s="13">
        <f t="shared" si="41"/>
        <v>47.378205568746992</v>
      </c>
      <c r="CW62" s="20">
        <f t="shared" si="13"/>
        <v>412.15978336556765</v>
      </c>
      <c r="CX62" s="59">
        <f t="shared" si="14"/>
        <v>705.49311669890096</v>
      </c>
      <c r="CY62" s="59">
        <f ca="1">AVERAGE(OFFSET($CX$3,0,0,'Données projet'!$E$13+1,1))-AVERAGE(OFFSET($H$3,0,0,'Données projet'!$E$13+1,1))</f>
        <v>389.89050053480827</v>
      </c>
      <c r="CZ62" s="59">
        <f t="shared" si="42"/>
        <v>216.40816051909616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3.5011073163150774</v>
      </c>
      <c r="DG62" s="21">
        <f>EXP(-LN(2)/25)*DG61+(1-EXP(-LN(2)/25))/(LN(2)/25)*Calculateur!DB62*Calculateur!DD62*VLOOKUP('Données projet'!$B$13,Paramètres!$A$1:$I$89,3,0)*0.475*44/12</f>
        <v>0.98097457291082679</v>
      </c>
      <c r="DH62" s="21">
        <f>EXP(-LN(2)/2)*DH61+(1-EXP(-LN(2)/2))/(LN(2)/2)*DB62*DE62*VLOOKUP('Données projet'!$B$13,Paramètres!$A$1:$I$89,3,0)*0.475*44/12</f>
        <v>0.21288297876225101</v>
      </c>
      <c r="DI62" s="22">
        <f t="shared" si="15"/>
        <v>4.6949648679881557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193.62719999999996</v>
      </c>
      <c r="P63" s="13">
        <f t="shared" si="33"/>
        <v>48.340990547231193</v>
      </c>
      <c r="Q63" s="20">
        <f t="shared" si="53"/>
        <v>421.42793186976087</v>
      </c>
      <c r="R63" s="59">
        <f t="shared" si="0"/>
        <v>714.76126520309413</v>
      </c>
      <c r="S63" s="59">
        <f ca="1">AVERAGE(OFFSET($R$3,0,0,'Données projet'!$E$9+1,1))-AVERAGE(OFFSET($H$3,0,0,'Données projet'!$E$9+1,1))</f>
        <v>371.7282125501186</v>
      </c>
      <c r="T63" s="59">
        <f t="shared" si="34"/>
        <v>231.36959598460686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0.34400000000000003</v>
      </c>
      <c r="X63" s="16">
        <f>IF(ISNA(VLOOKUP(A63,'Données projet'!$A$35:$I$55,6,0)),0%,VLOOKUP(A63,'Données projet'!$A$35:$I$55,6,0)*VLOOKUP('Données projet'!$B$9,Paramètres!$A$1:$I$89,7,0))</f>
        <v>1.72E-2</v>
      </c>
      <c r="Y63" s="16">
        <f>IF(ISNA(VLOOKUP(A63,'Données projet'!$A$35:$I$55,7,0)),0%,VLOOKUP(A63,'Données projet'!$A$35:$I$55,7,0))</f>
        <v>0.06</v>
      </c>
      <c r="Z63" s="21">
        <f>EXP(-LN(2)/35)*Z62+(1-EXP(-LN(2)/35))/(LN(2)/35)*V63*W63*VLOOKUP('Données projet'!$B$9,Paramètres!$A$1:$I$89,3,0)*0.475*44/12</f>
        <v>26.875486825399086</v>
      </c>
      <c r="AA63" s="21">
        <f>EXP(-LN(2)/25)*AA62+(1-EXP(-LN(2)/25))/(LN(2)/25)*Calculateur!V63*Calculateur!X63*VLOOKUP('Données projet'!$B$9,Paramètres!$A$1:$I$89,3,0)*0.475*44/12</f>
        <v>1.956511154333135</v>
      </c>
      <c r="AB63" s="21">
        <f>EXP(-LN(2)/2)*AB62+(1-EXP(-LN(2)/2))/(LN(2)/2)*V63*Y63*VLOOKUP('Données projet'!$B$9,Paramètres!$A$1:$I$89,3,0)*0.475*44/12</f>
        <v>1.3078477824920831</v>
      </c>
      <c r="AC63" s="22">
        <f t="shared" si="3"/>
        <v>30.139845762224304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405.78</v>
      </c>
      <c r="AG63" s="12">
        <f>VLOOKUP(A63,'Données projet'!$A$61:$I$81,9,0)</f>
        <v>13.499999999999993</v>
      </c>
      <c r="AH63" s="12">
        <f t="array" ref="AH63">INDEX(AG:AG,MIN(IF(ISNUMBER(AG63:AG259),ROW(AG63:AG259),"")))</f>
        <v>13.499999999999993</v>
      </c>
      <c r="AI63" s="13">
        <f>IF('Données projet'!$A$62&gt;35,AI62+AH63-AQ62,IF(A63&lt;'Données projet'!$A$62,$AF$205^A63,IF(A63='Données projet'!$A$62,'Données projet'!$B$62,AI62+AH63-AQ62)))</f>
        <v>405.78000000000014</v>
      </c>
      <c r="AJ63" s="13">
        <f>AI63*VLOOKUP('Données projet'!$B$10,Paramètres!$A$1:$I$89,3,0)*VLOOKUP('Données projet'!$B$10,Paramètres!$A$1:$I$89,5,0)</f>
        <v>189.90504000000007</v>
      </c>
      <c r="AK63" s="13">
        <f t="shared" si="35"/>
        <v>47.518957932699728</v>
      </c>
      <c r="AL63" s="20">
        <f t="shared" si="4"/>
        <v>413.51346306611873</v>
      </c>
      <c r="AM63" s="59">
        <f t="shared" si="5"/>
        <v>706.84679639945205</v>
      </c>
      <c r="AN63" s="59">
        <f ca="1">AVERAGE(OFFSET($AM$3,0,0,'Données projet'!$E$10+1,1))-AVERAGE(OFFSET($H$3,0,0,'Données projet'!$E$10+1,1))</f>
        <v>218.32525311070435</v>
      </c>
      <c r="AO63" s="59">
        <f t="shared" si="36"/>
        <v>275.36315264099204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405.78</v>
      </c>
      <c r="AR63" s="16">
        <f>IF(ISNA(VLOOKUP(A63,'Données projet'!$A$61:$I$81,5,0)),0%,VLOOKUP(A63,'Données projet'!$A$61:$I$81,5,0)*VLOOKUP('Données projet'!$B$10,Paramètres!$A$1:$I$89,7,0))</f>
        <v>0.27500000000000002</v>
      </c>
      <c r="AS63" s="16">
        <f>IF(ISNA(VLOOKUP(A63,'Données projet'!$A$61:$I$81,6,0)),0%,VLOOKUP(A63,'Données projet'!$A$61:$I$81,6,0)*VLOOKUP('Données projet'!$B$10,Paramètres!$A$1:$I$89,7,0))</f>
        <v>0.11000000000000001</v>
      </c>
      <c r="AT63" s="16">
        <f>IF(ISNA(VLOOKUP(A63,'Données projet'!$A$61:$I$81,7,0)),0%,VLOOKUP(A63,'Données projet'!$A$61:$I$81,7,0))</f>
        <v>0.3</v>
      </c>
      <c r="AU63" s="21">
        <f>EXP(-LN(2)/35)*AU62+(1-EXP(-LN(2)/35))/(LN(2)/35)*AQ63*AR63*VLOOKUP('Données projet'!$B$10,Paramètres!$A$1:$I$89,3,0)*0.475*44/12</f>
        <v>87.205004464223407</v>
      </c>
      <c r="AV63" s="21">
        <f>EXP(-LN(2)/25)*AV62+(1-EXP(-LN(2)/25))/(LN(2)/25)*Calculateur!AQ63*Calculateur!AS63*VLOOKUP('Données projet'!$B$10,Paramètres!$A$1:$I$89,3,0)*0.475*44/12</f>
        <v>37.642742138089694</v>
      </c>
      <c r="AW63" s="21">
        <f>EXP(-LN(2)/2)*AW62+(1-EXP(-LN(2)/2))/(LN(2)/2)*AQ63*AT63*VLOOKUP('Données projet'!$B$10,Paramètres!$A$1:$I$89,3,0)*0.475*44/12</f>
        <v>65.259035819370723</v>
      </c>
      <c r="AX63" s="21">
        <f t="shared" si="6"/>
        <v>190.10678242168382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343</v>
      </c>
      <c r="BB63" s="12">
        <f>VLOOKUP(A63,'Données projet'!$A$87:$I$107,9,0)</f>
        <v>8.6</v>
      </c>
      <c r="BC63" s="12">
        <f t="array" ref="BC63">INDEX(BB:BB,MIN(IF(ISNUMBER(BB63:BB259),ROW(BB63:BB259),"")))</f>
        <v>8.6</v>
      </c>
      <c r="BD63" s="12">
        <f>IF('Données projet'!$A$88&gt;35,BD62+BC63-BL62,IF(A63&lt;'Données projet'!$A$88,$BA$205^A63,IF(A63='Données projet'!$A$88,'Données projet'!$B$88,BD62+BC63-BL62)))</f>
        <v>343</v>
      </c>
      <c r="BE63" s="13">
        <f>BD63*VLOOKUP('Données projet'!$B$11,Paramètres!$A$1:$I$89,3,0)*VLOOKUP('Données projet'!$B$11,Paramètres!$A$1:$I$89,5,0)</f>
        <v>326.39879999999999</v>
      </c>
      <c r="BF63" s="13">
        <f t="shared" si="37"/>
        <v>76.683210401884097</v>
      </c>
      <c r="BG63" s="20">
        <f t="shared" si="7"/>
        <v>702.03450144994804</v>
      </c>
      <c r="BH63" s="59">
        <f t="shared" si="8"/>
        <v>995.3678347832813</v>
      </c>
      <c r="BI63" s="59">
        <f ca="1">AVERAGE(OFFSET($BH$3,0,0,'Données projet'!$E$11+1,1))-AVERAGE(OFFSET($H$3,0,0,'Données projet'!$E$11+1,1))</f>
        <v>446.62872871405051</v>
      </c>
      <c r="BJ63" s="59">
        <f t="shared" si="38"/>
        <v>471.28934889691658</v>
      </c>
      <c r="BK63" s="15">
        <f>IF(ISNA(VLOOKUP(A63,'Données projet'!$A$87:$I$107,3,0)),0,VLOOKUP(A63,'Données projet'!$A$87:$I$107,3,0))</f>
        <v>11</v>
      </c>
      <c r="BL63" s="15">
        <f>IF(ISNA(VLOOKUP(A63,'Données projet'!$A$87:$I$107,4,0)),0,VLOOKUP(A63,'Données projet'!$A$87:$I$107,4,0))</f>
        <v>27</v>
      </c>
      <c r="BM63" s="16">
        <f>IF(ISNA(VLOOKUP(A63,'Données projet'!$A$87:$I$107,5,0)),0%,VLOOKUP(A63,'Données projet'!$A$87:$I$107,5,0)*VLOOKUP('Données projet'!$B$11,Paramètres!$A$1:$I$89,7,0))</f>
        <v>0.34400000000000003</v>
      </c>
      <c r="BN63" s="16">
        <f>IF(ISNA(VLOOKUP(A63,'Données projet'!$A$87:$I$107,6,0)),0%,VLOOKUP(A63,'Données projet'!$A$87:$I$107,6,0)*VLOOKUP('Données projet'!$B$11,Paramètres!$A$1:$I$89,7,0))</f>
        <v>1.72E-2</v>
      </c>
      <c r="BO63" s="16">
        <f>IF(ISNA(VLOOKUP(A63,'Données projet'!$A$87:$I$107,7,0)),0%,VLOOKUP(A63,'Données projet'!$A$87:$I$107,7,0))</f>
        <v>0.06</v>
      </c>
      <c r="BP63" s="21">
        <f>EXP(-LN(2)/35)*BP62+(1-EXP(-LN(2)/35))/(LN(2)/35)*BL63*BM63*VLOOKUP('Données projet'!$B$11,Paramètres!$A$1:$I$89,3,0)*0.475*44/12</f>
        <v>50.278094408607295</v>
      </c>
      <c r="BQ63" s="21">
        <f>EXP(-LN(2)/25)*BQ62+(1-EXP(-LN(2)/25))/(LN(2)/25)*Calculateur!BL63*Calculateur!BN63*VLOOKUP('Données projet'!$B$11,Paramètres!$A$1:$I$89,3,0)*0.475*44/12</f>
        <v>3.2588224705325168</v>
      </c>
      <c r="BR63" s="21">
        <f>EXP(-LN(2)/2)*BR62+(1-EXP(-LN(2)/2))/(LN(2)/2)*BL63*BO63*VLOOKUP('Données projet'!$B$11,Paramètres!$A$1:$I$89,3,0)*0.475*44/12</f>
        <v>1.7805401294609255</v>
      </c>
      <c r="BS63" s="22">
        <f t="shared" si="9"/>
        <v>55.317457008600734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895</v>
      </c>
      <c r="BW63" s="12">
        <f>VLOOKUP(A63,'Données projet'!$A$113:$I$133,9,0)</f>
        <v>22.2</v>
      </c>
      <c r="BX63" s="12">
        <f t="array" ref="BX63">INDEX(BW:BW,MIN(IF(ISNUMBER(BW63:BW259),ROW(BW63:BW259),"")))</f>
        <v>22.2</v>
      </c>
      <c r="BY63" s="12">
        <f>IF('Données projet'!$A$114&gt;35,BY62+BX63-CG62,IF(A63&lt;'Données projet'!$A$114,$BV$205^A63,IF(A63='Données projet'!$A$114,'Données projet'!$B$114,BY62+BX63-CG62)))</f>
        <v>895.00000000000023</v>
      </c>
      <c r="BZ63" s="13">
        <f>BY63*VLOOKUP('Données projet'!$B$12,Paramètres!$A$1:$I$89,3,0)*VLOOKUP('Données projet'!$B$12,Paramètres!$A$1:$I$89,5,0)</f>
        <v>395.5900000000002</v>
      </c>
      <c r="CA63" s="13">
        <f t="shared" si="39"/>
        <v>90.882029353978083</v>
      </c>
      <c r="CB63" s="20">
        <f t="shared" si="10"/>
        <v>847.27211779151219</v>
      </c>
      <c r="CC63" s="59">
        <f t="shared" si="11"/>
        <v>1140.6054511248456</v>
      </c>
      <c r="CD63" s="59">
        <f ca="1">AVERAGE(OFFSET($CC$3,0,0,'Données projet'!$E$12+1,1))-AVERAGE(OFFSET($H$3,0,0,'Données projet'!$E$12+1,1))</f>
        <v>534.99316143569899</v>
      </c>
      <c r="CE63" s="59">
        <f t="shared" si="40"/>
        <v>449.56965858934262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48</v>
      </c>
      <c r="CH63" s="16">
        <f>IF(ISNA(VLOOKUP(A63,'Données projet'!$A$113:$I$133,5,0)),0%,VLOOKUP(A63,'Données projet'!$A$113:$I$133,5,0)*VLOOKUP('Données projet'!$B$12,Paramètres!$A$1:$I$89,7,0))</f>
        <v>0.33</v>
      </c>
      <c r="CI63" s="16">
        <f>IF(ISNA(VLOOKUP(A63,'Données projet'!$A$113:$I$133,6,0)),0%,VLOOKUP(A63,'Données projet'!$A$113:$I$133,6,0)*VLOOKUP('Données projet'!$B$12,Paramètres!$A$1:$I$89,7,0))</f>
        <v>0.13750000000000001</v>
      </c>
      <c r="CJ63" s="16">
        <f>IF(ISNA(VLOOKUP(A63,'Données projet'!$A$113:$I$133,7,0)),0%,VLOOKUP(A63,'Données projet'!$A$113:$I$133,7,0))</f>
        <v>0.15</v>
      </c>
      <c r="CK63" s="21">
        <f>EXP(-LN(2)/35)*CK62+(1-EXP(-LN(2)/35))/(LN(2)/35)*CG63*CH63*VLOOKUP('Données projet'!$B$12,Paramètres!$A$1:$I$89,3,0)*0.475*44/12</f>
        <v>69.111809248562608</v>
      </c>
      <c r="CL63" s="21">
        <f>EXP(-LN(2)/25)*CL62+(1-EXP(-LN(2)/25))/(LN(2)/25)*Calculateur!CG63*Calculateur!CI63*VLOOKUP('Données projet'!$B$12,Paramètres!$A$1:$I$89,3,0)*0.475*44/12</f>
        <v>39.723688563189135</v>
      </c>
      <c r="CM63" s="21">
        <f>EXP(-LN(2)/2)*CM62+(1-EXP(-LN(2)/2))/(LN(2)/2)*CG63*CJ63*VLOOKUP('Données projet'!$B$12,Paramètres!$A$1:$I$89,3,0)*0.475*44/12</f>
        <v>4.5326062309804023</v>
      </c>
      <c r="CN63" s="22">
        <f t="shared" si="12"/>
        <v>113.36810404273214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171</v>
      </c>
      <c r="CR63" s="12">
        <f>VLOOKUP(A63,'Données projet'!$A$139:$I$159,9,0)</f>
        <v>4.8</v>
      </c>
      <c r="CS63" s="12">
        <f t="array" ref="CS63">INDEX(CR:CR,MIN(IF(ISNUMBER(CR63:CR259),ROW(CR63:CR259),"")))</f>
        <v>4.8</v>
      </c>
      <c r="CT63" s="12">
        <f>IF('Données projet'!$A$140&gt;35,CT62+CS63-DB62,IF(A63&lt;'Données projet'!$A$140,$CQ$205^A63,IF(A63='Données projet'!$A$140,'Données projet'!$B$140,CT62+CS63-DB62)))</f>
        <v>171.00000000000003</v>
      </c>
      <c r="CU63" s="17">
        <f>CT63*VLOOKUP('Données projet'!$B$13,Paramètres!$A$1:$I$89,3,0)*VLOOKUP('Données projet'!$B$13,Paramètres!$A$1:$I$89,5,0)</f>
        <v>194.73480000000004</v>
      </c>
      <c r="CV63" s="13">
        <f t="shared" si="41"/>
        <v>48.585245586164582</v>
      </c>
      <c r="CW63" s="20">
        <f t="shared" si="13"/>
        <v>423.78241272923668</v>
      </c>
      <c r="CX63" s="59">
        <f t="shared" si="14"/>
        <v>717.11574606257</v>
      </c>
      <c r="CY63" s="59">
        <f ca="1">AVERAGE(OFFSET($CX$3,0,0,'Données projet'!$E$13+1,1))-AVERAGE(OFFSET($H$3,0,0,'Données projet'!$E$13+1,1))</f>
        <v>389.89050053480827</v>
      </c>
      <c r="CZ63" s="59">
        <f t="shared" si="42"/>
        <v>216.40816051909616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11</v>
      </c>
      <c r="DC63" s="16">
        <f>IF(ISNA(VLOOKUP(A63,'Données projet'!$A$139:$I$159,5,0)),0%,VLOOKUP(A63,'Données projet'!$A$139:$I$159,5,0)*VLOOKUP('Données projet'!$B$13,Paramètres!$A$1:$I$89,7,0))</f>
        <v>8.6000000000000007E-2</v>
      </c>
      <c r="DD63" s="16">
        <f>IF(ISNA(VLOOKUP(A63,'Données projet'!$A$139:$I$159,6,0)),0%,VLOOKUP(A63,'Données projet'!$A$139:$I$159,6,0)*VLOOKUP('Données projet'!$B$13,Paramètres!$A$1:$I$89,7,0))</f>
        <v>1.72E-2</v>
      </c>
      <c r="DE63" s="16">
        <f>IF(ISNA(VLOOKUP(A63,'Données projet'!$A$139:$I$159,7,0)),0%,VLOOKUP(A63,'Données projet'!$A$139:$I$159,7,0))</f>
        <v>0.06</v>
      </c>
      <c r="DF63" s="21">
        <f>EXP(-LN(2)/35)*DF62+(1-EXP(-LN(2)/35))/(LN(2)/35)*DB63*DC63*VLOOKUP('Données projet'!$B$13,Paramètres!$A$1:$I$89,3,0)*0.475*44/12</f>
        <v>4.6233812834354104</v>
      </c>
      <c r="DG63" s="21">
        <f>EXP(-LN(2)/25)*DG62+(1-EXP(-LN(2)/25))/(LN(2)/25)*Calculateur!DB63*Calculateur!DD63*VLOOKUP('Données projet'!$B$13,Paramètres!$A$1:$I$89,3,0)*0.475*44/12</f>
        <v>1.1913976529600112</v>
      </c>
      <c r="DH63" s="21">
        <f>EXP(-LN(2)/2)*DH62+(1-EXP(-LN(2)/2))/(LN(2)/2)*DB63*DE63*VLOOKUP('Données projet'!$B$13,Paramètres!$A$1:$I$89,3,0)*0.475*44/12</f>
        <v>0.859693375114706</v>
      </c>
      <c r="DI63" s="22">
        <f t="shared" si="15"/>
        <v>6.6744723115101277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181.14095999999995</v>
      </c>
      <c r="P64" s="13">
        <f t="shared" si="33"/>
        <v>45.575935320610945</v>
      </c>
      <c r="Q64" s="20">
        <f t="shared" si="53"/>
        <v>394.86525935006392</v>
      </c>
      <c r="R64" s="59">
        <f t="shared" si="0"/>
        <v>688.19859268339724</v>
      </c>
      <c r="S64" s="59">
        <f ca="1">AVERAGE(OFFSET($R$3,0,0,'Données projet'!$E$9+1,1))-AVERAGE(OFFSET($H$3,0,0,'Données projet'!$E$9+1,1))</f>
        <v>371.7282125501186</v>
      </c>
      <c r="T64" s="59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26.348474921181356</v>
      </c>
      <c r="AA64" s="21">
        <f>EXP(-LN(2)/25)*AA63+(1-EXP(-LN(2)/25))/(LN(2)/25)*Calculateur!V64*Calculateur!X64*VLOOKUP('Données projet'!$B$9,Paramètres!$A$1:$I$89,3,0)*0.475*44/12</f>
        <v>1.9030102539294456</v>
      </c>
      <c r="AB64" s="21">
        <f>EXP(-LN(2)/2)*AB63+(1-EXP(-LN(2)/2))/(LN(2)/2)*V64*Y64*VLOOKUP('Données projet'!$B$9,Paramètres!$A$1:$I$89,3,0)*0.475*44/12</f>
        <v>0.92478803575994084</v>
      </c>
      <c r="AC64" s="22">
        <f t="shared" si="3"/>
        <v>29.176273210870743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1.7053025658242404E-13</v>
      </c>
      <c r="AJ64" s="13">
        <f>AI64*VLOOKUP('Données projet'!$B$10,Paramètres!$A$1:$I$89,3,0)*VLOOKUP('Données projet'!$B$10,Paramètres!$A$1:$I$89,5,0)</f>
        <v>7.9808160080574461E-14</v>
      </c>
      <c r="AK64" s="13">
        <f t="shared" si="35"/>
        <v>1.2308384591775343E-12</v>
      </c>
      <c r="AL64" s="20">
        <f t="shared" si="4"/>
        <v>2.282709528541206E-12</v>
      </c>
      <c r="AM64" s="59">
        <f t="shared" si="5"/>
        <v>293.33333333333559</v>
      </c>
      <c r="AN64" s="59">
        <f ca="1">AVERAGE(OFFSET($AM$3,0,0,'Données projet'!$E$10+1,1))-AVERAGE(OFFSET($H$3,0,0,'Données projet'!$E$10+1,1))</f>
        <v>218.32525311070435</v>
      </c>
      <c r="AO64" s="59">
        <f t="shared" si="36"/>
        <v>275.36315264099204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85.494967516480656</v>
      </c>
      <c r="AV64" s="21">
        <f>EXP(-LN(2)/25)*AV63+(1-EXP(-LN(2)/25))/(LN(2)/25)*Calculateur!AQ64*Calculateur!AS64*VLOOKUP('Données projet'!$B$10,Paramètres!$A$1:$I$89,3,0)*0.475*44/12</f>
        <v>36.613399374777856</v>
      </c>
      <c r="AW64" s="21">
        <f>EXP(-LN(2)/2)*AW63+(1-EXP(-LN(2)/2))/(LN(2)/2)*AQ64*AT64*VLOOKUP('Données projet'!$B$10,Paramètres!$A$1:$I$89,3,0)*0.475*44/12</f>
        <v>46.145106761572848</v>
      </c>
      <c r="AX64" s="21">
        <f t="shared" si="6"/>
        <v>168.25347365283136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8.1999999999999993</v>
      </c>
      <c r="BD64" s="12">
        <f>IF('Données projet'!$A$88&gt;35,BD63+BC64-BL63,IF(A64&lt;'Données projet'!$A$88,$BA$205^A64,IF(A64='Données projet'!$A$88,'Données projet'!$B$88,BD63+BC64-BL63)))</f>
        <v>324.2</v>
      </c>
      <c r="BE64" s="13">
        <f>BD64*VLOOKUP('Données projet'!$B$11,Paramètres!$A$1:$I$89,3,0)*VLOOKUP('Données projet'!$B$11,Paramètres!$A$1:$I$89,5,0)</f>
        <v>308.50872000000004</v>
      </c>
      <c r="BF64" s="13">
        <f t="shared" si="37"/>
        <v>72.957304201434297</v>
      </c>
      <c r="BG64" s="20">
        <f t="shared" si="7"/>
        <v>664.38665881749807</v>
      </c>
      <c r="BH64" s="59">
        <f t="shared" si="8"/>
        <v>957.71999215083133</v>
      </c>
      <c r="BI64" s="59">
        <f ca="1">AVERAGE(OFFSET($BH$3,0,0,'Données projet'!$E$11+1,1))-AVERAGE(OFFSET($H$3,0,0,'Données projet'!$E$11+1,1))</f>
        <v>446.62872871405051</v>
      </c>
      <c r="BJ64" s="59">
        <f t="shared" si="38"/>
        <v>471.28934889691658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49.292171643864016</v>
      </c>
      <c r="BQ64" s="21">
        <f>EXP(-LN(2)/25)*BQ63+(1-EXP(-LN(2)/25))/(LN(2)/25)*Calculateur!BL64*Calculateur!BN64*VLOOKUP('Données projet'!$B$11,Paramètres!$A$1:$I$89,3,0)*0.475*44/12</f>
        <v>3.1697097987017795</v>
      </c>
      <c r="BR64" s="21">
        <f>EXP(-LN(2)/2)*BR63+(1-EXP(-LN(2)/2))/(LN(2)/2)*BL64*BO64*VLOOKUP('Données projet'!$B$11,Paramètres!$A$1:$I$89,3,0)*0.475*44/12</f>
        <v>1.2590319997165937</v>
      </c>
      <c r="BS64" s="22">
        <f t="shared" si="9"/>
        <v>53.720913442282388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19</v>
      </c>
      <c r="BY64" s="12">
        <f>IF('Données projet'!$A$114&gt;35,BY63+BX64-CG63,IF(A64&lt;'Données projet'!$A$114,$BV$205^A64,IF(A64='Données projet'!$A$114,'Données projet'!$B$114,BY63+BX64-CG63)))</f>
        <v>866.00000000000023</v>
      </c>
      <c r="BZ64" s="13">
        <f>BY64*VLOOKUP('Données projet'!$B$12,Paramètres!$A$1:$I$89,3,0)*VLOOKUP('Données projet'!$B$12,Paramètres!$A$1:$I$89,5,0)</f>
        <v>382.77200000000016</v>
      </c>
      <c r="CA64" s="13">
        <f t="shared" si="39"/>
        <v>88.2750539083722</v>
      </c>
      <c r="CB64" s="20">
        <f t="shared" si="10"/>
        <v>820.40695222374859</v>
      </c>
      <c r="CC64" s="59">
        <f t="shared" si="11"/>
        <v>1113.740285557082</v>
      </c>
      <c r="CD64" s="59">
        <f ca="1">AVERAGE(OFFSET($CC$3,0,0,'Données projet'!$E$12+1,1))-AVERAGE(OFFSET($H$3,0,0,'Données projet'!$E$12+1,1))</f>
        <v>534.99316143569899</v>
      </c>
      <c r="CE64" s="59">
        <f t="shared" si="40"/>
        <v>449.56965858934262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67.756568823239576</v>
      </c>
      <c r="CL64" s="21">
        <f>EXP(-LN(2)/25)*CL63+(1-EXP(-LN(2)/25))/(LN(2)/25)*Calculateur!CG64*Calculateur!CI64*VLOOKUP('Données projet'!$B$12,Paramètres!$A$1:$I$89,3,0)*0.475*44/12</f>
        <v>38.637442210450736</v>
      </c>
      <c r="CM64" s="21">
        <f>EXP(-LN(2)/2)*CM63+(1-EXP(-LN(2)/2))/(LN(2)/2)*CG64*CJ64*VLOOKUP('Données projet'!$B$12,Paramètres!$A$1:$I$89,3,0)*0.475*44/12</f>
        <v>3.2050366023746415</v>
      </c>
      <c r="CN64" s="22">
        <f t="shared" si="12"/>
        <v>109.59904763606495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4.5999999999999996</v>
      </c>
      <c r="CT64" s="12">
        <f>IF('Données projet'!$A$140&gt;35,CT63+CS64-DB63,IF(A64&lt;'Données projet'!$A$140,$CQ$205^A64,IF(A64='Données projet'!$A$140,'Données projet'!$B$140,CT63+CS64-DB63)))</f>
        <v>164.60000000000002</v>
      </c>
      <c r="CU64" s="17">
        <f>CT64*VLOOKUP('Données projet'!$B$13,Paramètres!$A$1:$I$89,3,0)*VLOOKUP('Données projet'!$B$13,Paramètres!$A$1:$I$89,5,0)</f>
        <v>187.44648000000004</v>
      </c>
      <c r="CV64" s="13">
        <f t="shared" si="41"/>
        <v>46.974962030978432</v>
      </c>
      <c r="CW64" s="20">
        <f t="shared" si="13"/>
        <v>408.28401153728754</v>
      </c>
      <c r="CX64" s="59">
        <f t="shared" si="14"/>
        <v>701.61734487062085</v>
      </c>
      <c r="CY64" s="59">
        <f ca="1">AVERAGE(OFFSET($CX$3,0,0,'Données projet'!$E$13+1,1))-AVERAGE(OFFSET($H$3,0,0,'Données projet'!$E$13+1,1))</f>
        <v>389.89050053480827</v>
      </c>
      <c r="CZ64" s="59">
        <f t="shared" si="42"/>
        <v>216.40816051909616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4.5327195964513747</v>
      </c>
      <c r="DG64" s="21">
        <f>EXP(-LN(2)/25)*DG63+(1-EXP(-LN(2)/25))/(LN(2)/25)*Calculateur!DB64*Calculateur!DD64*VLOOKUP('Données projet'!$B$13,Paramètres!$A$1:$I$89,3,0)*0.475*44/12</f>
        <v>1.1588188214869402</v>
      </c>
      <c r="DH64" s="21">
        <f>EXP(-LN(2)/2)*DH63+(1-EXP(-LN(2)/2))/(LN(2)/2)*DB64*DE64*VLOOKUP('Données projet'!$B$13,Paramètres!$A$1:$I$89,3,0)*0.475*44/12</f>
        <v>0.60789501528475898</v>
      </c>
      <c r="DI64" s="22">
        <f t="shared" si="15"/>
        <v>6.2994334332230739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187.65551999999994</v>
      </c>
      <c r="P65" s="13">
        <f t="shared" si="33"/>
        <v>47.021247649900147</v>
      </c>
      <c r="Q65" s="20">
        <f t="shared" si="53"/>
        <v>408.72870365690932</v>
      </c>
      <c r="R65" s="59">
        <f t="shared" si="0"/>
        <v>702.06203699024263</v>
      </c>
      <c r="S65" s="59">
        <f ca="1">AVERAGE(OFFSET($R$3,0,0,'Données projet'!$E$9+1,1))-AVERAGE(OFFSET($H$3,0,0,'Données projet'!$E$9+1,1))</f>
        <v>371.7282125501186</v>
      </c>
      <c r="T65" s="59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25.831797398959814</v>
      </c>
      <c r="AA65" s="21">
        <f>EXP(-LN(2)/25)*AA64+(1-EXP(-LN(2)/25))/(LN(2)/25)*Calculateur!V65*Calculateur!X65*VLOOKUP('Données projet'!$B$9,Paramètres!$A$1:$I$89,3,0)*0.475*44/12</f>
        <v>1.850972338460785</v>
      </c>
      <c r="AB65" s="21">
        <f>EXP(-LN(2)/2)*AB64+(1-EXP(-LN(2)/2))/(LN(2)/2)*V65*Y65*VLOOKUP('Données projet'!$B$9,Paramètres!$A$1:$I$89,3,0)*0.475*44/12</f>
        <v>0.65392389124604167</v>
      </c>
      <c r="AC65" s="22">
        <f t="shared" si="3"/>
        <v>28.336693628666641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1.7053025658242404E-13</v>
      </c>
      <c r="AJ65" s="13">
        <f>AI65*VLOOKUP('Données projet'!$B$10,Paramètres!$A$1:$I$89,3,0)*VLOOKUP('Données projet'!$B$10,Paramètres!$A$1:$I$89,5,0)</f>
        <v>7.9808160080574461E-14</v>
      </c>
      <c r="AK65" s="13">
        <f t="shared" si="35"/>
        <v>1.2308384591775343E-12</v>
      </c>
      <c r="AL65" s="20">
        <f t="shared" si="4"/>
        <v>2.282709528541206E-12</v>
      </c>
      <c r="AM65" s="59">
        <f t="shared" si="5"/>
        <v>293.33333333333559</v>
      </c>
      <c r="AN65" s="59">
        <f ca="1">AVERAGE(OFFSET($AM$3,0,0,'Données projet'!$E$10+1,1))-AVERAGE(OFFSET($H$3,0,0,'Données projet'!$E$10+1,1))</f>
        <v>218.32525311070435</v>
      </c>
      <c r="AO65" s="59">
        <f t="shared" si="36"/>
        <v>275.36315264099204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83.818463350263585</v>
      </c>
      <c r="AV65" s="21">
        <f>EXP(-LN(2)/25)*AV64+(1-EXP(-LN(2)/25))/(LN(2)/25)*Calculateur!AQ65*Calculateur!AS65*VLOOKUP('Données projet'!$B$10,Paramètres!$A$1:$I$89,3,0)*0.475*44/12</f>
        <v>35.612204043459563</v>
      </c>
      <c r="AW65" s="21">
        <f>EXP(-LN(2)/2)*AW64+(1-EXP(-LN(2)/2))/(LN(2)/2)*AQ65*AT65*VLOOKUP('Données projet'!$B$10,Paramètres!$A$1:$I$89,3,0)*0.475*44/12</f>
        <v>32.629517909685369</v>
      </c>
      <c r="AX65" s="21">
        <f t="shared" si="6"/>
        <v>152.06018530340853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8.1999999999999993</v>
      </c>
      <c r="BD65" s="12">
        <f>IF('Données projet'!$A$88&gt;35,BD64+BC65-BL64,IF(A65&lt;'Données projet'!$A$88,$BA$205^A65,IF(A65='Données projet'!$A$88,'Données projet'!$B$88,BD64+BC65-BL64)))</f>
        <v>332.4</v>
      </c>
      <c r="BE65" s="13">
        <f>BD65*VLOOKUP('Données projet'!$B$11,Paramètres!$A$1:$I$89,3,0)*VLOOKUP('Données projet'!$B$11,Paramètres!$A$1:$I$89,5,0)</f>
        <v>316.31183999999996</v>
      </c>
      <c r="BF65" s="13">
        <f t="shared" si="37"/>
        <v>74.585443271566461</v>
      </c>
      <c r="BG65" s="20">
        <f t="shared" si="7"/>
        <v>680.81276836464485</v>
      </c>
      <c r="BH65" s="59">
        <f t="shared" si="8"/>
        <v>974.14610169797811</v>
      </c>
      <c r="BI65" s="59">
        <f ca="1">AVERAGE(OFFSET($BH$3,0,0,'Données projet'!$E$11+1,1))-AVERAGE(OFFSET($H$3,0,0,'Données projet'!$E$11+1,1))</f>
        <v>446.62872871405051</v>
      </c>
      <c r="BJ65" s="59">
        <f t="shared" si="38"/>
        <v>471.28934889691658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48.325582223183851</v>
      </c>
      <c r="BQ65" s="21">
        <f>EXP(-LN(2)/25)*BQ64+(1-EXP(-LN(2)/25))/(LN(2)/25)*Calculateur!BL65*Calculateur!BN65*VLOOKUP('Données projet'!$B$11,Paramètres!$A$1:$I$89,3,0)*0.475*44/12</f>
        <v>3.0830339175684855</v>
      </c>
      <c r="BR65" s="21">
        <f>EXP(-LN(2)/2)*BR64+(1-EXP(-LN(2)/2))/(LN(2)/2)*BL65*BO65*VLOOKUP('Données projet'!$B$11,Paramètres!$A$1:$I$89,3,0)*0.475*44/12</f>
        <v>0.89027006473046288</v>
      </c>
      <c r="BS65" s="22">
        <f t="shared" si="9"/>
        <v>52.298886205482802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19</v>
      </c>
      <c r="BY65" s="12">
        <f>IF('Données projet'!$A$114&gt;35,BY64+BX65-CG64,IF(A65&lt;'Données projet'!$A$114,$BV$205^A65,IF(A65='Données projet'!$A$114,'Données projet'!$B$114,BY64+BX65-CG64)))</f>
        <v>885.00000000000023</v>
      </c>
      <c r="BZ65" s="13">
        <f>BY65*VLOOKUP('Données projet'!$B$12,Paramètres!$A$1:$I$89,3,0)*VLOOKUP('Données projet'!$B$12,Paramètres!$A$1:$I$89,5,0)</f>
        <v>391.17000000000013</v>
      </c>
      <c r="CA65" s="13">
        <f t="shared" si="39"/>
        <v>89.984199195650689</v>
      </c>
      <c r="CB65" s="20">
        <f t="shared" si="10"/>
        <v>838.01023026575831</v>
      </c>
      <c r="CC65" s="59">
        <f t="shared" si="11"/>
        <v>1131.3435635990916</v>
      </c>
      <c r="CD65" s="59">
        <f ca="1">AVERAGE(OFFSET($CC$3,0,0,'Données projet'!$E$12+1,1))-AVERAGE(OFFSET($H$3,0,0,'Données projet'!$E$12+1,1))</f>
        <v>534.99316143569899</v>
      </c>
      <c r="CE65" s="59">
        <f t="shared" si="40"/>
        <v>449.56965858934262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66.427903836042091</v>
      </c>
      <c r="CL65" s="21">
        <f>EXP(-LN(2)/25)*CL64+(1-EXP(-LN(2)/25))/(LN(2)/25)*Calculateur!CG65*Calculateur!CI65*VLOOKUP('Données projet'!$B$12,Paramètres!$A$1:$I$89,3,0)*0.475*44/12</f>
        <v>37.580899321351183</v>
      </c>
      <c r="CM65" s="21">
        <f>EXP(-LN(2)/2)*CM64+(1-EXP(-LN(2)/2))/(LN(2)/2)*CG65*CJ65*VLOOKUP('Données projet'!$B$12,Paramètres!$A$1:$I$89,3,0)*0.475*44/12</f>
        <v>2.2663031154902016</v>
      </c>
      <c r="CN65" s="22">
        <f t="shared" si="12"/>
        <v>106.27510627288348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4.5999999999999996</v>
      </c>
      <c r="CT65" s="12">
        <f>IF('Données projet'!$A$140&gt;35,CT64+CS65-DB64,IF(A65&lt;'Données projet'!$A$140,$CQ$205^A65,IF(A65='Données projet'!$A$140,'Données projet'!$B$140,CT64+CS65-DB64)))</f>
        <v>169.20000000000002</v>
      </c>
      <c r="CU65" s="17">
        <f>CT65*VLOOKUP('Données projet'!$B$13,Paramètres!$A$1:$I$89,3,0)*VLOOKUP('Données projet'!$B$13,Paramètres!$A$1:$I$89,5,0)</f>
        <v>192.68496000000002</v>
      </c>
      <c r="CV65" s="13">
        <f t="shared" si="41"/>
        <v>48.133073724826843</v>
      </c>
      <c r="CW65" s="20">
        <f t="shared" si="13"/>
        <v>419.42474207074014</v>
      </c>
      <c r="CX65" s="59">
        <f t="shared" si="14"/>
        <v>712.75807540407345</v>
      </c>
      <c r="CY65" s="59">
        <f ca="1">AVERAGE(OFFSET($CX$3,0,0,'Données projet'!$E$13+1,1))-AVERAGE(OFFSET($H$3,0,0,'Données projet'!$E$13+1,1))</f>
        <v>389.89050053480827</v>
      </c>
      <c r="CZ65" s="59">
        <f t="shared" si="42"/>
        <v>216.40816051909616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4.4438357298509272</v>
      </c>
      <c r="DG65" s="21">
        <f>EXP(-LN(2)/25)*DG64+(1-EXP(-LN(2)/25))/(LN(2)/25)*Calculateur!DB65*Calculateur!DD65*VLOOKUP('Données projet'!$B$13,Paramètres!$A$1:$I$89,3,0)*0.475*44/12</f>
        <v>1.1271308598737464</v>
      </c>
      <c r="DH65" s="21">
        <f>EXP(-LN(2)/2)*DH64+(1-EXP(-LN(2)/2))/(LN(2)/2)*DB65*DE65*VLOOKUP('Données projet'!$B$13,Paramètres!$A$1:$I$89,3,0)*0.475*44/12</f>
        <v>0.42984668755735306</v>
      </c>
      <c r="DI65" s="22">
        <f t="shared" si="15"/>
        <v>6.0008132772820266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194.17007999999996</v>
      </c>
      <c r="P66" s="13">
        <f t="shared" si="33"/>
        <v>48.460730182351035</v>
      </c>
      <c r="Q66" s="20">
        <f t="shared" si="53"/>
        <v>422.5819944009279</v>
      </c>
      <c r="R66" s="59">
        <f t="shared" si="0"/>
        <v>715.91532773426115</v>
      </c>
      <c r="S66" s="59">
        <f ca="1">AVERAGE(OFFSET($R$3,0,0,'Données projet'!$E$9+1,1))-AVERAGE(OFFSET($H$3,0,0,'Données projet'!$E$9+1,1))</f>
        <v>371.7282125501186</v>
      </c>
      <c r="T66" s="59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25.325251607806866</v>
      </c>
      <c r="AA66" s="21">
        <f>EXP(-LN(2)/25)*AA65+(1-EXP(-LN(2)/25))/(LN(2)/25)*Calculateur!V66*Calculateur!X66*VLOOKUP('Données projet'!$B$9,Paramètres!$A$1:$I$89,3,0)*0.475*44/12</f>
        <v>1.80035740252717</v>
      </c>
      <c r="AB66" s="21">
        <f>EXP(-LN(2)/2)*AB65+(1-EXP(-LN(2)/2))/(LN(2)/2)*V66*Y66*VLOOKUP('Données projet'!$B$9,Paramètres!$A$1:$I$89,3,0)*0.475*44/12</f>
        <v>0.46239401787997053</v>
      </c>
      <c r="AC66" s="22">
        <f t="shared" si="3"/>
        <v>27.588003028214004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1.7053025658242404E-13</v>
      </c>
      <c r="AJ66" s="13">
        <f>AI66*VLOOKUP('Données projet'!$B$10,Paramètres!$A$1:$I$89,3,0)*VLOOKUP('Données projet'!$B$10,Paramètres!$A$1:$I$89,5,0)</f>
        <v>7.9808160080574461E-14</v>
      </c>
      <c r="AK66" s="13">
        <f t="shared" si="35"/>
        <v>1.2308384591775343E-12</v>
      </c>
      <c r="AL66" s="20">
        <f t="shared" si="4"/>
        <v>2.282709528541206E-12</v>
      </c>
      <c r="AM66" s="59">
        <f t="shared" si="5"/>
        <v>293.33333333333559</v>
      </c>
      <c r="AN66" s="59">
        <f ca="1">AVERAGE(OFFSET($AM$3,0,0,'Données projet'!$E$10+1,1))-AVERAGE(OFFSET($H$3,0,0,'Données projet'!$E$10+1,1))</f>
        <v>218.32525311070435</v>
      </c>
      <c r="AO66" s="59">
        <f t="shared" si="36"/>
        <v>275.36315264099204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82.174834408179464</v>
      </c>
      <c r="AV66" s="21">
        <f>EXP(-LN(2)/25)*AV65+(1-EXP(-LN(2)/25))/(LN(2)/25)*Calculateur!AQ66*Calculateur!AS66*VLOOKUP('Données projet'!$B$10,Paramètres!$A$1:$I$89,3,0)*0.475*44/12</f>
        <v>34.638386451126742</v>
      </c>
      <c r="AW66" s="21">
        <f>EXP(-LN(2)/2)*AW65+(1-EXP(-LN(2)/2))/(LN(2)/2)*AQ66*AT66*VLOOKUP('Données projet'!$B$10,Paramètres!$A$1:$I$89,3,0)*0.475*44/12</f>
        <v>23.072553380786427</v>
      </c>
      <c r="AX66" s="21">
        <f t="shared" si="6"/>
        <v>139.88577424009262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8.1999999999999993</v>
      </c>
      <c r="BD66" s="12">
        <f>IF('Données projet'!$A$88&gt;35,BD65+BC66-BL65,IF(A66&lt;'Données projet'!$A$88,$BA$205^A66,IF(A66='Données projet'!$A$88,'Données projet'!$B$88,BD65+BC66-BL65)))</f>
        <v>340.59999999999997</v>
      </c>
      <c r="BE66" s="13">
        <f>BD66*VLOOKUP('Données projet'!$B$11,Paramètres!$A$1:$I$89,3,0)*VLOOKUP('Données projet'!$B$11,Paramètres!$A$1:$I$89,5,0)</f>
        <v>324.11495999999994</v>
      </c>
      <c r="BF66" s="13">
        <f t="shared" si="37"/>
        <v>76.208913378118069</v>
      </c>
      <c r="BG66" s="20">
        <f t="shared" si="7"/>
        <v>697.2307461335555</v>
      </c>
      <c r="BH66" s="59">
        <f t="shared" si="8"/>
        <v>990.56407946688887</v>
      </c>
      <c r="BI66" s="59">
        <f ca="1">AVERAGE(OFFSET($BH$3,0,0,'Données projet'!$E$11+1,1))-AVERAGE(OFFSET($H$3,0,0,'Données projet'!$E$11+1,1))</f>
        <v>446.62872871405051</v>
      </c>
      <c r="BJ66" s="59">
        <f t="shared" si="38"/>
        <v>471.28934889691658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47.377947031481888</v>
      </c>
      <c r="BQ66" s="21">
        <f>EXP(-LN(2)/25)*BQ65+(1-EXP(-LN(2)/25))/(LN(2)/25)*Calculateur!BL66*Calculateur!BN66*VLOOKUP('Données projet'!$B$11,Paramètres!$A$1:$I$89,3,0)*0.475*44/12</f>
        <v>2.9987281929628677</v>
      </c>
      <c r="BR66" s="21">
        <f>EXP(-LN(2)/2)*BR65+(1-EXP(-LN(2)/2))/(LN(2)/2)*BL66*BO66*VLOOKUP('Données projet'!$B$11,Paramètres!$A$1:$I$89,3,0)*0.475*44/12</f>
        <v>0.62951599985829698</v>
      </c>
      <c r="BS66" s="22">
        <f t="shared" si="9"/>
        <v>51.006191224303052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19</v>
      </c>
      <c r="BY66" s="12">
        <f>IF('Données projet'!$A$114&gt;35,BY65+BX66-CG65,IF(A66&lt;'Données projet'!$A$114,$BV$205^A66,IF(A66='Données projet'!$A$114,'Données projet'!$B$114,BY65+BX66-CG65)))</f>
        <v>904.00000000000023</v>
      </c>
      <c r="BZ66" s="13">
        <f>BY66*VLOOKUP('Données projet'!$B$12,Paramètres!$A$1:$I$89,3,0)*VLOOKUP('Données projet'!$B$12,Paramètres!$A$1:$I$89,5,0)</f>
        <v>399.56800000000015</v>
      </c>
      <c r="CA66" s="13">
        <f t="shared" si="39"/>
        <v>91.689078343716645</v>
      </c>
      <c r="CB66" s="20">
        <f t="shared" si="10"/>
        <v>855.60607811530679</v>
      </c>
      <c r="CC66" s="59">
        <f t="shared" si="11"/>
        <v>1148.9394114486402</v>
      </c>
      <c r="CD66" s="59">
        <f ca="1">AVERAGE(OFFSET($CC$3,0,0,'Données projet'!$E$12+1,1))-AVERAGE(OFFSET($H$3,0,0,'Données projet'!$E$12+1,1))</f>
        <v>534.99316143569899</v>
      </c>
      <c r="CE66" s="59">
        <f t="shared" si="40"/>
        <v>449.56965858934262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65.12529315883792</v>
      </c>
      <c r="CL66" s="21">
        <f>EXP(-LN(2)/25)*CL65+(1-EXP(-LN(2)/25))/(LN(2)/25)*Calculateur!CG66*Calculateur!CI66*VLOOKUP('Données projet'!$B$12,Paramètres!$A$1:$I$89,3,0)*0.475*44/12</f>
        <v>36.553247653115228</v>
      </c>
      <c r="CM66" s="21">
        <f>EXP(-LN(2)/2)*CM65+(1-EXP(-LN(2)/2))/(LN(2)/2)*CG66*CJ66*VLOOKUP('Données projet'!$B$12,Paramètres!$A$1:$I$89,3,0)*0.475*44/12</f>
        <v>1.602518301187321</v>
      </c>
      <c r="CN66" s="22">
        <f t="shared" si="12"/>
        <v>103.28105911314047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4.5999999999999996</v>
      </c>
      <c r="CT66" s="12">
        <f>IF('Données projet'!$A$140&gt;35,CT65+CS66-DB65,IF(A66&lt;'Données projet'!$A$140,$CQ$205^A66,IF(A66='Données projet'!$A$140,'Données projet'!$B$140,CT65+CS66-DB65)))</f>
        <v>173.8</v>
      </c>
      <c r="CU66" s="17">
        <f>CT66*VLOOKUP('Données projet'!$B$13,Paramètres!$A$1:$I$89,3,0)*VLOOKUP('Données projet'!$B$13,Paramètres!$A$1:$I$89,5,0)</f>
        <v>197.92344000000003</v>
      </c>
      <c r="CV66" s="13">
        <f t="shared" si="41"/>
        <v>49.287525845397752</v>
      </c>
      <c r="CW66" s="20">
        <f t="shared" si="13"/>
        <v>430.55909884740112</v>
      </c>
      <c r="CX66" s="59">
        <f t="shared" si="14"/>
        <v>723.89243218073443</v>
      </c>
      <c r="CY66" s="59">
        <f ca="1">AVERAGE(OFFSET($CX$3,0,0,'Données projet'!$E$13+1,1))-AVERAGE(OFFSET($H$3,0,0,'Données projet'!$E$13+1,1))</f>
        <v>389.89050053480827</v>
      </c>
      <c r="CZ66" s="59">
        <f t="shared" si="42"/>
        <v>216.40816051909616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4.3566948216607084</v>
      </c>
      <c r="DG66" s="21">
        <f>EXP(-LN(2)/25)*DG65+(1-EXP(-LN(2)/25))/(LN(2)/25)*Calculateur!DB66*Calculateur!DD66*VLOOKUP('Données projet'!$B$13,Paramètres!$A$1:$I$89,3,0)*0.475*44/12</f>
        <v>1.096309407237263</v>
      </c>
      <c r="DH66" s="21">
        <f>EXP(-LN(2)/2)*DH65+(1-EXP(-LN(2)/2))/(LN(2)/2)*DB66*DE66*VLOOKUP('Données projet'!$B$13,Paramètres!$A$1:$I$89,3,0)*0.475*44/12</f>
        <v>0.30394750764237954</v>
      </c>
      <c r="DI66" s="22">
        <f t="shared" si="15"/>
        <v>5.7569517365403513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200.68463999999992</v>
      </c>
      <c r="P67" s="13">
        <f t="shared" si="33"/>
        <v>49.894600936700193</v>
      </c>
      <c r="Q67" s="20">
        <f t="shared" ref="Q67:Q98" si="54">(O67+P67)*0.475*44/12</f>
        <v>436.42551129808606</v>
      </c>
      <c r="R67" s="59">
        <f t="shared" ref="R67:R130" si="55">Q67+(I67+J67)*44/12</f>
        <v>729.75884463141938</v>
      </c>
      <c r="S67" s="59">
        <f ca="1">AVERAGE(OFFSET($R$3,0,0,'Données projet'!$E$9+1,1))-AVERAGE(OFFSET($H$3,0,0,'Données projet'!$E$9+1,1))</f>
        <v>371.7282125501186</v>
      </c>
      <c r="T67" s="59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24.828638870656</v>
      </c>
      <c r="AA67" s="21">
        <f>EXP(-LN(2)/25)*AA66+(1-EXP(-LN(2)/25))/(LN(2)/25)*Calculateur!V67*Calculateur!X67*VLOOKUP('Données projet'!$B$9,Paramètres!$A$1:$I$89,3,0)*0.475*44/12</f>
        <v>1.7511265346783835</v>
      </c>
      <c r="AB67" s="21">
        <f>EXP(-LN(2)/2)*AB66+(1-EXP(-LN(2)/2))/(LN(2)/2)*V67*Y67*VLOOKUP('Données projet'!$B$9,Paramètres!$A$1:$I$89,3,0)*0.475*44/12</f>
        <v>0.32696194562302089</v>
      </c>
      <c r="AC67" s="22">
        <f t="shared" si="3"/>
        <v>26.906727350957407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1.7053025658242404E-13</v>
      </c>
      <c r="AJ67" s="13">
        <f>AI67*VLOOKUP('Données projet'!$B$10,Paramètres!$A$1:$I$89,3,0)*VLOOKUP('Données projet'!$B$10,Paramètres!$A$1:$I$89,5,0)</f>
        <v>7.9808160080574461E-14</v>
      </c>
      <c r="AK67" s="13">
        <f t="shared" si="35"/>
        <v>1.2308384591775343E-12</v>
      </c>
      <c r="AL67" s="20">
        <f t="shared" si="4"/>
        <v>2.282709528541206E-12</v>
      </c>
      <c r="AM67" s="59">
        <f t="shared" si="5"/>
        <v>293.33333333333559</v>
      </c>
      <c r="AN67" s="59">
        <f ca="1">AVERAGE(OFFSET($AM$3,0,0,'Données projet'!$E$10+1,1))-AVERAGE(OFFSET($H$3,0,0,'Données projet'!$E$10+1,1))</f>
        <v>218.32525311070435</v>
      </c>
      <c r="AO67" s="59">
        <f t="shared" si="36"/>
        <v>275.36315264099204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80.563436027134941</v>
      </c>
      <c r="AV67" s="21">
        <f>EXP(-LN(2)/25)*AV66+(1-EXP(-LN(2)/25))/(LN(2)/25)*Calculateur!AQ67*Calculateur!AS67*VLOOKUP('Données projet'!$B$10,Paramètres!$A$1:$I$89,3,0)*0.475*44/12</f>
        <v>33.691197952067107</v>
      </c>
      <c r="AW67" s="21">
        <f>EXP(-LN(2)/2)*AW66+(1-EXP(-LN(2)/2))/(LN(2)/2)*AQ67*AT67*VLOOKUP('Données projet'!$B$10,Paramètres!$A$1:$I$89,3,0)*0.475*44/12</f>
        <v>16.314758954842688</v>
      </c>
      <c r="AX67" s="21">
        <f t="shared" si="6"/>
        <v>130.56939293404474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8.1999999999999993</v>
      </c>
      <c r="BD67" s="12">
        <f>IF('Données projet'!$A$88&gt;35,BD66+BC67-BL66,IF(A67&lt;'Données projet'!$A$88,$BA$205^A67,IF(A67='Données projet'!$A$88,'Données projet'!$B$88,BD66+BC67-BL66)))</f>
        <v>348.79999999999995</v>
      </c>
      <c r="BE67" s="13">
        <f>BD67*VLOOKUP('Données projet'!$B$11,Paramètres!$A$1:$I$89,3,0)*VLOOKUP('Données projet'!$B$11,Paramètres!$A$1:$I$89,5,0)</f>
        <v>331.91807999999997</v>
      </c>
      <c r="BF67" s="13">
        <f t="shared" si="37"/>
        <v>77.827839860020077</v>
      </c>
      <c r="BG67" s="20">
        <f t="shared" si="7"/>
        <v>713.64081042286841</v>
      </c>
      <c r="BH67" s="59">
        <f t="shared" si="8"/>
        <v>1006.9741437562018</v>
      </c>
      <c r="BI67" s="59">
        <f ca="1">AVERAGE(OFFSET($BH$3,0,0,'Données projet'!$E$11+1,1))-AVERAGE(OFFSET($H$3,0,0,'Données projet'!$E$11+1,1))</f>
        <v>446.62872871405051</v>
      </c>
      <c r="BJ67" s="59">
        <f t="shared" si="38"/>
        <v>471.28934889691658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46.448894387888807</v>
      </c>
      <c r="BQ67" s="21">
        <f>EXP(-LN(2)/25)*BQ66+(1-EXP(-LN(2)/25))/(LN(2)/25)*Calculateur!BL67*Calculateur!BN67*VLOOKUP('Données projet'!$B$11,Paramètres!$A$1:$I$89,3,0)*0.475*44/12</f>
        <v>2.916727812830036</v>
      </c>
      <c r="BR67" s="21">
        <f>EXP(-LN(2)/2)*BR66+(1-EXP(-LN(2)/2))/(LN(2)/2)*BL67*BO67*VLOOKUP('Données projet'!$B$11,Paramètres!$A$1:$I$89,3,0)*0.475*44/12</f>
        <v>0.4451350323652315</v>
      </c>
      <c r="BS67" s="22">
        <f t="shared" si="9"/>
        <v>49.810757233084075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19</v>
      </c>
      <c r="BY67" s="12">
        <f>IF('Données projet'!$A$114&gt;35,BY66+BX67-CG66,IF(A67&lt;'Données projet'!$A$114,$BV$205^A67,IF(A67='Données projet'!$A$114,'Données projet'!$B$114,BY66+BX67-CG66)))</f>
        <v>923.00000000000023</v>
      </c>
      <c r="BZ67" s="13">
        <f>BY67*VLOOKUP('Données projet'!$B$12,Paramètres!$A$1:$I$89,3,0)*VLOOKUP('Données projet'!$B$12,Paramètres!$A$1:$I$89,5,0)</f>
        <v>407.96600000000018</v>
      </c>
      <c r="CA67" s="13">
        <f t="shared" si="39"/>
        <v>93.38979134645831</v>
      </c>
      <c r="CB67" s="20">
        <f t="shared" si="10"/>
        <v>873.19466992841524</v>
      </c>
      <c r="CC67" s="59">
        <f t="shared" si="11"/>
        <v>1166.5280032617486</v>
      </c>
      <c r="CD67" s="59">
        <f ca="1">AVERAGE(OFFSET($CC$3,0,0,'Données projet'!$E$12+1,1))-AVERAGE(OFFSET($H$3,0,0,'Données projet'!$E$12+1,1))</f>
        <v>534.99316143569899</v>
      </c>
      <c r="CE67" s="59">
        <f t="shared" si="40"/>
        <v>449.56965858934262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63.848225882499662</v>
      </c>
      <c r="CL67" s="21">
        <f>EXP(-LN(2)/25)*CL66+(1-EXP(-LN(2)/25))/(LN(2)/25)*Calculateur!CG67*Calculateur!CI67*VLOOKUP('Données projet'!$B$12,Paramètres!$A$1:$I$89,3,0)*0.475*44/12</f>
        <v>35.55369717378904</v>
      </c>
      <c r="CM67" s="21">
        <f>EXP(-LN(2)/2)*CM66+(1-EXP(-LN(2)/2))/(LN(2)/2)*CG67*CJ67*VLOOKUP('Données projet'!$B$12,Paramètres!$A$1:$I$89,3,0)*0.475*44/12</f>
        <v>1.133151557745101</v>
      </c>
      <c r="CN67" s="22">
        <f t="shared" si="12"/>
        <v>100.53507461403379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4.5999999999999996</v>
      </c>
      <c r="CT67" s="12">
        <f>IF('Données projet'!$A$140&gt;35,CT66+CS67-DB66,IF(A67&lt;'Données projet'!$A$140,$CQ$205^A67,IF(A67='Données projet'!$A$140,'Données projet'!$B$140,CT66+CS67-DB66)))</f>
        <v>178.4</v>
      </c>
      <c r="CU67" s="17">
        <f>CT67*VLOOKUP('Données projet'!$B$13,Paramètres!$A$1:$I$89,3,0)*VLOOKUP('Données projet'!$B$13,Paramètres!$A$1:$I$89,5,0)</f>
        <v>203.16192000000001</v>
      </c>
      <c r="CV67" s="13">
        <f t="shared" si="41"/>
        <v>50.43842638484039</v>
      </c>
      <c r="CW67" s="20">
        <f t="shared" si="13"/>
        <v>441.68726995359702</v>
      </c>
      <c r="CX67" s="59">
        <f t="shared" si="14"/>
        <v>735.02060328693028</v>
      </c>
      <c r="CY67" s="59">
        <f ca="1">AVERAGE(OFFSET($CX$3,0,0,'Données projet'!$E$13+1,1))-AVERAGE(OFFSET($H$3,0,0,'Données projet'!$E$13+1,1))</f>
        <v>389.89050053480827</v>
      </c>
      <c r="CZ67" s="59">
        <f t="shared" si="42"/>
        <v>216.40816051909616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4.271262693529394</v>
      </c>
      <c r="DG67" s="21">
        <f>EXP(-LN(2)/25)*DG66+(1-EXP(-LN(2)/25))/(LN(2)/25)*Calculateur!DB67*Calculateur!DD67*VLOOKUP('Données projet'!$B$13,Paramètres!$A$1:$I$89,3,0)*0.475*44/12</f>
        <v>1.0663307688439541</v>
      </c>
      <c r="DH67" s="21">
        <f>EXP(-LN(2)/2)*DH66+(1-EXP(-LN(2)/2))/(LN(2)/2)*DB67*DE67*VLOOKUP('Données projet'!$B$13,Paramètres!$A$1:$I$89,3,0)*0.475*44/12</f>
        <v>0.21492334377867656</v>
      </c>
      <c r="DI67" s="22">
        <f t="shared" si="15"/>
        <v>5.5525168061520249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207.19919999999991</v>
      </c>
      <c r="P68" s="13">
        <f t="shared" si="33"/>
        <v>51.3230629736655</v>
      </c>
      <c r="Q68" s="20">
        <f t="shared" si="54"/>
        <v>450.25960801246725</v>
      </c>
      <c r="R68" s="59">
        <f t="shared" si="55"/>
        <v>743.59294134580057</v>
      </c>
      <c r="S68" s="59">
        <f ca="1">AVERAGE(OFFSET($R$3,0,0,'Données projet'!$E$9+1,1))-AVERAGE(OFFSET($H$3,0,0,'Données projet'!$E$9+1,1))</f>
        <v>371.7282125501186</v>
      </c>
      <c r="T68" s="59">
        <f t="shared" si="34"/>
        <v>231.36959598460686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0.34400000000000003</v>
      </c>
      <c r="X68" s="16">
        <f>IF(ISNA(VLOOKUP(A68,'Données projet'!$A$35:$I$55,6,0)),0%,VLOOKUP(A68,'Données projet'!$A$35:$I$55,6,0)*VLOOKUP('Données projet'!$B$9,Paramètres!$A$1:$I$89,7,0))</f>
        <v>1.72E-2</v>
      </c>
      <c r="Y68" s="16">
        <f>IF(ISNA(VLOOKUP(A68,'Données projet'!$A$35:$I$55,7,0)),0%,VLOOKUP(A68,'Données projet'!$A$35:$I$55,7,0))</f>
        <v>0.06</v>
      </c>
      <c r="Z68" s="21">
        <f>EXP(-LN(2)/35)*Z67+(1-EXP(-LN(2)/35))/(LN(2)/35)*V68*W68*VLOOKUP('Données projet'!$B$9,Paramètres!$A$1:$I$89,3,0)*0.475*44/12</f>
        <v>31.567423032452613</v>
      </c>
      <c r="AA68" s="21">
        <f>EXP(-LN(2)/25)*AA67+(1-EXP(-LN(2)/25))/(LN(2)/25)*Calculateur!V68*Calculateur!X68*VLOOKUP('Données projet'!$B$9,Paramètres!$A$1:$I$89,3,0)*0.475*44/12</f>
        <v>2.0631023102435191</v>
      </c>
      <c r="AB68" s="21">
        <f>EXP(-LN(2)/2)*AB67+(1-EXP(-LN(2)/2))/(LN(2)/2)*V68*Y68*VLOOKUP('Données projet'!$B$9,Paramètres!$A$1:$I$89,3,0)*0.475*44/12</f>
        <v>1.3068629808820287</v>
      </c>
      <c r="AC68" s="22">
        <f t="shared" ref="AC68:AC131" si="57">SUM(Z68:AB68)</f>
        <v>34.937388323578162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1.7053025658242404E-13</v>
      </c>
      <c r="AJ68" s="13">
        <f>AI68*VLOOKUP('Données projet'!$B$10,Paramètres!$A$1:$I$89,3,0)*VLOOKUP('Données projet'!$B$10,Paramètres!$A$1:$I$89,5,0)</f>
        <v>7.9808160080574461E-14</v>
      </c>
      <c r="AK68" s="13">
        <f t="shared" si="35"/>
        <v>1.2308384591775343E-12</v>
      </c>
      <c r="AL68" s="20">
        <f t="shared" ref="AL68:AL131" si="58">(AJ68+AK68)*0.475*44/12</f>
        <v>2.282709528541206E-12</v>
      </c>
      <c r="AM68" s="59">
        <f t="shared" ref="AM68:AM131" si="59">AL68+(AD68+AE68)*44/12</f>
        <v>293.33333333333559</v>
      </c>
      <c r="AN68" s="59">
        <f ca="1">AVERAGE(OFFSET($AM$3,0,0,'Données projet'!$E$10+1,1))-AVERAGE(OFFSET($H$3,0,0,'Données projet'!$E$10+1,1))</f>
        <v>218.32525311070435</v>
      </c>
      <c r="AO68" s="59">
        <f t="shared" si="36"/>
        <v>275.36315264099204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78.983636185486745</v>
      </c>
      <c r="AV68" s="21">
        <f>EXP(-LN(2)/25)*AV67+(1-EXP(-LN(2)/25))/(LN(2)/25)*Calculateur!AQ68*Calculateur!AS68*VLOOKUP('Données projet'!$B$10,Paramètres!$A$1:$I$89,3,0)*0.475*44/12</f>
        <v>32.76991037232473</v>
      </c>
      <c r="AW68" s="21">
        <f>EXP(-LN(2)/2)*AW67+(1-EXP(-LN(2)/2))/(LN(2)/2)*AQ68*AT68*VLOOKUP('Données projet'!$B$10,Paramètres!$A$1:$I$89,3,0)*0.475*44/12</f>
        <v>11.536276690393215</v>
      </c>
      <c r="AX68" s="21">
        <f t="shared" ref="AX68:AX131" si="60">SUM(AU68:AW68)</f>
        <v>123.2898232482047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357</v>
      </c>
      <c r="BB68" s="12">
        <f>VLOOKUP(A68,'Données projet'!$A$87:$I$107,9,0)</f>
        <v>8.1999999999999993</v>
      </c>
      <c r="BC68" s="12">
        <f t="array" ref="BC68">INDEX(BB:BB,MIN(IF(ISNUMBER(BB68:BB264),ROW(BB68:BB264),"")))</f>
        <v>8.1999999999999993</v>
      </c>
      <c r="BD68" s="12">
        <f>IF('Données projet'!$A$88&gt;35,BD67+BC68-BL67,IF(A68&lt;'Données projet'!$A$88,$BA$205^A68,IF(A68='Données projet'!$A$88,'Données projet'!$B$88,BD67+BC68-BL67)))</f>
        <v>356.99999999999994</v>
      </c>
      <c r="BE68" s="13">
        <f>BD68*VLOOKUP('Données projet'!$B$11,Paramètres!$A$1:$I$89,3,0)*VLOOKUP('Données projet'!$B$11,Paramètres!$A$1:$I$89,5,0)</f>
        <v>339.72119999999995</v>
      </c>
      <c r="BF68" s="13">
        <f t="shared" si="37"/>
        <v>79.442341826785935</v>
      </c>
      <c r="BG68" s="20">
        <f t="shared" ref="BG68:BG131" si="61">(BE68+BF68)*0.475*44/12</f>
        <v>730.04316868165199</v>
      </c>
      <c r="BH68" s="59">
        <f t="shared" ref="BH68:BH131" si="62">BG68+(AY68+AZ68)*44/12</f>
        <v>1023.3765020149854</v>
      </c>
      <c r="BI68" s="59">
        <f ca="1">AVERAGE(OFFSET($BH$3,0,0,'Données projet'!$E$11+1,1))-AVERAGE(OFFSET($H$3,0,0,'Données projet'!$E$11+1,1))</f>
        <v>446.62872871405051</v>
      </c>
      <c r="BJ68" s="59">
        <f t="shared" si="38"/>
        <v>471.28934889691658</v>
      </c>
      <c r="BK68" s="15">
        <f>IF(ISNA(VLOOKUP(A68,'Données projet'!$A$87:$I$107,3,0)),0,VLOOKUP(A68,'Données projet'!$A$87:$I$107,3,0))</f>
        <v>12</v>
      </c>
      <c r="BL68" s="15">
        <f>IF(ISNA(VLOOKUP(A68,'Données projet'!$A$87:$I$107,4,0)),0,VLOOKUP(A68,'Données projet'!$A$87:$I$107,4,0))</f>
        <v>27</v>
      </c>
      <c r="BM68" s="16">
        <f>IF(ISNA(VLOOKUP(A68,'Données projet'!$A$87:$I$107,5,0)),0%,VLOOKUP(A68,'Données projet'!$A$87:$I$107,5,0)*VLOOKUP('Données projet'!$B$11,Paramètres!$A$1:$I$89,7,0))</f>
        <v>0.34400000000000003</v>
      </c>
      <c r="BN68" s="16">
        <f>IF(ISNA(VLOOKUP(A68,'Données projet'!$A$87:$I$107,6,0)),0%,VLOOKUP(A68,'Données projet'!$A$87:$I$107,6,0)*VLOOKUP('Données projet'!$B$11,Paramètres!$A$1:$I$89,7,0))</f>
        <v>1.72E-2</v>
      </c>
      <c r="BO68" s="16">
        <f>IF(ISNA(VLOOKUP(A68,'Données projet'!$A$87:$I$107,7,0)),0%,VLOOKUP(A68,'Données projet'!$A$87:$I$107,7,0))</f>
        <v>0.06</v>
      </c>
      <c r="BP68" s="21">
        <f>EXP(-LN(2)/35)*BP67+(1-EXP(-LN(2)/35))/(LN(2)/35)*BL68*BM68*VLOOKUP('Données projet'!$B$11,Paramètres!$A$1:$I$89,3,0)*0.475*44/12</f>
        <v>55.308716515033531</v>
      </c>
      <c r="BQ68" s="21">
        <f>EXP(-LN(2)/25)*BQ67+(1-EXP(-LN(2)/25))/(LN(2)/25)*Calculateur!BL68*Calculateur!BN68*VLOOKUP('Données projet'!$B$11,Paramètres!$A$1:$I$89,3,0)*0.475*44/12</f>
        <v>3.323579028257027</v>
      </c>
      <c r="BR68" s="21">
        <f>EXP(-LN(2)/2)*BR67+(1-EXP(-LN(2)/2))/(LN(2)/2)*BL68*BO68*VLOOKUP('Données projet'!$B$11,Paramètres!$A$1:$I$89,3,0)*0.475*44/12</f>
        <v>1.769291543269498</v>
      </c>
      <c r="BS68" s="22">
        <f t="shared" ref="BS68:BS131" si="63">SUM(BP68:BR68)</f>
        <v>60.401587086560056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942</v>
      </c>
      <c r="BW68" s="12">
        <f>VLOOKUP(A68,'Données projet'!$A$113:$I$133,9,0)</f>
        <v>19</v>
      </c>
      <c r="BX68" s="12">
        <f t="array" ref="BX68">INDEX(BW:BW,MIN(IF(ISNUMBER(BW68:BW264),ROW(BW68:BW264),"")))</f>
        <v>19</v>
      </c>
      <c r="BY68" s="12">
        <f>IF('Données projet'!$A$114&gt;35,BY67+BX68-CG67,IF(A68&lt;'Données projet'!$A$114,$BV$205^A68,IF(A68='Données projet'!$A$114,'Données projet'!$B$114,BY67+BX68-CG67)))</f>
        <v>942.00000000000023</v>
      </c>
      <c r="BZ68" s="13">
        <f>BY68*VLOOKUP('Données projet'!$B$12,Paramètres!$A$1:$I$89,3,0)*VLOOKUP('Données projet'!$B$12,Paramètres!$A$1:$I$89,5,0)</f>
        <v>416.36400000000015</v>
      </c>
      <c r="CA68" s="13">
        <f t="shared" si="39"/>
        <v>95.086433845702771</v>
      </c>
      <c r="CB68" s="20">
        <f t="shared" ref="CB68:CB131" si="64">(BZ68+CA68)*0.475*44/12</f>
        <v>890.77617228126599</v>
      </c>
      <c r="CC68" s="59">
        <f t="shared" ref="CC68:CC131" si="65">CB68+(BT68+BU68)*44/12</f>
        <v>1184.1095056145994</v>
      </c>
      <c r="CD68" s="59">
        <f ca="1">AVERAGE(OFFSET($CC$3,0,0,'Données projet'!$E$12+1,1))-AVERAGE(OFFSET($H$3,0,0,'Données projet'!$E$12+1,1))</f>
        <v>534.99316143569899</v>
      </c>
      <c r="CE68" s="59">
        <f t="shared" si="40"/>
        <v>449.56965858934262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43</v>
      </c>
      <c r="CH68" s="16">
        <f>IF(ISNA(VLOOKUP(A68,'Données projet'!$A$113:$I$133,5,0)),0%,VLOOKUP(A68,'Données projet'!$A$113:$I$133,5,0)*VLOOKUP('Données projet'!$B$12,Paramètres!$A$1:$I$89,7,0))</f>
        <v>0.33</v>
      </c>
      <c r="CI68" s="16">
        <f>IF(ISNA(VLOOKUP(A68,'Données projet'!$A$113:$I$133,6,0)),0%,VLOOKUP(A68,'Données projet'!$A$113:$I$133,6,0)*VLOOKUP('Données projet'!$B$12,Paramètres!$A$1:$I$89,7,0))</f>
        <v>0.13750000000000001</v>
      </c>
      <c r="CJ68" s="16">
        <f>IF(ISNA(VLOOKUP(A68,'Données projet'!$A$113:$I$133,7,0)),0%,VLOOKUP(A68,'Données projet'!$A$113:$I$133,7,0))</f>
        <v>0.15</v>
      </c>
      <c r="CK68" s="21">
        <f>EXP(-LN(2)/35)*CK67+(1-EXP(-LN(2)/35))/(LN(2)/35)*CG68*CH68*VLOOKUP('Données projet'!$B$12,Paramètres!$A$1:$I$89,3,0)*0.475*44/12</f>
        <v>70.916386849743958</v>
      </c>
      <c r="CL68" s="21">
        <f>EXP(-LN(2)/25)*CL67+(1-EXP(-LN(2)/25))/(LN(2)/25)*Calculateur!CG68*Calculateur!CI68*VLOOKUP('Données projet'!$B$12,Paramètres!$A$1:$I$89,3,0)*0.475*44/12</f>
        <v>38.034573618116049</v>
      </c>
      <c r="CM68" s="21">
        <f>EXP(-LN(2)/2)*CM67+(1-EXP(-LN(2)/2))/(LN(2)/2)*CG68*CJ68*VLOOKUP('Données projet'!$B$12,Paramètres!$A$1:$I$89,3,0)*0.475*44/12</f>
        <v>4.0291402076118619</v>
      </c>
      <c r="CN68" s="22">
        <f t="shared" ref="CN68:CN131" si="66">SUM(CK68:CM68)</f>
        <v>112.98010067547186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183</v>
      </c>
      <c r="CR68" s="12">
        <f>VLOOKUP(A68,'Données projet'!$A$139:$I$159,9,0)</f>
        <v>4.5999999999999996</v>
      </c>
      <c r="CS68" s="12">
        <f t="array" ref="CS68">INDEX(CR:CR,MIN(IF(ISNUMBER(CR68:CR264),ROW(CR68:CR264),"")))</f>
        <v>4.5999999999999996</v>
      </c>
      <c r="CT68" s="12">
        <f>IF('Données projet'!$A$140&gt;35,CT67+CS68-DB67,IF(A68&lt;'Données projet'!$A$140,$CQ$205^A68,IF(A68='Données projet'!$A$140,'Données projet'!$B$140,CT67+CS68-DB67)))</f>
        <v>183</v>
      </c>
      <c r="CU68" s="17">
        <f>CT68*VLOOKUP('Données projet'!$B$13,Paramètres!$A$1:$I$89,3,0)*VLOOKUP('Données projet'!$B$13,Paramètres!$A$1:$I$89,5,0)</f>
        <v>208.40040000000002</v>
      </c>
      <c r="CV68" s="13">
        <f t="shared" si="41"/>
        <v>51.585877448947251</v>
      </c>
      <c r="CW68" s="20">
        <f t="shared" ref="CW68:CW131" si="67">(CU68+CV68)*0.475*44/12</f>
        <v>452.80943322358308</v>
      </c>
      <c r="CX68" s="59">
        <f t="shared" ref="CX68:CX131" si="68">CW68+(CO68+CP68)*44/12</f>
        <v>746.1427665569164</v>
      </c>
      <c r="CY68" s="59">
        <f ca="1">AVERAGE(OFFSET($CX$3,0,0,'Données projet'!$E$13+1,1))-AVERAGE(OFFSET($H$3,0,0,'Données projet'!$E$13+1,1))</f>
        <v>389.89050053480827</v>
      </c>
      <c r="CZ68" s="59">
        <f t="shared" si="42"/>
        <v>216.40816051909616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11</v>
      </c>
      <c r="DC68" s="16">
        <f>IF(ISNA(VLOOKUP(A68,'Données projet'!$A$139:$I$159,5,0)),0%,VLOOKUP(A68,'Données projet'!$A$139:$I$159,5,0)*VLOOKUP('Données projet'!$B$13,Paramètres!$A$1:$I$89,7,0))</f>
        <v>8.6000000000000007E-2</v>
      </c>
      <c r="DD68" s="16">
        <f>IF(ISNA(VLOOKUP(A68,'Données projet'!$A$139:$I$159,6,0)),0%,VLOOKUP(A68,'Données projet'!$A$139:$I$159,6,0)*VLOOKUP('Données projet'!$B$13,Paramètres!$A$1:$I$89,7,0))</f>
        <v>1.72E-2</v>
      </c>
      <c r="DE68" s="16">
        <f>IF(ISNA(VLOOKUP(A68,'Données projet'!$A$139:$I$159,7,0)),0%,VLOOKUP(A68,'Données projet'!$A$139:$I$159,7,0))</f>
        <v>0.06</v>
      </c>
      <c r="DF68" s="21">
        <f>EXP(-LN(2)/35)*DF67+(1-EXP(-LN(2)/35))/(LN(2)/35)*DB68*DC68*VLOOKUP('Données projet'!$B$13,Paramètres!$A$1:$I$89,3,0)*0.475*44/12</f>
        <v>5.3784343834509514</v>
      </c>
      <c r="DG68" s="21">
        <f>EXP(-LN(2)/25)*DG67+(1-EXP(-LN(2)/25))/(LN(2)/25)*Calculateur!DB68*Calculateur!DD68*VLOOKUP('Données projet'!$B$13,Paramètres!$A$1:$I$89,3,0)*0.475*44/12</f>
        <v>1.2744197792266598</v>
      </c>
      <c r="DH68" s="21">
        <f>EXP(-LN(2)/2)*DH67+(1-EXP(-LN(2)/2))/(LN(2)/2)*DB68*DE68*VLOOKUP('Données projet'!$B$13,Paramètres!$A$1:$I$89,3,0)*0.475*44/12</f>
        <v>0.86113613105391629</v>
      </c>
      <c r="DI68" s="22">
        <f t="shared" ref="DI68:DI131" si="69">SUM(DF68:DH68)</f>
        <v>7.5139902937315277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194.35103999999993</v>
      </c>
      <c r="P69" s="13">
        <f t="shared" ref="P69:P132" si="87">EXP(-1.0587+0.8836*LN(O69)+0.284)</f>
        <v>48.500634729810159</v>
      </c>
      <c r="Q69" s="20">
        <f t="shared" si="54"/>
        <v>422.96666682108594</v>
      </c>
      <c r="R69" s="59">
        <f t="shared" si="55"/>
        <v>716.30000015441919</v>
      </c>
      <c r="S69" s="59">
        <f ca="1">AVERAGE(OFFSET($R$3,0,0,'Données projet'!$E$9+1,1))-AVERAGE(OFFSET($H$3,0,0,'Données projet'!$E$9+1,1))</f>
        <v>371.7282125501186</v>
      </c>
      <c r="T69" s="59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30.948405121013071</v>
      </c>
      <c r="AA69" s="21">
        <f>EXP(-LN(2)/25)*AA68+(1-EXP(-LN(2)/25))/(LN(2)/25)*Calculateur!V69*Calculateur!X69*VLOOKUP('Données projet'!$B$9,Paramètres!$A$1:$I$89,3,0)*0.475*44/12</f>
        <v>2.0066866690760747</v>
      </c>
      <c r="AB69" s="21">
        <f>EXP(-LN(2)/2)*AB68+(1-EXP(-LN(2)/2))/(LN(2)/2)*V69*Y69*VLOOKUP('Données projet'!$B$9,Paramètres!$A$1:$I$89,3,0)*0.475*44/12</f>
        <v>0.92409167586334795</v>
      </c>
      <c r="AC69" s="22">
        <f t="shared" si="57"/>
        <v>33.879183465952487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1.7053025658242404E-13</v>
      </c>
      <c r="AJ69" s="13">
        <f>AI69*VLOOKUP('Données projet'!$B$10,Paramètres!$A$1:$I$89,3,0)*VLOOKUP('Données projet'!$B$10,Paramètres!$A$1:$I$89,5,0)</f>
        <v>7.9808160080574461E-14</v>
      </c>
      <c r="AK69" s="13">
        <f t="shared" ref="AK69:AK132" si="89">EXP(-1.0587+0.8836*LN(AJ69)+0.284)</f>
        <v>1.2308384591775343E-12</v>
      </c>
      <c r="AL69" s="20">
        <f t="shared" si="58"/>
        <v>2.282709528541206E-12</v>
      </c>
      <c r="AM69" s="59">
        <f t="shared" si="59"/>
        <v>293.33333333333559</v>
      </c>
      <c r="AN69" s="59">
        <f ca="1">AVERAGE(OFFSET($AM$3,0,0,'Données projet'!$E$10+1,1))-AVERAGE(OFFSET($H$3,0,0,'Données projet'!$E$10+1,1))</f>
        <v>218.32525311070435</v>
      </c>
      <c r="AO69" s="59">
        <f t="shared" ref="AO69:AO132" si="90">$AO$3</f>
        <v>275.36315264099204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77.434815255150511</v>
      </c>
      <c r="AV69" s="21">
        <f>EXP(-LN(2)/25)*AV68+(1-EXP(-LN(2)/25))/(LN(2)/25)*Calculateur!AQ69*Calculateur!AS69*VLOOKUP('Données projet'!$B$10,Paramètres!$A$1:$I$89,3,0)*0.475*44/12</f>
        <v>31.873815449898821</v>
      </c>
      <c r="AW69" s="21">
        <f>EXP(-LN(2)/2)*AW68+(1-EXP(-LN(2)/2))/(LN(2)/2)*AQ69*AT69*VLOOKUP('Données projet'!$B$10,Paramètres!$A$1:$I$89,3,0)*0.475*44/12</f>
        <v>8.1573794774213439</v>
      </c>
      <c r="AX69" s="21">
        <f t="shared" si="60"/>
        <v>117.46601018247067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7.8</v>
      </c>
      <c r="BD69" s="12">
        <f>IF('Données projet'!$A$88&gt;35,BD68+BC69-BL68,IF(A69&lt;'Données projet'!$A$88,$BA$205^A69,IF(A69='Données projet'!$A$88,'Données projet'!$B$88,BD68+BC69-BL68)))</f>
        <v>337.79999999999995</v>
      </c>
      <c r="BE69" s="13">
        <f>BD69*VLOOKUP('Données projet'!$B$11,Paramètres!$A$1:$I$89,3,0)*VLOOKUP('Données projet'!$B$11,Paramètres!$A$1:$I$89,5,0)</f>
        <v>321.45047999999997</v>
      </c>
      <c r="BF69" s="13">
        <f t="shared" ref="BF69:BF132" si="91">EXP(-1.0587+0.8836*LN(BE69)+0.284)</f>
        <v>75.655074752634718</v>
      </c>
      <c r="BG69" s="20">
        <f t="shared" si="61"/>
        <v>691.62550786083875</v>
      </c>
      <c r="BH69" s="59">
        <f t="shared" si="62"/>
        <v>984.95884119417201</v>
      </c>
      <c r="BI69" s="59">
        <f ca="1">AVERAGE(OFFSET($BH$3,0,0,'Données projet'!$E$11+1,1))-AVERAGE(OFFSET($H$3,0,0,'Données projet'!$E$11+1,1))</f>
        <v>446.62872871405051</v>
      </c>
      <c r="BJ69" s="59">
        <f t="shared" ref="BJ69:BJ132" si="92">$BJ$3</f>
        <v>471.28934889691658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54.224146319159743</v>
      </c>
      <c r="BQ69" s="21">
        <f>EXP(-LN(2)/25)*BQ68+(1-EXP(-LN(2)/25))/(LN(2)/25)*Calculateur!BL69*Calculateur!BN69*VLOOKUP('Données projet'!$B$11,Paramètres!$A$1:$I$89,3,0)*0.475*44/12</f>
        <v>3.2326955849499135</v>
      </c>
      <c r="BR69" s="21">
        <f>EXP(-LN(2)/2)*BR68+(1-EXP(-LN(2)/2))/(LN(2)/2)*BL69*BO69*VLOOKUP('Données projet'!$B$11,Paramètres!$A$1:$I$89,3,0)*0.475*44/12</f>
        <v>1.251078048141874</v>
      </c>
      <c r="BS69" s="22">
        <f t="shared" si="63"/>
        <v>58.70791995225153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15.8</v>
      </c>
      <c r="BY69" s="12">
        <f>IF('Données projet'!$A$114&gt;35,BY68+BX69-CG68,IF(A69&lt;'Données projet'!$A$114,$BV$205^A69,IF(A69='Données projet'!$A$114,'Données projet'!$B$114,BY68+BX69-CG68)))</f>
        <v>914.80000000000018</v>
      </c>
      <c r="BZ69" s="13">
        <f>BY69*VLOOKUP('Données projet'!$B$12,Paramètres!$A$1:$I$89,3,0)*VLOOKUP('Données projet'!$B$12,Paramètres!$A$1:$I$89,5,0)</f>
        <v>404.34160000000014</v>
      </c>
      <c r="CA69" s="13">
        <f t="shared" ref="CA69:CA132" si="93">EXP(-1.0587+0.8836*LN(BZ69)+0.284)</f>
        <v>92.65630420555884</v>
      </c>
      <c r="CB69" s="20">
        <f t="shared" si="64"/>
        <v>865.60468315801518</v>
      </c>
      <c r="CC69" s="59">
        <f t="shared" si="65"/>
        <v>1158.9380164913484</v>
      </c>
      <c r="CD69" s="59">
        <f ca="1">AVERAGE(OFFSET($CC$3,0,0,'Données projet'!$E$12+1,1))-AVERAGE(OFFSET($H$3,0,0,'Données projet'!$E$12+1,1))</f>
        <v>534.99316143569899</v>
      </c>
      <c r="CE69" s="59">
        <f t="shared" ref="CE69:CE132" si="94">$CE$3</f>
        <v>449.56965858934262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69.525759758345401</v>
      </c>
      <c r="CL69" s="21">
        <f>EXP(-LN(2)/25)*CL68+(1-EXP(-LN(2)/25))/(LN(2)/25)*Calculateur!CG69*Calculateur!CI69*VLOOKUP('Données projet'!$B$12,Paramètres!$A$1:$I$89,3,0)*0.475*44/12</f>
        <v>36.994516202377369</v>
      </c>
      <c r="CM69" s="21">
        <f>EXP(-LN(2)/2)*CM68+(1-EXP(-LN(2)/2))/(LN(2)/2)*CG69*CJ69*VLOOKUP('Données projet'!$B$12,Paramètres!$A$1:$I$89,3,0)*0.475*44/12</f>
        <v>2.8490323631537215</v>
      </c>
      <c r="CN69" s="22">
        <f t="shared" si="66"/>
        <v>109.3693083238765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4.2</v>
      </c>
      <c r="CT69" s="12">
        <f>IF('Données projet'!$A$140&gt;35,CT68+CS69-DB68,IF(A69&lt;'Données projet'!$A$140,$CQ$205^A69,IF(A69='Données projet'!$A$140,'Données projet'!$B$140,CT68+CS69-DB68)))</f>
        <v>176.2</v>
      </c>
      <c r="CU69" s="17">
        <f>CT69*VLOOKUP('Données projet'!$B$13,Paramètres!$A$1:$I$89,3,0)*VLOOKUP('Données projet'!$B$13,Paramètres!$A$1:$I$89,5,0)</f>
        <v>200.65655999999996</v>
      </c>
      <c r="CV69" s="13">
        <f t="shared" ref="CV69:CV132" si="95">EXP(-1.0587+0.8836*LN(CU69)+0.284)</f>
        <v>49.888432206626362</v>
      </c>
      <c r="CW69" s="20">
        <f t="shared" si="67"/>
        <v>436.36586142654079</v>
      </c>
      <c r="CX69" s="59">
        <f t="shared" si="68"/>
        <v>729.6991947598741</v>
      </c>
      <c r="CY69" s="59">
        <f ca="1">AVERAGE(OFFSET($CX$3,0,0,'Données projet'!$E$13+1,1))-AVERAGE(OFFSET($H$3,0,0,'Données projet'!$E$13+1,1))</f>
        <v>389.89050053480827</v>
      </c>
      <c r="CZ69" s="59">
        <f t="shared" ref="CZ69:CZ132" si="96">$CZ$3</f>
        <v>216.40816051909616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5.2729665657125278</v>
      </c>
      <c r="DG69" s="21">
        <f>EXP(-LN(2)/25)*DG68+(1-EXP(-LN(2)/25))/(LN(2)/25)*Calculateur!DB69*Calculateur!DD69*VLOOKUP('Données projet'!$B$13,Paramètres!$A$1:$I$89,3,0)*0.475*44/12</f>
        <v>1.2395707033448833</v>
      </c>
      <c r="DH69" s="21">
        <f>EXP(-LN(2)/2)*DH68+(1-EXP(-LN(2)/2))/(LN(2)/2)*DB69*DE69*VLOOKUP('Données projet'!$B$13,Paramètres!$A$1:$I$89,3,0)*0.475*44/12</f>
        <v>0.60891519779297176</v>
      </c>
      <c r="DI69" s="22">
        <f t="shared" si="69"/>
        <v>7.1214524668503829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200.50367999999995</v>
      </c>
      <c r="P70" s="13">
        <f t="shared" si="87"/>
        <v>49.854845135229887</v>
      </c>
      <c r="Q70" s="20">
        <f t="shared" si="54"/>
        <v>436.04109794385857</v>
      </c>
      <c r="R70" s="59">
        <f t="shared" si="55"/>
        <v>729.37443127719189</v>
      </c>
      <c r="S70" s="59">
        <f ca="1">AVERAGE(OFFSET($R$3,0,0,'Données projet'!$E$9+1,1))-AVERAGE(OFFSET($H$3,0,0,'Données projet'!$E$9+1,1))</f>
        <v>371.7282125501186</v>
      </c>
      <c r="T70" s="59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30.341525773253213</v>
      </c>
      <c r="AA70" s="21">
        <f>EXP(-LN(2)/25)*AA69+(1-EXP(-LN(2)/25))/(LN(2)/25)*Calculateur!V70*Calculateur!X70*VLOOKUP('Données projet'!$B$9,Paramètres!$A$1:$I$89,3,0)*0.475*44/12</f>
        <v>1.951813716583124</v>
      </c>
      <c r="AB70" s="21">
        <f>EXP(-LN(2)/2)*AB69+(1-EXP(-LN(2)/2))/(LN(2)/2)*V70*Y70*VLOOKUP('Données projet'!$B$9,Paramètres!$A$1:$I$89,3,0)*0.475*44/12</f>
        <v>0.65343149044101445</v>
      </c>
      <c r="AC70" s="22">
        <f t="shared" si="57"/>
        <v>32.94677098027735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1.7053025658242404E-13</v>
      </c>
      <c r="AJ70" s="13">
        <f>AI70*VLOOKUP('Données projet'!$B$10,Paramètres!$A$1:$I$89,3,0)*VLOOKUP('Données projet'!$B$10,Paramètres!$A$1:$I$89,5,0)</f>
        <v>7.9808160080574461E-14</v>
      </c>
      <c r="AK70" s="13">
        <f t="shared" si="89"/>
        <v>1.2308384591775343E-12</v>
      </c>
      <c r="AL70" s="20">
        <f t="shared" si="58"/>
        <v>2.282709528541206E-12</v>
      </c>
      <c r="AM70" s="59">
        <f t="shared" si="59"/>
        <v>293.33333333333559</v>
      </c>
      <c r="AN70" s="59">
        <f ca="1">AVERAGE(OFFSET($AM$3,0,0,'Données projet'!$E$10+1,1))-AVERAGE(OFFSET($H$3,0,0,'Données projet'!$E$10+1,1))</f>
        <v>218.32525311070435</v>
      </c>
      <c r="AO70" s="59">
        <f t="shared" si="90"/>
        <v>275.36315264099204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75.916365758570677</v>
      </c>
      <c r="AV70" s="21">
        <f>EXP(-LN(2)/25)*AV69+(1-EXP(-LN(2)/25))/(LN(2)/25)*Calculateur!AQ70*Calculateur!AS70*VLOOKUP('Données projet'!$B$10,Paramètres!$A$1:$I$89,3,0)*0.475*44/12</f>
        <v>31.002224290250233</v>
      </c>
      <c r="AW70" s="21">
        <f>EXP(-LN(2)/2)*AW69+(1-EXP(-LN(2)/2))/(LN(2)/2)*AQ70*AT70*VLOOKUP('Données projet'!$B$10,Paramètres!$A$1:$I$89,3,0)*0.475*44/12</f>
        <v>5.7681383451966077</v>
      </c>
      <c r="AX70" s="21">
        <f t="shared" si="60"/>
        <v>112.68672839401751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7.8</v>
      </c>
      <c r="BD70" s="12">
        <f>IF('Données projet'!$A$88&gt;35,BD69+BC70-BL69,IF(A70&lt;'Données projet'!$A$88,$BA$205^A70,IF(A70='Données projet'!$A$88,'Données projet'!$B$88,BD69+BC70-BL69)))</f>
        <v>345.59999999999997</v>
      </c>
      <c r="BE70" s="13">
        <f>BD70*VLOOKUP('Données projet'!$B$11,Paramètres!$A$1:$I$89,3,0)*VLOOKUP('Données projet'!$B$11,Paramètres!$A$1:$I$89,5,0)</f>
        <v>328.87295999999998</v>
      </c>
      <c r="BF70" s="13">
        <f t="shared" si="91"/>
        <v>77.19659652092173</v>
      </c>
      <c r="BG70" s="20">
        <f t="shared" si="61"/>
        <v>707.2378109406053</v>
      </c>
      <c r="BH70" s="59">
        <f t="shared" si="62"/>
        <v>1000.5711442739387</v>
      </c>
      <c r="BI70" s="59">
        <f ca="1">AVERAGE(OFFSET($BH$3,0,0,'Données projet'!$E$11+1,1))-AVERAGE(OFFSET($H$3,0,0,'Données projet'!$E$11+1,1))</f>
        <v>446.62872871405051</v>
      </c>
      <c r="BJ70" s="59">
        <f t="shared" si="92"/>
        <v>471.28934889691658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53.160843883304544</v>
      </c>
      <c r="BQ70" s="21">
        <f>EXP(-LN(2)/25)*BQ69+(1-EXP(-LN(2)/25))/(LN(2)/25)*Calculateur!BL70*Calculateur!BN70*VLOOKUP('Données projet'!$B$11,Paramètres!$A$1:$I$89,3,0)*0.475*44/12</f>
        <v>3.1442973541793857</v>
      </c>
      <c r="BR70" s="21">
        <f>EXP(-LN(2)/2)*BR69+(1-EXP(-LN(2)/2))/(LN(2)/2)*BL70*BO70*VLOOKUP('Données projet'!$B$11,Paramètres!$A$1:$I$89,3,0)*0.475*44/12</f>
        <v>0.88464577163474911</v>
      </c>
      <c r="BS70" s="22">
        <f t="shared" si="63"/>
        <v>57.189787009118682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15.8</v>
      </c>
      <c r="BY70" s="12">
        <f>IF('Données projet'!$A$114&gt;35,BY69+BX70-CG69,IF(A70&lt;'Données projet'!$A$114,$BV$205^A70,IF(A70='Données projet'!$A$114,'Données projet'!$B$114,BY69+BX70-CG69)))</f>
        <v>930.60000000000014</v>
      </c>
      <c r="BZ70" s="13">
        <f>BY70*VLOOKUP('Données projet'!$B$12,Paramètres!$A$1:$I$89,3,0)*VLOOKUP('Données projet'!$B$12,Paramètres!$A$1:$I$89,5,0)</f>
        <v>411.32520000000011</v>
      </c>
      <c r="CA70" s="13">
        <f t="shared" si="93"/>
        <v>94.068931590477362</v>
      </c>
      <c r="CB70" s="20">
        <f t="shared" si="64"/>
        <v>880.22811252008159</v>
      </c>
      <c r="CC70" s="59">
        <f t="shared" si="65"/>
        <v>1173.5614458534149</v>
      </c>
      <c r="CD70" s="59">
        <f ca="1">AVERAGE(OFFSET($CC$3,0,0,'Données projet'!$E$12+1,1))-AVERAGE(OFFSET($H$3,0,0,'Données projet'!$E$12+1,1))</f>
        <v>534.99316143569899</v>
      </c>
      <c r="CE70" s="59">
        <f t="shared" si="94"/>
        <v>449.56965858934262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68.162402016010404</v>
      </c>
      <c r="CL70" s="21">
        <f>EXP(-LN(2)/25)*CL69+(1-EXP(-LN(2)/25))/(LN(2)/25)*Calculateur!CG70*Calculateur!CI70*VLOOKUP('Données projet'!$B$12,Paramètres!$A$1:$I$89,3,0)*0.475*44/12</f>
        <v>35.982899211366302</v>
      </c>
      <c r="CM70" s="21">
        <f>EXP(-LN(2)/2)*CM69+(1-EXP(-LN(2)/2))/(LN(2)/2)*CG70*CJ70*VLOOKUP('Données projet'!$B$12,Paramètres!$A$1:$I$89,3,0)*0.475*44/12</f>
        <v>2.0145701038059309</v>
      </c>
      <c r="CN70" s="22">
        <f t="shared" si="66"/>
        <v>106.15987133118264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4.2</v>
      </c>
      <c r="CT70" s="12">
        <f>IF('Données projet'!$A$140&gt;35,CT69+CS70-DB69,IF(A70&lt;'Données projet'!$A$140,$CQ$205^A70,IF(A70='Données projet'!$A$140,'Données projet'!$B$140,CT69+CS70-DB69)))</f>
        <v>180.39999999999998</v>
      </c>
      <c r="CU70" s="17">
        <f>CT70*VLOOKUP('Données projet'!$B$13,Paramètres!$A$1:$I$89,3,0)*VLOOKUP('Données projet'!$B$13,Paramètres!$A$1:$I$89,5,0)</f>
        <v>205.43951999999999</v>
      </c>
      <c r="CV70" s="13">
        <f t="shared" si="95"/>
        <v>50.937736199046086</v>
      </c>
      <c r="CW70" s="20">
        <f t="shared" si="67"/>
        <v>446.5237212133386</v>
      </c>
      <c r="CX70" s="59">
        <f t="shared" si="68"/>
        <v>739.85705454667186</v>
      </c>
      <c r="CY70" s="59">
        <f ca="1">AVERAGE(OFFSET($CX$3,0,0,'Données projet'!$E$13+1,1))-AVERAGE(OFFSET($H$3,0,0,'Données projet'!$E$13+1,1))</f>
        <v>389.89050053480827</v>
      </c>
      <c r="CZ70" s="59">
        <f t="shared" si="96"/>
        <v>216.40816051909616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5.1695669075509372</v>
      </c>
      <c r="DG70" s="21">
        <f>EXP(-LN(2)/25)*DG69+(1-EXP(-LN(2)/25))/(LN(2)/25)*Calculateur!DB70*Calculateur!DD70*VLOOKUP('Données projet'!$B$13,Paramètres!$A$1:$I$89,3,0)*0.475*44/12</f>
        <v>1.2056745772757271</v>
      </c>
      <c r="DH70" s="21">
        <f>EXP(-LN(2)/2)*DH69+(1-EXP(-LN(2)/2))/(LN(2)/2)*DB70*DE70*VLOOKUP('Données projet'!$B$13,Paramètres!$A$1:$I$89,3,0)*0.475*44/12</f>
        <v>0.4305680655269582</v>
      </c>
      <c r="DI70" s="22">
        <f t="shared" si="69"/>
        <v>6.8058095503536222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206.65631999999994</v>
      </c>
      <c r="P71" s="13">
        <f t="shared" si="87"/>
        <v>51.20422634371338</v>
      </c>
      <c r="Q71" s="20">
        <f t="shared" si="54"/>
        <v>449.10711821530072</v>
      </c>
      <c r="R71" s="59">
        <f t="shared" si="55"/>
        <v>742.44045154863397</v>
      </c>
      <c r="S71" s="59">
        <f ca="1">AVERAGE(OFFSET($R$3,0,0,'Données projet'!$E$9+1,1))-AVERAGE(OFFSET($H$3,0,0,'Données projet'!$E$9+1,1))</f>
        <v>371.7282125501186</v>
      </c>
      <c r="T71" s="59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29.746546959343075</v>
      </c>
      <c r="AA71" s="21">
        <f>EXP(-LN(2)/25)*AA70+(1-EXP(-LN(2)/25))/(LN(2)/25)*Calculateur!V71*Calculateur!X71*VLOOKUP('Données projet'!$B$9,Paramètres!$A$1:$I$89,3,0)*0.475*44/12</f>
        <v>1.8984412678617359</v>
      </c>
      <c r="AB71" s="21">
        <f>EXP(-LN(2)/2)*AB70+(1-EXP(-LN(2)/2))/(LN(2)/2)*V71*Y71*VLOOKUP('Données projet'!$B$9,Paramètres!$A$1:$I$89,3,0)*0.475*44/12</f>
        <v>0.46204583793167403</v>
      </c>
      <c r="AC71" s="22">
        <f t="shared" si="57"/>
        <v>32.107034065136482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1.7053025658242404E-13</v>
      </c>
      <c r="AJ71" s="13">
        <f>AI71*VLOOKUP('Données projet'!$B$10,Paramètres!$A$1:$I$89,3,0)*VLOOKUP('Données projet'!$B$10,Paramètres!$A$1:$I$89,5,0)</f>
        <v>7.9808160080574461E-14</v>
      </c>
      <c r="AK71" s="13">
        <f t="shared" si="89"/>
        <v>1.2308384591775343E-12</v>
      </c>
      <c r="AL71" s="20">
        <f t="shared" si="58"/>
        <v>2.282709528541206E-12</v>
      </c>
      <c r="AM71" s="59">
        <f t="shared" si="59"/>
        <v>293.33333333333559</v>
      </c>
      <c r="AN71" s="59">
        <f ca="1">AVERAGE(OFFSET($AM$3,0,0,'Données projet'!$E$10+1,1))-AVERAGE(OFFSET($H$3,0,0,'Données projet'!$E$10+1,1))</f>
        <v>218.32525311070435</v>
      </c>
      <c r="AO71" s="59">
        <f t="shared" si="90"/>
        <v>275.36315264099204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74.427692130456037</v>
      </c>
      <c r="AV71" s="21">
        <f>EXP(-LN(2)/25)*AV70+(1-EXP(-LN(2)/25))/(LN(2)/25)*Calculateur!AQ71*Calculateur!AS71*VLOOKUP('Données projet'!$B$10,Paramètres!$A$1:$I$89,3,0)*0.475*44/12</f>
        <v>30.154466836697221</v>
      </c>
      <c r="AW71" s="21">
        <f>EXP(-LN(2)/2)*AW70+(1-EXP(-LN(2)/2))/(LN(2)/2)*AQ71*AT71*VLOOKUP('Données projet'!$B$10,Paramètres!$A$1:$I$89,3,0)*0.475*44/12</f>
        <v>4.078689738710672</v>
      </c>
      <c r="AX71" s="21">
        <f t="shared" si="60"/>
        <v>108.66084870586394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7.8</v>
      </c>
      <c r="BD71" s="12">
        <f>IF('Données projet'!$A$88&gt;35,BD70+BC71-BL70,IF(A71&lt;'Données projet'!$A$88,$BA$205^A71,IF(A71='Données projet'!$A$88,'Données projet'!$B$88,BD70+BC71-BL70)))</f>
        <v>353.4</v>
      </c>
      <c r="BE71" s="13">
        <f>BD71*VLOOKUP('Données projet'!$B$11,Paramètres!$A$1:$I$89,3,0)*VLOOKUP('Données projet'!$B$11,Paramètres!$A$1:$I$89,5,0)</f>
        <v>336.29543999999999</v>
      </c>
      <c r="BF71" s="13">
        <f t="shared" si="91"/>
        <v>78.734073534927106</v>
      </c>
      <c r="BG71" s="20">
        <f t="shared" si="61"/>
        <v>722.84306940666465</v>
      </c>
      <c r="BH71" s="59">
        <f t="shared" si="62"/>
        <v>1016.1764027399979</v>
      </c>
      <c r="BI71" s="59">
        <f ca="1">AVERAGE(OFFSET($BH$3,0,0,'Données projet'!$E$11+1,1))-AVERAGE(OFFSET($H$3,0,0,'Données projet'!$E$11+1,1))</f>
        <v>446.62872871405051</v>
      </c>
      <c r="BJ71" s="59">
        <f t="shared" si="92"/>
        <v>471.28934889691658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52.118392159666016</v>
      </c>
      <c r="BQ71" s="21">
        <f>EXP(-LN(2)/25)*BQ70+(1-EXP(-LN(2)/25))/(LN(2)/25)*Calculateur!BL71*Calculateur!BN71*VLOOKUP('Données projet'!$B$11,Paramètres!$A$1:$I$89,3,0)*0.475*44/12</f>
        <v>3.0583163776779387</v>
      </c>
      <c r="BR71" s="21">
        <f>EXP(-LN(2)/2)*BR70+(1-EXP(-LN(2)/2))/(LN(2)/2)*BL71*BO71*VLOOKUP('Données projet'!$B$11,Paramètres!$A$1:$I$89,3,0)*0.475*44/12</f>
        <v>0.62553902407093709</v>
      </c>
      <c r="BS71" s="22">
        <f t="shared" si="63"/>
        <v>55.802247561414895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15.8</v>
      </c>
      <c r="BY71" s="12">
        <f>IF('Données projet'!$A$114&gt;35,BY70+BX71-CG70,IF(A71&lt;'Données projet'!$A$114,$BV$205^A71,IF(A71='Données projet'!$A$114,'Données projet'!$B$114,BY70+BX71-CG70)))</f>
        <v>946.40000000000009</v>
      </c>
      <c r="BZ71" s="13">
        <f>BY71*VLOOKUP('Données projet'!$B$12,Paramètres!$A$1:$I$89,3,0)*VLOOKUP('Données projet'!$B$12,Paramètres!$A$1:$I$89,5,0)</f>
        <v>418.30880000000008</v>
      </c>
      <c r="CA71" s="13">
        <f t="shared" si="93"/>
        <v>95.478769852644163</v>
      </c>
      <c r="CB71" s="20">
        <f t="shared" si="64"/>
        <v>894.84668416002194</v>
      </c>
      <c r="CC71" s="59">
        <f t="shared" si="65"/>
        <v>1188.1800174933553</v>
      </c>
      <c r="CD71" s="59">
        <f ca="1">AVERAGE(OFFSET($CC$3,0,0,'Données projet'!$E$12+1,1))-AVERAGE(OFFSET($H$3,0,0,'Données projet'!$E$12+1,1))</f>
        <v>534.99316143569899</v>
      </c>
      <c r="CE71" s="59">
        <f t="shared" si="94"/>
        <v>449.56965858934262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66.825778887436485</v>
      </c>
      <c r="CL71" s="21">
        <f>EXP(-LN(2)/25)*CL70+(1-EXP(-LN(2)/25))/(LN(2)/25)*Calculateur!CG71*Calculateur!CI71*VLOOKUP('Données projet'!$B$12,Paramètres!$A$1:$I$89,3,0)*0.475*44/12</f>
        <v>34.998944940173061</v>
      </c>
      <c r="CM71" s="21">
        <f>EXP(-LN(2)/2)*CM70+(1-EXP(-LN(2)/2))/(LN(2)/2)*CG71*CJ71*VLOOKUP('Données projet'!$B$12,Paramètres!$A$1:$I$89,3,0)*0.475*44/12</f>
        <v>1.4245161815768608</v>
      </c>
      <c r="CN71" s="22">
        <f t="shared" si="66"/>
        <v>103.24924000918641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4.2</v>
      </c>
      <c r="CT71" s="12">
        <f>IF('Données projet'!$A$140&gt;35,CT70+CS71-DB70,IF(A71&lt;'Données projet'!$A$140,$CQ$205^A71,IF(A71='Données projet'!$A$140,'Données projet'!$B$140,CT70+CS71-DB70)))</f>
        <v>184.59999999999997</v>
      </c>
      <c r="CU71" s="17">
        <f>CT71*VLOOKUP('Données projet'!$B$13,Paramètres!$A$1:$I$89,3,0)*VLOOKUP('Données projet'!$B$13,Paramètres!$A$1:$I$89,5,0)</f>
        <v>210.22247999999999</v>
      </c>
      <c r="CV71" s="13">
        <f t="shared" si="95"/>
        <v>51.984200179304807</v>
      </c>
      <c r="CW71" s="20">
        <f t="shared" si="67"/>
        <v>456.67663464562247</v>
      </c>
      <c r="CX71" s="59">
        <f t="shared" si="68"/>
        <v>750.00996797895573</v>
      </c>
      <c r="CY71" s="59">
        <f ca="1">AVERAGE(OFFSET($CX$3,0,0,'Données projet'!$E$13+1,1))-AVERAGE(OFFSET($H$3,0,0,'Données projet'!$E$13+1,1))</f>
        <v>389.89050053480827</v>
      </c>
      <c r="CZ71" s="59">
        <f t="shared" si="96"/>
        <v>216.40816051909616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5.0681948536183317</v>
      </c>
      <c r="DG71" s="21">
        <f>EXP(-LN(2)/25)*DG70+(1-EXP(-LN(2)/25))/(LN(2)/25)*Calculateur!DB71*Calculateur!DD71*VLOOKUP('Données projet'!$B$13,Paramètres!$A$1:$I$89,3,0)*0.475*44/12</f>
        <v>1.172705342556452</v>
      </c>
      <c r="DH71" s="21">
        <f>EXP(-LN(2)/2)*DH70+(1-EXP(-LN(2)/2))/(LN(2)/2)*DB71*DE71*VLOOKUP('Données projet'!$B$13,Paramètres!$A$1:$I$89,3,0)*0.475*44/12</f>
        <v>0.30445759889648588</v>
      </c>
      <c r="DI71" s="22">
        <f t="shared" si="69"/>
        <v>6.5453577950712694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212.80895999999996</v>
      </c>
      <c r="P72" s="13">
        <f t="shared" si="87"/>
        <v>52.548938637485847</v>
      </c>
      <c r="Q72" s="20">
        <f t="shared" si="54"/>
        <v>462.16500679362099</v>
      </c>
      <c r="R72" s="59">
        <f t="shared" si="55"/>
        <v>755.4983401269543</v>
      </c>
      <c r="S72" s="59">
        <f ca="1">AVERAGE(OFFSET($R$3,0,0,'Données projet'!$E$9+1,1))-AVERAGE(OFFSET($H$3,0,0,'Données projet'!$E$9+1,1))</f>
        <v>371.7282125501186</v>
      </c>
      <c r="T72" s="59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29.16323531707247</v>
      </c>
      <c r="AA72" s="21">
        <f>EXP(-LN(2)/25)*AA71+(1-EXP(-LN(2)/25))/(LN(2)/25)*Calculateur!V72*Calculateur!X72*VLOOKUP('Données projet'!$B$9,Paramètres!$A$1:$I$89,3,0)*0.475*44/12</f>
        <v>1.8465282915573695</v>
      </c>
      <c r="AB72" s="21">
        <f>EXP(-LN(2)/2)*AB71+(1-EXP(-LN(2)/2))/(LN(2)/2)*V72*Y72*VLOOKUP('Données projet'!$B$9,Paramètres!$A$1:$I$89,3,0)*0.475*44/12</f>
        <v>0.32671574522050723</v>
      </c>
      <c r="AC72" s="22">
        <f t="shared" si="57"/>
        <v>31.336479353850347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1.7053025658242404E-13</v>
      </c>
      <c r="AJ72" s="13">
        <f>AI72*VLOOKUP('Données projet'!$B$10,Paramètres!$A$1:$I$89,3,0)*VLOOKUP('Données projet'!$B$10,Paramètres!$A$1:$I$89,5,0)</f>
        <v>7.9808160080574461E-14</v>
      </c>
      <c r="AK72" s="13">
        <f t="shared" si="89"/>
        <v>1.2308384591775343E-12</v>
      </c>
      <c r="AL72" s="20">
        <f t="shared" si="58"/>
        <v>2.282709528541206E-12</v>
      </c>
      <c r="AM72" s="59">
        <f t="shared" si="59"/>
        <v>293.33333333333559</v>
      </c>
      <c r="AN72" s="59">
        <f ca="1">AVERAGE(OFFSET($AM$3,0,0,'Données projet'!$E$10+1,1))-AVERAGE(OFFSET($H$3,0,0,'Données projet'!$E$10+1,1))</f>
        <v>218.32525311070435</v>
      </c>
      <c r="AO72" s="59">
        <f t="shared" si="90"/>
        <v>275.36315264099204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72.968210484187466</v>
      </c>
      <c r="AV72" s="21">
        <f>EXP(-LN(2)/25)*AV71+(1-EXP(-LN(2)/25))/(LN(2)/25)*Calculateur!AQ72*Calculateur!AS72*VLOOKUP('Données projet'!$B$10,Paramètres!$A$1:$I$89,3,0)*0.475*44/12</f>
        <v>29.329891355293242</v>
      </c>
      <c r="AW72" s="21">
        <f>EXP(-LN(2)/2)*AW71+(1-EXP(-LN(2)/2))/(LN(2)/2)*AQ72*AT72*VLOOKUP('Données projet'!$B$10,Paramètres!$A$1:$I$89,3,0)*0.475*44/12</f>
        <v>2.8840691725983039</v>
      </c>
      <c r="AX72" s="21">
        <f t="shared" si="60"/>
        <v>105.18217101207901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7.8</v>
      </c>
      <c r="BD72" s="12">
        <f>IF('Données projet'!$A$88&gt;35,BD71+BC72-BL71,IF(A72&lt;'Données projet'!$A$88,$BA$205^A72,IF(A72='Données projet'!$A$88,'Données projet'!$B$88,BD71+BC72-BL71)))</f>
        <v>361.2</v>
      </c>
      <c r="BE72" s="13">
        <f>BD72*VLOOKUP('Données projet'!$B$11,Paramètres!$A$1:$I$89,3,0)*VLOOKUP('Données projet'!$B$11,Paramètres!$A$1:$I$89,5,0)</f>
        <v>343.71791999999999</v>
      </c>
      <c r="BF72" s="13">
        <f t="shared" si="91"/>
        <v>80.267605347458954</v>
      </c>
      <c r="BG72" s="20">
        <f t="shared" si="61"/>
        <v>738.44145664682435</v>
      </c>
      <c r="BH72" s="59">
        <f t="shared" si="62"/>
        <v>1031.7747899801577</v>
      </c>
      <c r="BI72" s="59">
        <f ca="1">AVERAGE(OFFSET($BH$3,0,0,'Données projet'!$E$11+1,1))-AVERAGE(OFFSET($H$3,0,0,'Données projet'!$E$11+1,1))</f>
        <v>446.62872871405051</v>
      </c>
      <c r="BJ72" s="59">
        <f t="shared" si="92"/>
        <v>471.28934889691658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51.09638227849527</v>
      </c>
      <c r="BQ72" s="21">
        <f>EXP(-LN(2)/25)*BQ71+(1-EXP(-LN(2)/25))/(LN(2)/25)*Calculateur!BL72*Calculateur!BN72*VLOOKUP('Données projet'!$B$11,Paramètres!$A$1:$I$89,3,0)*0.475*44/12</f>
        <v>2.9746865555004671</v>
      </c>
      <c r="BR72" s="21">
        <f>EXP(-LN(2)/2)*BR71+(1-EXP(-LN(2)/2))/(LN(2)/2)*BL72*BO72*VLOOKUP('Données projet'!$B$11,Paramètres!$A$1:$I$89,3,0)*0.475*44/12</f>
        <v>0.44232288581737461</v>
      </c>
      <c r="BS72" s="22">
        <f t="shared" si="63"/>
        <v>54.513391719813114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15.8</v>
      </c>
      <c r="BY72" s="12">
        <f>IF('Données projet'!$A$114&gt;35,BY71+BX72-CG71,IF(A72&lt;'Données projet'!$A$114,$BV$205^A72,IF(A72='Données projet'!$A$114,'Données projet'!$B$114,BY71+BX72-CG71)))</f>
        <v>962.2</v>
      </c>
      <c r="BZ72" s="13">
        <f>BY72*VLOOKUP('Données projet'!$B$12,Paramètres!$A$1:$I$89,3,0)*VLOOKUP('Données projet'!$B$12,Paramètres!$A$1:$I$89,5,0)</f>
        <v>425.29240000000004</v>
      </c>
      <c r="CA72" s="13">
        <f t="shared" si="93"/>
        <v>96.885870930458339</v>
      </c>
      <c r="CB72" s="20">
        <f t="shared" si="64"/>
        <v>909.46048853721504</v>
      </c>
      <c r="CC72" s="59">
        <f t="shared" si="65"/>
        <v>1202.7938218705483</v>
      </c>
      <c r="CD72" s="59">
        <f ca="1">AVERAGE(OFFSET($CC$3,0,0,'Données projet'!$E$12+1,1))-AVERAGE(OFFSET($H$3,0,0,'Données projet'!$E$12+1,1))</f>
        <v>534.99316143569899</v>
      </c>
      <c r="CE72" s="59">
        <f t="shared" si="94"/>
        <v>449.56965858934262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65.515366123154294</v>
      </c>
      <c r="CL72" s="21">
        <f>EXP(-LN(2)/25)*CL71+(1-EXP(-LN(2)/25))/(LN(2)/25)*Calculateur!CG72*Calculateur!CI72*VLOOKUP('Données projet'!$B$12,Paramètres!$A$1:$I$89,3,0)*0.475*44/12</f>
        <v>34.041896950269503</v>
      </c>
      <c r="CM72" s="21">
        <f>EXP(-LN(2)/2)*CM71+(1-EXP(-LN(2)/2))/(LN(2)/2)*CG72*CJ72*VLOOKUP('Données projet'!$B$12,Paramètres!$A$1:$I$89,3,0)*0.475*44/12</f>
        <v>1.0072850519029655</v>
      </c>
      <c r="CN72" s="22">
        <f t="shared" si="66"/>
        <v>100.56454812532677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4.2</v>
      </c>
      <c r="CT72" s="12">
        <f>IF('Données projet'!$A$140&gt;35,CT71+CS72-DB71,IF(A72&lt;'Données projet'!$A$140,$CQ$205^A72,IF(A72='Données projet'!$A$140,'Données projet'!$B$140,CT71+CS72-DB71)))</f>
        <v>188.79999999999995</v>
      </c>
      <c r="CU72" s="17">
        <f>CT72*VLOOKUP('Données projet'!$B$13,Paramètres!$A$1:$I$89,3,0)*VLOOKUP('Données projet'!$B$13,Paramètres!$A$1:$I$89,5,0)</f>
        <v>215.00543999999994</v>
      </c>
      <c r="CV72" s="13">
        <f t="shared" si="95"/>
        <v>53.027896201452869</v>
      </c>
      <c r="CW72" s="20">
        <f t="shared" si="67"/>
        <v>466.82472721753032</v>
      </c>
      <c r="CX72" s="59">
        <f t="shared" si="68"/>
        <v>760.15806055086364</v>
      </c>
      <c r="CY72" s="59">
        <f ca="1">AVERAGE(OFFSET($CX$3,0,0,'Données projet'!$E$13+1,1))-AVERAGE(OFFSET($H$3,0,0,'Données projet'!$E$13+1,1))</f>
        <v>389.89050053480827</v>
      </c>
      <c r="CZ72" s="59">
        <f t="shared" si="96"/>
        <v>216.40816051909616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4.968810643832497</v>
      </c>
      <c r="DG72" s="21">
        <f>EXP(-LN(2)/25)*DG71+(1-EXP(-LN(2)/25))/(LN(2)/25)*Calculateur!DB72*Calculateur!DD72*VLOOKUP('Données projet'!$B$13,Paramètres!$A$1:$I$89,3,0)*0.475*44/12</f>
        <v>1.1406376532943521</v>
      </c>
      <c r="DH72" s="21">
        <f>EXP(-LN(2)/2)*DH71+(1-EXP(-LN(2)/2))/(LN(2)/2)*DB72*DE72*VLOOKUP('Données projet'!$B$13,Paramètres!$A$1:$I$89,3,0)*0.475*44/12</f>
        <v>0.2152840327634791</v>
      </c>
      <c r="DI72" s="22">
        <f t="shared" si="69"/>
        <v>6.3247323298903284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218.96159999999998</v>
      </c>
      <c r="P73" s="13">
        <f t="shared" si="87"/>
        <v>53.88913250370743</v>
      </c>
      <c r="Q73" s="20">
        <f t="shared" si="54"/>
        <v>475.21502577729035</v>
      </c>
      <c r="R73" s="59">
        <f t="shared" si="55"/>
        <v>768.54835911062366</v>
      </c>
      <c r="S73" s="59">
        <f ca="1">AVERAGE(OFFSET($R$3,0,0,'Données projet'!$E$9+1,1))-AVERAGE(OFFSET($H$3,0,0,'Données projet'!$E$9+1,1))</f>
        <v>371.7282125501186</v>
      </c>
      <c r="T73" s="59">
        <f t="shared" si="88"/>
        <v>231.36959598460686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0.34400000000000003</v>
      </c>
      <c r="X73" s="16">
        <f>IF(ISNA(VLOOKUP(A73,'Données projet'!$A$35:$I$55,6,0)),0%,VLOOKUP(A73,'Données projet'!$A$35:$I$55,6,0)*VLOOKUP('Données projet'!$B$9,Paramètres!$A$1:$I$89,7,0))</f>
        <v>1.72E-2</v>
      </c>
      <c r="Y73" s="16">
        <f>IF(ISNA(VLOOKUP(A73,'Données projet'!$A$35:$I$55,7,0)),0%,VLOOKUP(A73,'Données projet'!$A$35:$I$55,7,0))</f>
        <v>0.06</v>
      </c>
      <c r="Z73" s="21">
        <f>EXP(-LN(2)/35)*Z72+(1-EXP(-LN(2)/35))/(LN(2)/35)*V73*W73*VLOOKUP('Données projet'!$B$9,Paramètres!$A$1:$I$89,3,0)*0.475*44/12</f>
        <v>35.817020686397626</v>
      </c>
      <c r="AA73" s="21">
        <f>EXP(-LN(2)/25)*AA72+(1-EXP(-LN(2)/25))/(LN(2)/25)*Calculateur!V73*Calculateur!X73*VLOOKUP('Données projet'!$B$9,Paramètres!$A$1:$I$89,3,0)*0.475*44/12</f>
        <v>2.1558953010636888</v>
      </c>
      <c r="AB73" s="21">
        <f>EXP(-LN(2)/2)*AB72+(1-EXP(-LN(2)/2))/(LN(2)/2)*V73*Y73*VLOOKUP('Données projet'!$B$9,Paramètres!$A$1:$I$89,3,0)*0.475*44/12</f>
        <v>1.3066888909078804</v>
      </c>
      <c r="AC73" s="22">
        <f t="shared" si="57"/>
        <v>39.279604878369192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1.7053025658242404E-13</v>
      </c>
      <c r="AJ73" s="13">
        <f>AI73*VLOOKUP('Données projet'!$B$10,Paramètres!$A$1:$I$89,3,0)*VLOOKUP('Données projet'!$B$10,Paramètres!$A$1:$I$89,5,0)</f>
        <v>7.9808160080574461E-14</v>
      </c>
      <c r="AK73" s="13">
        <f t="shared" si="89"/>
        <v>1.2308384591775343E-12</v>
      </c>
      <c r="AL73" s="20">
        <f t="shared" si="58"/>
        <v>2.282709528541206E-12</v>
      </c>
      <c r="AM73" s="59">
        <f t="shared" si="59"/>
        <v>293.33333333333559</v>
      </c>
      <c r="AN73" s="59">
        <f ca="1">AVERAGE(OFFSET($AM$3,0,0,'Données projet'!$E$10+1,1))-AVERAGE(OFFSET($H$3,0,0,'Données projet'!$E$10+1,1))</f>
        <v>218.32525311070435</v>
      </c>
      <c r="AO73" s="59">
        <f t="shared" si="90"/>
        <v>275.36315264099204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71.537348382806329</v>
      </c>
      <c r="AV73" s="21">
        <f>EXP(-LN(2)/25)*AV72+(1-EXP(-LN(2)/25))/(LN(2)/25)*Calculateur!AQ73*Calculateur!AS73*VLOOKUP('Données projet'!$B$10,Paramètres!$A$1:$I$89,3,0)*0.475*44/12</f>
        <v>28.527863933790798</v>
      </c>
      <c r="AW73" s="21">
        <f>EXP(-LN(2)/2)*AW72+(1-EXP(-LN(2)/2))/(LN(2)/2)*AQ73*AT73*VLOOKUP('Données projet'!$B$10,Paramètres!$A$1:$I$89,3,0)*0.475*44/12</f>
        <v>2.039344869355336</v>
      </c>
      <c r="AX73" s="21">
        <f t="shared" si="60"/>
        <v>102.10455718595246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369</v>
      </c>
      <c r="BB73" s="12">
        <f>VLOOKUP(A73,'Données projet'!$A$87:$I$107,9,0)</f>
        <v>7.8</v>
      </c>
      <c r="BC73" s="12">
        <f t="array" ref="BC73">INDEX(BB:BB,MIN(IF(ISNUMBER(BB73:BB269),ROW(BB73:BB269),"")))</f>
        <v>7.8</v>
      </c>
      <c r="BD73" s="12">
        <f>IF('Données projet'!$A$88&gt;35,BD72+BC73-BL72,IF(A73&lt;'Données projet'!$A$88,$BA$205^A73,IF(A73='Données projet'!$A$88,'Données projet'!$B$88,BD72+BC73-BL72)))</f>
        <v>369</v>
      </c>
      <c r="BE73" s="13">
        <f>BD73*VLOOKUP('Données projet'!$B$11,Paramètres!$A$1:$I$89,3,0)*VLOOKUP('Données projet'!$B$11,Paramètres!$A$1:$I$89,5,0)</f>
        <v>351.1404</v>
      </c>
      <c r="BF73" s="13">
        <f t="shared" si="91"/>
        <v>81.797286966116545</v>
      </c>
      <c r="BG73" s="20">
        <f t="shared" si="61"/>
        <v>754.03313813265288</v>
      </c>
      <c r="BH73" s="59">
        <f t="shared" si="62"/>
        <v>1047.3664714659863</v>
      </c>
      <c r="BI73" s="59">
        <f ca="1">AVERAGE(OFFSET($BH$3,0,0,'Données projet'!$E$11+1,1))-AVERAGE(OFFSET($H$3,0,0,'Données projet'!$E$11+1,1))</f>
        <v>446.62872871405051</v>
      </c>
      <c r="BJ73" s="59">
        <f t="shared" si="92"/>
        <v>471.28934889691658</v>
      </c>
      <c r="BK73" s="15">
        <f>IF(ISNA(VLOOKUP(A73,'Données projet'!$A$87:$I$107,3,0)),0,VLOOKUP(A73,'Données projet'!$A$87:$I$107,3,0))</f>
        <v>13</v>
      </c>
      <c r="BL73" s="15">
        <f>IF(ISNA(VLOOKUP(A73,'Données projet'!$A$87:$I$107,4,0)),0,VLOOKUP(A73,'Données projet'!$A$87:$I$107,4,0))</f>
        <v>26</v>
      </c>
      <c r="BM73" s="16">
        <f>IF(ISNA(VLOOKUP(A73,'Données projet'!$A$87:$I$107,5,0)),0%,VLOOKUP(A73,'Données projet'!$A$87:$I$107,5,0)*VLOOKUP('Données projet'!$B$11,Paramètres!$A$1:$I$89,7,0))</f>
        <v>0.34400000000000003</v>
      </c>
      <c r="BN73" s="16">
        <f>IF(ISNA(VLOOKUP(A73,'Données projet'!$A$87:$I$107,6,0)),0%,VLOOKUP(A73,'Données projet'!$A$87:$I$107,6,0)*VLOOKUP('Données projet'!$B$11,Paramètres!$A$1:$I$89,7,0))</f>
        <v>1.72E-2</v>
      </c>
      <c r="BO73" s="16">
        <f>IF(ISNA(VLOOKUP(A73,'Données projet'!$A$87:$I$107,7,0)),0%,VLOOKUP(A73,'Données projet'!$A$87:$I$107,7,0))</f>
        <v>0.06</v>
      </c>
      <c r="BP73" s="21">
        <f>EXP(-LN(2)/35)*BP72+(1-EXP(-LN(2)/35))/(LN(2)/35)*BL73*BM73*VLOOKUP('Données projet'!$B$11,Paramètres!$A$1:$I$89,3,0)*0.475*44/12</f>
        <v>59.50319383186465</v>
      </c>
      <c r="BQ73" s="21">
        <f>EXP(-LN(2)/25)*BQ72+(1-EXP(-LN(2)/25))/(LN(2)/25)*Calculateur!BL73*Calculateur!BN73*VLOOKUP('Données projet'!$B$11,Paramètres!$A$1:$I$89,3,0)*0.475*44/12</f>
        <v>3.3619303197333332</v>
      </c>
      <c r="BR73" s="21">
        <f>EXP(-LN(2)/2)*BR72+(1-EXP(-LN(2)/2))/(LN(2)/2)*BL73*BO73*VLOOKUP('Données projet'!$B$11,Paramètres!$A$1:$I$89,3,0)*0.475*44/12</f>
        <v>1.7134314426595088</v>
      </c>
      <c r="BS73" s="22">
        <f t="shared" si="63"/>
        <v>64.578555594257494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978</v>
      </c>
      <c r="BW73" s="12">
        <f>VLOOKUP(A73,'Données projet'!$A$113:$I$133,9,0)</f>
        <v>15.8</v>
      </c>
      <c r="BX73" s="12">
        <f t="array" ref="BX73">INDEX(BW:BW,MIN(IF(ISNUMBER(BW73:BW269),ROW(BW73:BW269),"")))</f>
        <v>15.8</v>
      </c>
      <c r="BY73" s="12">
        <f>IF('Données projet'!$A$114&gt;35,BY72+BX73-CG72,IF(A73&lt;'Données projet'!$A$114,$BV$205^A73,IF(A73='Données projet'!$A$114,'Données projet'!$B$114,BY72+BX73-CG72)))</f>
        <v>978</v>
      </c>
      <c r="BZ73" s="13">
        <f>BY73*VLOOKUP('Données projet'!$B$12,Paramètres!$A$1:$I$89,3,0)*VLOOKUP('Données projet'!$B$12,Paramètres!$A$1:$I$89,5,0)</f>
        <v>432.27600000000007</v>
      </c>
      <c r="CA73" s="13">
        <f t="shared" si="93"/>
        <v>98.290284958796846</v>
      </c>
      <c r="CB73" s="20">
        <f t="shared" si="64"/>
        <v>924.0696129699046</v>
      </c>
      <c r="CC73" s="59">
        <f t="shared" si="65"/>
        <v>1217.402946303238</v>
      </c>
      <c r="CD73" s="59">
        <f ca="1">AVERAGE(OFFSET($CC$3,0,0,'Données projet'!$E$12+1,1))-AVERAGE(OFFSET($H$3,0,0,'Données projet'!$E$12+1,1))</f>
        <v>534.99316143569899</v>
      </c>
      <c r="CE73" s="59">
        <f t="shared" si="94"/>
        <v>449.56965858934262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38</v>
      </c>
      <c r="CH73" s="16">
        <f>IF(ISNA(VLOOKUP(A73,'Données projet'!$A$113:$I$133,5,0)),0%,VLOOKUP(A73,'Données projet'!$A$113:$I$133,5,0)*VLOOKUP('Données projet'!$B$12,Paramètres!$A$1:$I$89,7,0))</f>
        <v>0.33</v>
      </c>
      <c r="CI73" s="16">
        <f>IF(ISNA(VLOOKUP(A73,'Données projet'!$A$113:$I$133,6,0)),0%,VLOOKUP(A73,'Données projet'!$A$113:$I$133,6,0)*VLOOKUP('Données projet'!$B$12,Paramètres!$A$1:$I$89,7,0))</f>
        <v>0.13750000000000001</v>
      </c>
      <c r="CJ73" s="16">
        <f>IF(ISNA(VLOOKUP(A73,'Données projet'!$A$113:$I$133,7,0)),0%,VLOOKUP(A73,'Données projet'!$A$113:$I$133,7,0))</f>
        <v>0.15</v>
      </c>
      <c r="CK73" s="21">
        <f>EXP(-LN(2)/35)*CK72+(1-EXP(-LN(2)/35))/(LN(2)/35)*CG73*CH73*VLOOKUP('Données projet'!$B$12,Paramètres!$A$1:$I$89,3,0)*0.475*44/12</f>
        <v>71.583372029782439</v>
      </c>
      <c r="CL73" s="21">
        <f>EXP(-LN(2)/25)*CL72+(1-EXP(-LN(2)/25))/(LN(2)/25)*Calculateur!CG73*Calculateur!CI73*VLOOKUP('Données projet'!$B$12,Paramètres!$A$1:$I$89,3,0)*0.475*44/12</f>
        <v>36.162591074090777</v>
      </c>
      <c r="CM73" s="21">
        <f>EXP(-LN(2)/2)*CM72+(1-EXP(-LN(2)/2))/(LN(2)/2)*CG73*CJ73*VLOOKUP('Données projet'!$B$12,Paramètres!$A$1:$I$89,3,0)*0.475*44/12</f>
        <v>3.5648041411766083</v>
      </c>
      <c r="CN73" s="22">
        <f t="shared" si="66"/>
        <v>111.31076724504982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193</v>
      </c>
      <c r="CR73" s="12">
        <f>VLOOKUP(A73,'Données projet'!$A$139:$I$159,9,0)</f>
        <v>4.2</v>
      </c>
      <c r="CS73" s="12">
        <f t="array" ref="CS73">INDEX(CR:CR,MIN(IF(ISNUMBER(CR73:CR269),ROW(CR73:CR269),"")))</f>
        <v>4.2</v>
      </c>
      <c r="CT73" s="12">
        <f>IF('Données projet'!$A$140&gt;35,CT72+CS73-DB72,IF(A73&lt;'Données projet'!$A$140,$CQ$205^A73,IF(A73='Données projet'!$A$140,'Données projet'!$B$140,CT72+CS73-DB72)))</f>
        <v>192.99999999999994</v>
      </c>
      <c r="CU73" s="17">
        <f>CT73*VLOOKUP('Données projet'!$B$13,Paramètres!$A$1:$I$89,3,0)*VLOOKUP('Données projet'!$B$13,Paramètres!$A$1:$I$89,5,0)</f>
        <v>219.78839999999994</v>
      </c>
      <c r="CV73" s="13">
        <f t="shared" si="95"/>
        <v>54.068892930716707</v>
      </c>
      <c r="CW73" s="20">
        <f t="shared" si="67"/>
        <v>476.96811852099813</v>
      </c>
      <c r="CX73" s="59">
        <f t="shared" si="68"/>
        <v>770.30145185433139</v>
      </c>
      <c r="CY73" s="59">
        <f ca="1">AVERAGE(OFFSET($CX$3,0,0,'Données projet'!$E$13+1,1))-AVERAGE(OFFSET($H$3,0,0,'Données projet'!$E$13+1,1))</f>
        <v>389.89050053480827</v>
      </c>
      <c r="CZ73" s="59">
        <f t="shared" si="96"/>
        <v>216.40816051909616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8.6000000000000007E-2</v>
      </c>
      <c r="DD73" s="16">
        <f>IF(ISNA(VLOOKUP(A73,'Données projet'!$A$139:$I$159,6,0)),0%,VLOOKUP(A73,'Données projet'!$A$139:$I$159,6,0)*VLOOKUP('Données projet'!$B$13,Paramètres!$A$1:$I$89,7,0))</f>
        <v>1.72E-2</v>
      </c>
      <c r="DE73" s="16">
        <f>IF(ISNA(VLOOKUP(A73,'Données projet'!$A$139:$I$159,7,0)),0%,VLOOKUP(A73,'Données projet'!$A$139:$I$159,7,0))</f>
        <v>0.06</v>
      </c>
      <c r="DF73" s="21">
        <f>EXP(-LN(2)/35)*DF72+(1-EXP(-LN(2)/35))/(LN(2)/35)*DB73*DC73*VLOOKUP('Données projet'!$B$13,Paramètres!$A$1:$I$89,3,0)*0.475*44/12</f>
        <v>5.9540376124446066</v>
      </c>
      <c r="DG73" s="21">
        <f>EXP(-LN(2)/25)*DG72+(1-EXP(-LN(2)/25))/(LN(2)/25)*Calculateur!DB73*Calculateur!DD73*VLOOKUP('Données projet'!$B$13,Paramètres!$A$1:$I$89,3,0)*0.475*44/12</f>
        <v>1.3251267488020742</v>
      </c>
      <c r="DH73" s="21">
        <f>EXP(-LN(2)/2)*DH72+(1-EXP(-LN(2)/2))/(LN(2)/2)*DB73*DE73*VLOOKUP('Données projet'!$B$13,Paramètres!$A$1:$I$89,3,0)*0.475*44/12</f>
        <v>0.7969218696598126</v>
      </c>
      <c r="DI73" s="22">
        <f t="shared" si="69"/>
        <v>8.0760862309064922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205.57055999999997</v>
      </c>
      <c r="P74" s="13">
        <f t="shared" si="87"/>
        <v>50.966443946767392</v>
      </c>
      <c r="Q74" s="20">
        <f t="shared" si="54"/>
        <v>446.80194854061978</v>
      </c>
      <c r="R74" s="59">
        <f t="shared" si="55"/>
        <v>740.13528187395309</v>
      </c>
      <c r="S74" s="59">
        <f ca="1">AVERAGE(OFFSET($R$3,0,0,'Données projet'!$E$9+1,1))-AVERAGE(OFFSET($H$3,0,0,'Données projet'!$E$9+1,1))</f>
        <v>371.7282125501186</v>
      </c>
      <c r="T74" s="59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35.114670756962852</v>
      </c>
      <c r="AA74" s="21">
        <f>EXP(-LN(2)/25)*AA73+(1-EXP(-LN(2)/25))/(LN(2)/25)*Calculateur!V74*Calculateur!X74*VLOOKUP('Données projet'!$B$9,Paramètres!$A$1:$I$89,3,0)*0.475*44/12</f>
        <v>2.0969422306824956</v>
      </c>
      <c r="AB74" s="21">
        <f>EXP(-LN(2)/2)*AB73+(1-EXP(-LN(2)/2))/(LN(2)/2)*V74*Y74*VLOOKUP('Données projet'!$B$9,Paramètres!$A$1:$I$89,3,0)*0.475*44/12</f>
        <v>0.92396857566209112</v>
      </c>
      <c r="AC74" s="22">
        <f t="shared" si="57"/>
        <v>38.13558156330744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1.7053025658242404E-13</v>
      </c>
      <c r="AJ74" s="13">
        <f>AI74*VLOOKUP('Données projet'!$B$10,Paramètres!$A$1:$I$89,3,0)*VLOOKUP('Données projet'!$B$10,Paramètres!$A$1:$I$89,5,0)</f>
        <v>7.9808160080574461E-14</v>
      </c>
      <c r="AK74" s="13">
        <f t="shared" si="89"/>
        <v>1.2308384591775343E-12</v>
      </c>
      <c r="AL74" s="20">
        <f t="shared" si="58"/>
        <v>2.282709528541206E-12</v>
      </c>
      <c r="AM74" s="59">
        <f t="shared" si="59"/>
        <v>293.33333333333559</v>
      </c>
      <c r="AN74" s="59">
        <f ca="1">AVERAGE(OFFSET($AM$3,0,0,'Données projet'!$E$10+1,1))-AVERAGE(OFFSET($H$3,0,0,'Données projet'!$E$10+1,1))</f>
        <v>218.32525311070435</v>
      </c>
      <c r="AO74" s="59">
        <f t="shared" si="90"/>
        <v>275.36315264099204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70.134544614493564</v>
      </c>
      <c r="AV74" s="21">
        <f>EXP(-LN(2)/25)*AV73+(1-EXP(-LN(2)/25))/(LN(2)/25)*Calculateur!AQ74*Calculateur!AS74*VLOOKUP('Données projet'!$B$10,Paramètres!$A$1:$I$89,3,0)*0.475*44/12</f>
        <v>27.747767994306127</v>
      </c>
      <c r="AW74" s="21">
        <f>EXP(-LN(2)/2)*AW73+(1-EXP(-LN(2)/2))/(LN(2)/2)*AQ74*AT74*VLOOKUP('Données projet'!$B$10,Paramètres!$A$1:$I$89,3,0)*0.475*44/12</f>
        <v>1.4420345862991519</v>
      </c>
      <c r="AX74" s="21">
        <f t="shared" si="60"/>
        <v>99.324347195098852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343</v>
      </c>
      <c r="BE74" s="13">
        <f>BD74*VLOOKUP('Données projet'!$B$11,Paramètres!$A$1:$I$89,3,0)*VLOOKUP('Données projet'!$B$11,Paramètres!$A$1:$I$89,5,0)</f>
        <v>326.39879999999999</v>
      </c>
      <c r="BF74" s="13">
        <f t="shared" si="91"/>
        <v>76.683210401884097</v>
      </c>
      <c r="BG74" s="20">
        <f t="shared" si="61"/>
        <v>702.03450144994804</v>
      </c>
      <c r="BH74" s="59">
        <f t="shared" si="62"/>
        <v>995.3678347832813</v>
      </c>
      <c r="BI74" s="59">
        <f ca="1">AVERAGE(OFFSET($BH$3,0,0,'Données projet'!$E$11+1,1))-AVERAGE(OFFSET($H$3,0,0,'Données projet'!$E$11+1,1))</f>
        <v>446.62872871405051</v>
      </c>
      <c r="BJ74" s="59">
        <f t="shared" si="92"/>
        <v>471.28934889691658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58.33637249418635</v>
      </c>
      <c r="BQ74" s="21">
        <f>EXP(-LN(2)/25)*BQ73+(1-EXP(-LN(2)/25))/(LN(2)/25)*Calculateur!BL74*Calculateur!BN74*VLOOKUP('Données projet'!$B$11,Paramètres!$A$1:$I$89,3,0)*0.475*44/12</f>
        <v>3.2699981583439937</v>
      </c>
      <c r="BR74" s="21">
        <f>EXP(-LN(2)/2)*BR73+(1-EXP(-LN(2)/2))/(LN(2)/2)*BL74*BO74*VLOOKUP('Données projet'!$B$11,Paramètres!$A$1:$I$89,3,0)*0.475*44/12</f>
        <v>1.2115789922027878</v>
      </c>
      <c r="BS74" s="22">
        <f t="shared" si="63"/>
        <v>62.817949644733133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13</v>
      </c>
      <c r="BY74" s="12">
        <f>IF('Données projet'!$A$114&gt;35,BY73+BX74-CG73,IF(A74&lt;'Données projet'!$A$114,$BV$205^A74,IF(A74='Données projet'!$A$114,'Données projet'!$B$114,BY73+BX74-CG73)))</f>
        <v>953</v>
      </c>
      <c r="BZ74" s="13">
        <f>BY74*VLOOKUP('Données projet'!$B$12,Paramètres!$A$1:$I$89,3,0)*VLOOKUP('Données projet'!$B$12,Paramètres!$A$1:$I$89,5,0)</f>
        <v>421.22600000000006</v>
      </c>
      <c r="CA74" s="13">
        <f t="shared" si="93"/>
        <v>96.066876213923777</v>
      </c>
      <c r="CB74" s="20">
        <f t="shared" si="64"/>
        <v>900.95175940591719</v>
      </c>
      <c r="CC74" s="59">
        <f t="shared" si="65"/>
        <v>1194.2850927392506</v>
      </c>
      <c r="CD74" s="59">
        <f ca="1">AVERAGE(OFFSET($CC$3,0,0,'Données projet'!$E$12+1,1))-AVERAGE(OFFSET($H$3,0,0,'Données projet'!$E$12+1,1))</f>
        <v>534.99316143569899</v>
      </c>
      <c r="CE74" s="59">
        <f t="shared" si="94"/>
        <v>449.56965858934262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70.179665765824126</v>
      </c>
      <c r="CL74" s="21">
        <f>EXP(-LN(2)/25)*CL73+(1-EXP(-LN(2)/25))/(LN(2)/25)*Calculateur!CG74*Calculateur!CI74*VLOOKUP('Données projet'!$B$12,Paramètres!$A$1:$I$89,3,0)*0.475*44/12</f>
        <v>35.173723119461748</v>
      </c>
      <c r="CM74" s="21">
        <f>EXP(-LN(2)/2)*CM73+(1-EXP(-LN(2)/2))/(LN(2)/2)*CG74*CJ74*VLOOKUP('Données projet'!$B$12,Paramètres!$A$1:$I$89,3,0)*0.475*44/12</f>
        <v>2.5206971818278667</v>
      </c>
      <c r="CN74" s="22">
        <f t="shared" si="66"/>
        <v>107.87408606711375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</v>
      </c>
      <c r="CT74" s="12">
        <f>IF('Données projet'!$A$140&gt;35,CT73+CS74-DB73,IF(A74&lt;'Données projet'!$A$140,$CQ$205^A74,IF(A74='Données projet'!$A$140,'Données projet'!$B$140,CT73+CS74-DB73)))</f>
        <v>186.99999999999994</v>
      </c>
      <c r="CU74" s="17">
        <f>CT74*VLOOKUP('Données projet'!$B$13,Paramètres!$A$1:$I$89,3,0)*VLOOKUP('Données projet'!$B$13,Paramètres!$A$1:$I$89,5,0)</f>
        <v>212.95559999999995</v>
      </c>
      <c r="CV74" s="13">
        <f t="shared" si="95"/>
        <v>52.580932360887203</v>
      </c>
      <c r="CW74" s="20">
        <f t="shared" si="67"/>
        <v>462.47612719521175</v>
      </c>
      <c r="CX74" s="59">
        <f t="shared" si="68"/>
        <v>755.80946052854506</v>
      </c>
      <c r="CY74" s="59">
        <f ca="1">AVERAGE(OFFSET($CX$3,0,0,'Données projet'!$E$13+1,1))-AVERAGE(OFFSET($H$3,0,0,'Données projet'!$E$13+1,1))</f>
        <v>389.89050053480827</v>
      </c>
      <c r="CZ74" s="59">
        <f t="shared" si="96"/>
        <v>216.40816051909616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5.8372825664689207</v>
      </c>
      <c r="DG74" s="21">
        <f>EXP(-LN(2)/25)*DG73+(1-EXP(-LN(2)/25))/(LN(2)/25)*Calculateur!DB74*Calculateur!DD74*VLOOKUP('Données projet'!$B$13,Paramètres!$A$1:$I$89,3,0)*0.475*44/12</f>
        <v>1.2888910881706943</v>
      </c>
      <c r="DH74" s="21">
        <f>EXP(-LN(2)/2)*DH73+(1-EXP(-LN(2)/2))/(LN(2)/2)*DB74*DE74*VLOOKUP('Données projet'!$B$13,Paramètres!$A$1:$I$89,3,0)*0.475*44/12</f>
        <v>0.56350885811231555</v>
      </c>
      <c r="DI74" s="22">
        <f t="shared" si="69"/>
        <v>7.689682512751931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211.18031999999994</v>
      </c>
      <c r="P75" s="13">
        <f t="shared" si="87"/>
        <v>52.193431117443019</v>
      </c>
      <c r="Q75" s="20">
        <f t="shared" si="54"/>
        <v>458.70928319621316</v>
      </c>
      <c r="R75" s="59">
        <f t="shared" si="55"/>
        <v>752.04261652954642</v>
      </c>
      <c r="S75" s="59">
        <f ca="1">AVERAGE(OFFSET($R$3,0,0,'Données projet'!$E$9+1,1))-AVERAGE(OFFSET($H$3,0,0,'Données projet'!$E$9+1,1))</f>
        <v>371.7282125501186</v>
      </c>
      <c r="T75" s="59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34.426093481253133</v>
      </c>
      <c r="AA75" s="21">
        <f>EXP(-LN(2)/25)*AA74+(1-EXP(-LN(2)/25))/(LN(2)/25)*Calculateur!V75*Calculateur!X75*VLOOKUP('Données projet'!$B$9,Paramètres!$A$1:$I$89,3,0)*0.475*44/12</f>
        <v>2.0396012351110837</v>
      </c>
      <c r="AB75" s="21">
        <f>EXP(-LN(2)/2)*AB74+(1-EXP(-LN(2)/2))/(LN(2)/2)*V75*Y75*VLOOKUP('Données projet'!$B$9,Paramètres!$A$1:$I$89,3,0)*0.475*44/12</f>
        <v>0.65334444545394033</v>
      </c>
      <c r="AC75" s="22">
        <f t="shared" si="57"/>
        <v>37.119039161818158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1.7053025658242404E-13</v>
      </c>
      <c r="AJ75" s="13">
        <f>AI75*VLOOKUP('Données projet'!$B$10,Paramètres!$A$1:$I$89,3,0)*VLOOKUP('Données projet'!$B$10,Paramètres!$A$1:$I$89,5,0)</f>
        <v>7.9808160080574461E-14</v>
      </c>
      <c r="AK75" s="13">
        <f t="shared" si="89"/>
        <v>1.2308384591775343E-12</v>
      </c>
      <c r="AL75" s="20">
        <f t="shared" si="58"/>
        <v>2.282709528541206E-12</v>
      </c>
      <c r="AM75" s="59">
        <f t="shared" si="59"/>
        <v>293.33333333333559</v>
      </c>
      <c r="AN75" s="59">
        <f ca="1">AVERAGE(OFFSET($AM$3,0,0,'Données projet'!$E$10+1,1))-AVERAGE(OFFSET($H$3,0,0,'Données projet'!$E$10+1,1))</f>
        <v>218.32525311070435</v>
      </c>
      <c r="AO75" s="59">
        <f t="shared" si="90"/>
        <v>275.36315264099204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68.759248972451601</v>
      </c>
      <c r="AV75" s="21">
        <f>EXP(-LN(2)/25)*AV74+(1-EXP(-LN(2)/25))/(LN(2)/25)*Calculateur!AQ75*Calculateur!AS75*VLOOKUP('Données projet'!$B$10,Paramètres!$A$1:$I$89,3,0)*0.475*44/12</f>
        <v>26.989003819310124</v>
      </c>
      <c r="AW75" s="21">
        <f>EXP(-LN(2)/2)*AW74+(1-EXP(-LN(2)/2))/(LN(2)/2)*AQ75*AT75*VLOOKUP('Données projet'!$B$10,Paramètres!$A$1:$I$89,3,0)*0.475*44/12</f>
        <v>1.019672434677668</v>
      </c>
      <c r="AX75" s="21">
        <f t="shared" si="60"/>
        <v>96.767925226439402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343</v>
      </c>
      <c r="BE75" s="13">
        <f>BD75*VLOOKUP('Données projet'!$B$11,Paramètres!$A$1:$I$89,3,0)*VLOOKUP('Données projet'!$B$11,Paramètres!$A$1:$I$89,5,0)</f>
        <v>326.39879999999999</v>
      </c>
      <c r="BF75" s="13">
        <f t="shared" si="91"/>
        <v>76.683210401884097</v>
      </c>
      <c r="BG75" s="20">
        <f t="shared" si="61"/>
        <v>702.03450144994804</v>
      </c>
      <c r="BH75" s="59">
        <f t="shared" si="62"/>
        <v>995.3678347832813</v>
      </c>
      <c r="BI75" s="59">
        <f ca="1">AVERAGE(OFFSET($BH$3,0,0,'Données projet'!$E$11+1,1))-AVERAGE(OFFSET($H$3,0,0,'Données projet'!$E$11+1,1))</f>
        <v>446.62872871405051</v>
      </c>
      <c r="BJ75" s="59">
        <f t="shared" si="92"/>
        <v>471.28934889691658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57.192431811249179</v>
      </c>
      <c r="BQ75" s="21">
        <f>EXP(-LN(2)/25)*BQ74+(1-EXP(-LN(2)/25))/(LN(2)/25)*Calculateur!BL75*Calculateur!BN75*VLOOKUP('Données projet'!$B$11,Paramètres!$A$1:$I$89,3,0)*0.475*44/12</f>
        <v>3.1805798867423478</v>
      </c>
      <c r="BR75" s="21">
        <f>EXP(-LN(2)/2)*BR74+(1-EXP(-LN(2)/2))/(LN(2)/2)*BL75*BO75*VLOOKUP('Données projet'!$B$11,Paramètres!$A$1:$I$89,3,0)*0.475*44/12</f>
        <v>0.85671572132975449</v>
      </c>
      <c r="BS75" s="22">
        <f t="shared" si="63"/>
        <v>61.229727419321286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13</v>
      </c>
      <c r="BY75" s="12">
        <f>IF('Données projet'!$A$114&gt;35,BY74+BX75-CG74,IF(A75&lt;'Données projet'!$A$114,$BV$205^A75,IF(A75='Données projet'!$A$114,'Données projet'!$B$114,BY74+BX75-CG74)))</f>
        <v>966</v>
      </c>
      <c r="BZ75" s="13">
        <f>BY75*VLOOKUP('Données projet'!$B$12,Paramètres!$A$1:$I$89,3,0)*VLOOKUP('Données projet'!$B$12,Paramètres!$A$1:$I$89,5,0)</f>
        <v>426.97200000000004</v>
      </c>
      <c r="CA75" s="13">
        <f t="shared" si="93"/>
        <v>97.223884948776018</v>
      </c>
      <c r="CB75" s="20">
        <f t="shared" si="64"/>
        <v>912.97449961911832</v>
      </c>
      <c r="CC75" s="59">
        <f t="shared" si="65"/>
        <v>1206.3078329524517</v>
      </c>
      <c r="CD75" s="59">
        <f ca="1">AVERAGE(OFFSET($CC$3,0,0,'Données projet'!$E$12+1,1))-AVERAGE(OFFSET($H$3,0,0,'Données projet'!$E$12+1,1))</f>
        <v>534.99316143569899</v>
      </c>
      <c r="CE75" s="59">
        <f t="shared" si="94"/>
        <v>449.56965858934262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68.803485325525756</v>
      </c>
      <c r="CL75" s="21">
        <f>EXP(-LN(2)/25)*CL74+(1-EXP(-LN(2)/25))/(LN(2)/25)*Calculateur!CG75*Calculateur!CI75*VLOOKUP('Données projet'!$B$12,Paramètres!$A$1:$I$89,3,0)*0.475*44/12</f>
        <v>34.211895811054362</v>
      </c>
      <c r="CM75" s="21">
        <f>EXP(-LN(2)/2)*CM74+(1-EXP(-LN(2)/2))/(LN(2)/2)*CG75*CJ75*VLOOKUP('Données projet'!$B$12,Paramètres!$A$1:$I$89,3,0)*0.475*44/12</f>
        <v>1.7824020705883046</v>
      </c>
      <c r="CN75" s="22">
        <f t="shared" si="66"/>
        <v>104.79778320716842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</v>
      </c>
      <c r="CT75" s="12">
        <f>IF('Données projet'!$A$140&gt;35,CT74+CS75-DB74,IF(A75&lt;'Données projet'!$A$140,$CQ$205^A75,IF(A75='Données projet'!$A$140,'Données projet'!$B$140,CT74+CS75-DB74)))</f>
        <v>190.99999999999994</v>
      </c>
      <c r="CU75" s="17">
        <f>CT75*VLOOKUP('Données projet'!$B$13,Paramètres!$A$1:$I$89,3,0)*VLOOKUP('Données projet'!$B$13,Paramètres!$A$1:$I$89,5,0)</f>
        <v>217.51079999999993</v>
      </c>
      <c r="CV75" s="13">
        <f t="shared" si="95"/>
        <v>53.573512628026997</v>
      </c>
      <c r="CW75" s="20">
        <f t="shared" si="67"/>
        <v>472.13851116048022</v>
      </c>
      <c r="CX75" s="59">
        <f t="shared" si="68"/>
        <v>765.47184449381348</v>
      </c>
      <c r="CY75" s="59">
        <f ca="1">AVERAGE(OFFSET($CX$3,0,0,'Données projet'!$E$13+1,1))-AVERAGE(OFFSET($H$3,0,0,'Données projet'!$E$13+1,1))</f>
        <v>389.89050053480827</v>
      </c>
      <c r="CZ75" s="59">
        <f t="shared" si="96"/>
        <v>216.40816051909616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5.7228170157312714</v>
      </c>
      <c r="DG75" s="21">
        <f>EXP(-LN(2)/25)*DG74+(1-EXP(-LN(2)/25))/(LN(2)/25)*Calculateur!DB75*Calculateur!DD75*VLOOKUP('Données projet'!$B$13,Paramètres!$A$1:$I$89,3,0)*0.475*44/12</f>
        <v>1.25364629358483</v>
      </c>
      <c r="DH75" s="21">
        <f>EXP(-LN(2)/2)*DH74+(1-EXP(-LN(2)/2))/(LN(2)/2)*DB75*DE75*VLOOKUP('Données projet'!$B$13,Paramètres!$A$1:$I$89,3,0)*0.475*44/12</f>
        <v>0.39846093482990641</v>
      </c>
      <c r="DI75" s="22">
        <f t="shared" si="69"/>
        <v>7.3749242441460083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216.79007999999996</v>
      </c>
      <c r="P76" s="13">
        <f t="shared" si="87"/>
        <v>53.416629794462551</v>
      </c>
      <c r="Q76" s="20">
        <f t="shared" si="54"/>
        <v>470.61001955868886</v>
      </c>
      <c r="R76" s="59">
        <f t="shared" si="55"/>
        <v>763.94335289202218</v>
      </c>
      <c r="S76" s="59">
        <f ca="1">AVERAGE(OFFSET($R$3,0,0,'Données projet'!$E$9+1,1))-AVERAGE(OFFSET($H$3,0,0,'Données projet'!$E$9+1,1))</f>
        <v>371.7282125501186</v>
      </c>
      <c r="T76" s="59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33.751018785929418</v>
      </c>
      <c r="AA76" s="21">
        <f>EXP(-LN(2)/25)*AA75+(1-EXP(-LN(2)/25))/(LN(2)/25)*Calculateur!V76*Calculateur!X76*VLOOKUP('Données projet'!$B$9,Paramètres!$A$1:$I$89,3,0)*0.475*44/12</f>
        <v>1.9838282320790037</v>
      </c>
      <c r="AB76" s="21">
        <f>EXP(-LN(2)/2)*AB75+(1-EXP(-LN(2)/2))/(LN(2)/2)*V76*Y76*VLOOKUP('Données projet'!$B$9,Paramètres!$A$1:$I$89,3,0)*0.475*44/12</f>
        <v>0.46198428783104567</v>
      </c>
      <c r="AC76" s="22">
        <f t="shared" si="57"/>
        <v>36.196831305839467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1.7053025658242404E-13</v>
      </c>
      <c r="AJ76" s="13">
        <f>AI76*VLOOKUP('Données projet'!$B$10,Paramètres!$A$1:$I$89,3,0)*VLOOKUP('Données projet'!$B$10,Paramètres!$A$1:$I$89,5,0)</f>
        <v>7.9808160080574461E-14</v>
      </c>
      <c r="AK76" s="13">
        <f t="shared" si="89"/>
        <v>1.2308384591775343E-12</v>
      </c>
      <c r="AL76" s="20">
        <f t="shared" si="58"/>
        <v>2.282709528541206E-12</v>
      </c>
      <c r="AM76" s="59">
        <f t="shared" si="59"/>
        <v>293.33333333333559</v>
      </c>
      <c r="AN76" s="59">
        <f ca="1">AVERAGE(OFFSET($AM$3,0,0,'Données projet'!$E$10+1,1))-AVERAGE(OFFSET($H$3,0,0,'Données projet'!$E$10+1,1))</f>
        <v>218.32525311070435</v>
      </c>
      <c r="AO76" s="59">
        <f t="shared" si="90"/>
        <v>275.36315264099204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67.410922039102573</v>
      </c>
      <c r="AV76" s="21">
        <f>EXP(-LN(2)/25)*AV75+(1-EXP(-LN(2)/25))/(LN(2)/25)*Calculateur!AQ76*Calculateur!AS76*VLOOKUP('Données projet'!$B$10,Paramètres!$A$1:$I$89,3,0)*0.475*44/12</f>
        <v>26.25098809058106</v>
      </c>
      <c r="AW76" s="21">
        <f>EXP(-LN(2)/2)*AW75+(1-EXP(-LN(2)/2))/(LN(2)/2)*AQ76*AT76*VLOOKUP('Données projet'!$B$10,Paramètres!$A$1:$I$89,3,0)*0.475*44/12</f>
        <v>0.72101729314957597</v>
      </c>
      <c r="AX76" s="21">
        <f t="shared" si="60"/>
        <v>94.382927422833205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343</v>
      </c>
      <c r="BE76" s="13">
        <f>BD76*VLOOKUP('Données projet'!$B$11,Paramètres!$A$1:$I$89,3,0)*VLOOKUP('Données projet'!$B$11,Paramètres!$A$1:$I$89,5,0)</f>
        <v>326.39879999999999</v>
      </c>
      <c r="BF76" s="13">
        <f t="shared" si="91"/>
        <v>76.683210401884097</v>
      </c>
      <c r="BG76" s="20">
        <f t="shared" si="61"/>
        <v>702.03450144994804</v>
      </c>
      <c r="BH76" s="59">
        <f t="shared" si="62"/>
        <v>995.3678347832813</v>
      </c>
      <c r="BI76" s="59">
        <f ca="1">AVERAGE(OFFSET($BH$3,0,0,'Données projet'!$E$11+1,1))-AVERAGE(OFFSET($H$3,0,0,'Données projet'!$E$11+1,1))</f>
        <v>446.62872871405051</v>
      </c>
      <c r="BJ76" s="59">
        <f t="shared" si="92"/>
        <v>471.28934889691658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56.070923107369488</v>
      </c>
      <c r="BQ76" s="21">
        <f>EXP(-LN(2)/25)*BQ75+(1-EXP(-LN(2)/25))/(LN(2)/25)*Calculateur!BL76*Calculateur!BN76*VLOOKUP('Données projet'!$B$11,Paramètres!$A$1:$I$89,3,0)*0.475*44/12</f>
        <v>3.0936067624799515</v>
      </c>
      <c r="BR76" s="21">
        <f>EXP(-LN(2)/2)*BR75+(1-EXP(-LN(2)/2))/(LN(2)/2)*BL76*BO76*VLOOKUP('Données projet'!$B$11,Paramètres!$A$1:$I$89,3,0)*0.475*44/12</f>
        <v>0.60578949610139399</v>
      </c>
      <c r="BS76" s="22">
        <f t="shared" si="63"/>
        <v>59.770319365950833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13</v>
      </c>
      <c r="BY76" s="12">
        <f>IF('Données projet'!$A$114&gt;35,BY75+BX76-CG75,IF(A76&lt;'Données projet'!$A$114,$BV$205^A76,IF(A76='Données projet'!$A$114,'Données projet'!$B$114,BY75+BX76-CG75)))</f>
        <v>979</v>
      </c>
      <c r="BZ76" s="13">
        <f>BY76*VLOOKUP('Données projet'!$B$12,Paramètres!$A$1:$I$89,3,0)*VLOOKUP('Données projet'!$B$12,Paramètres!$A$1:$I$89,5,0)</f>
        <v>432.71800000000002</v>
      </c>
      <c r="CA76" s="13">
        <f t="shared" si="93"/>
        <v>98.379082637143185</v>
      </c>
      <c r="CB76" s="20">
        <f t="shared" si="64"/>
        <v>924.99408559302435</v>
      </c>
      <c r="CC76" s="59">
        <f t="shared" si="65"/>
        <v>1218.3274189263577</v>
      </c>
      <c r="CD76" s="59">
        <f ca="1">AVERAGE(OFFSET($CC$3,0,0,'Données projet'!$E$12+1,1))-AVERAGE(OFFSET($H$3,0,0,'Données projet'!$E$12+1,1))</f>
        <v>534.99316143569899</v>
      </c>
      <c r="CE76" s="59">
        <f t="shared" si="94"/>
        <v>449.56965858934262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67.454290944274447</v>
      </c>
      <c r="CL76" s="21">
        <f>EXP(-LN(2)/25)*CL75+(1-EXP(-LN(2)/25))/(LN(2)/25)*Calculateur!CG76*Calculateur!CI76*VLOOKUP('Données projet'!$B$12,Paramètres!$A$1:$I$89,3,0)*0.475*44/12</f>
        <v>33.276369720975673</v>
      </c>
      <c r="CM76" s="21">
        <f>EXP(-LN(2)/2)*CM75+(1-EXP(-LN(2)/2))/(LN(2)/2)*CG76*CJ76*VLOOKUP('Données projet'!$B$12,Paramètres!$A$1:$I$89,3,0)*0.475*44/12</f>
        <v>1.2603485909139336</v>
      </c>
      <c r="CN76" s="22">
        <f t="shared" si="66"/>
        <v>101.99100925616406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</v>
      </c>
      <c r="CT76" s="12">
        <f>IF('Données projet'!$A$140&gt;35,CT75+CS76-DB75,IF(A76&lt;'Données projet'!$A$140,$CQ$205^A76,IF(A76='Données projet'!$A$140,'Données projet'!$B$140,CT75+CS76-DB75)))</f>
        <v>194.99999999999994</v>
      </c>
      <c r="CU76" s="17">
        <f>CT76*VLOOKUP('Données projet'!$B$13,Paramètres!$A$1:$I$89,3,0)*VLOOKUP('Données projet'!$B$13,Paramètres!$A$1:$I$89,5,0)</f>
        <v>222.06599999999995</v>
      </c>
      <c r="CV76" s="13">
        <f t="shared" si="95"/>
        <v>54.563676045889338</v>
      </c>
      <c r="CW76" s="20">
        <f t="shared" si="67"/>
        <v>481.79668577992373</v>
      </c>
      <c r="CX76" s="59">
        <f t="shared" si="68"/>
        <v>775.13001911325705</v>
      </c>
      <c r="CY76" s="59">
        <f ca="1">AVERAGE(OFFSET($CX$3,0,0,'Données projet'!$E$13+1,1))-AVERAGE(OFFSET($H$3,0,0,'Données projet'!$E$13+1,1))</f>
        <v>389.89050053480827</v>
      </c>
      <c r="CZ76" s="59">
        <f t="shared" si="96"/>
        <v>216.40816051909616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5.6105960646264954</v>
      </c>
      <c r="DG76" s="21">
        <f>EXP(-LN(2)/25)*DG75+(1-EXP(-LN(2)/25))/(LN(2)/25)*Calculateur!DB76*Calculateur!DD76*VLOOKUP('Données projet'!$B$13,Paramètres!$A$1:$I$89,3,0)*0.475*44/12</f>
        <v>1.2193652697603596</v>
      </c>
      <c r="DH76" s="21">
        <f>EXP(-LN(2)/2)*DH75+(1-EXP(-LN(2)/2))/(LN(2)/2)*DB76*DE76*VLOOKUP('Données projet'!$B$13,Paramètres!$A$1:$I$89,3,0)*0.475*44/12</f>
        <v>0.28175442905615783</v>
      </c>
      <c r="DI76" s="22">
        <f t="shared" si="69"/>
        <v>7.111715763443013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222.3998399999999</v>
      </c>
      <c r="P77" s="13">
        <f t="shared" si="87"/>
        <v>54.636149281681448</v>
      </c>
      <c r="Q77" s="20">
        <f t="shared" si="54"/>
        <v>482.50434799892832</v>
      </c>
      <c r="R77" s="59">
        <f t="shared" si="55"/>
        <v>775.83768133226158</v>
      </c>
      <c r="S77" s="59">
        <f ca="1">AVERAGE(OFFSET($R$3,0,0,'Données projet'!$E$9+1,1))-AVERAGE(OFFSET($H$3,0,0,'Données projet'!$E$9+1,1))</f>
        <v>371.7282125501186</v>
      </c>
      <c r="T77" s="59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33.08918189362609</v>
      </c>
      <c r="AA77" s="21">
        <f>EXP(-LN(2)/25)*AA76+(1-EXP(-LN(2)/25))/(LN(2)/25)*Calculateur!V77*Calculateur!X77*VLOOKUP('Données projet'!$B$9,Paramètres!$A$1:$I$89,3,0)*0.475*44/12</f>
        <v>1.9295803447478108</v>
      </c>
      <c r="AB77" s="21">
        <f>EXP(-LN(2)/2)*AB76+(1-EXP(-LN(2)/2))/(LN(2)/2)*V77*Y77*VLOOKUP('Données projet'!$B$9,Paramètres!$A$1:$I$89,3,0)*0.475*44/12</f>
        <v>0.32667222272697022</v>
      </c>
      <c r="AC77" s="22">
        <f t="shared" si="57"/>
        <v>35.345434461100872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1.7053025658242404E-13</v>
      </c>
      <c r="AJ77" s="13">
        <f>AI77*VLOOKUP('Données projet'!$B$10,Paramètres!$A$1:$I$89,3,0)*VLOOKUP('Données projet'!$B$10,Paramètres!$A$1:$I$89,5,0)</f>
        <v>7.9808160080574461E-14</v>
      </c>
      <c r="AK77" s="13">
        <f t="shared" si="89"/>
        <v>1.2308384591775343E-12</v>
      </c>
      <c r="AL77" s="20">
        <f t="shared" si="58"/>
        <v>2.282709528541206E-12</v>
      </c>
      <c r="AM77" s="59">
        <f t="shared" si="59"/>
        <v>293.33333333333559</v>
      </c>
      <c r="AN77" s="59">
        <f ca="1">AVERAGE(OFFSET($AM$3,0,0,'Données projet'!$E$10+1,1))-AVERAGE(OFFSET($H$3,0,0,'Données projet'!$E$10+1,1))</f>
        <v>218.32525311070435</v>
      </c>
      <c r="AO77" s="59">
        <f t="shared" si="90"/>
        <v>275.36315264099204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66.089034974518285</v>
      </c>
      <c r="AV77" s="21">
        <f>EXP(-LN(2)/25)*AV76+(1-EXP(-LN(2)/25))/(LN(2)/25)*Calculateur!AQ77*Calculateur!AS77*VLOOKUP('Données projet'!$B$10,Paramètres!$A$1:$I$89,3,0)*0.475*44/12</f>
        <v>25.533153440764654</v>
      </c>
      <c r="AW77" s="21">
        <f>EXP(-LN(2)/2)*AW76+(1-EXP(-LN(2)/2))/(LN(2)/2)*AQ77*AT77*VLOOKUP('Données projet'!$B$10,Paramètres!$A$1:$I$89,3,0)*0.475*44/12</f>
        <v>0.509836217338834</v>
      </c>
      <c r="AX77" s="21">
        <f t="shared" si="60"/>
        <v>92.132024632621764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343</v>
      </c>
      <c r="BE77" s="13">
        <f>BD77*VLOOKUP('Données projet'!$B$11,Paramètres!$A$1:$I$89,3,0)*VLOOKUP('Données projet'!$B$11,Paramètres!$A$1:$I$89,5,0)</f>
        <v>326.39879999999999</v>
      </c>
      <c r="BF77" s="13">
        <f t="shared" si="91"/>
        <v>76.683210401884097</v>
      </c>
      <c r="BG77" s="20">
        <f t="shared" si="61"/>
        <v>702.03450144994804</v>
      </c>
      <c r="BH77" s="59">
        <f t="shared" si="62"/>
        <v>995.3678347832813</v>
      </c>
      <c r="BI77" s="59">
        <f ca="1">AVERAGE(OFFSET($BH$3,0,0,'Données projet'!$E$11+1,1))-AVERAGE(OFFSET($H$3,0,0,'Données projet'!$E$11+1,1))</f>
        <v>446.62872871405051</v>
      </c>
      <c r="BJ77" s="59">
        <f t="shared" si="92"/>
        <v>471.28934889691658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54.971406505120108</v>
      </c>
      <c r="BQ77" s="21">
        <f>EXP(-LN(2)/25)*BQ76+(1-EXP(-LN(2)/25))/(LN(2)/25)*Calculateur!BL77*Calculateur!BN77*VLOOKUP('Données projet'!$B$11,Paramètres!$A$1:$I$89,3,0)*0.475*44/12</f>
        <v>3.0090119228742283</v>
      </c>
      <c r="BR77" s="21">
        <f>EXP(-LN(2)/2)*BR76+(1-EXP(-LN(2)/2))/(LN(2)/2)*BL77*BO77*VLOOKUP('Données projet'!$B$11,Paramètres!$A$1:$I$89,3,0)*0.475*44/12</f>
        <v>0.4283578606648773</v>
      </c>
      <c r="BS77" s="22">
        <f t="shared" si="63"/>
        <v>58.408776288659212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13</v>
      </c>
      <c r="BY77" s="12">
        <f>IF('Données projet'!$A$114&gt;35,BY76+BX77-CG76,IF(A77&lt;'Données projet'!$A$114,$BV$205^A77,IF(A77='Données projet'!$A$114,'Données projet'!$B$114,BY76+BX77-CG76)))</f>
        <v>992</v>
      </c>
      <c r="BZ77" s="13">
        <f>BY77*VLOOKUP('Données projet'!$B$12,Paramètres!$A$1:$I$89,3,0)*VLOOKUP('Données projet'!$B$12,Paramètres!$A$1:$I$89,5,0)</f>
        <v>438.46400000000006</v>
      </c>
      <c r="CA77" s="13">
        <f t="shared" si="93"/>
        <v>99.532496107759272</v>
      </c>
      <c r="CB77" s="20">
        <f t="shared" si="64"/>
        <v>937.01056405434736</v>
      </c>
      <c r="CC77" s="59">
        <f t="shared" si="65"/>
        <v>1230.3438973876807</v>
      </c>
      <c r="CD77" s="59">
        <f ca="1">AVERAGE(OFFSET($CC$3,0,0,'Données projet'!$E$12+1,1))-AVERAGE(OFFSET($H$3,0,0,'Données projet'!$E$12+1,1))</f>
        <v>534.99316143569899</v>
      </c>
      <c r="CE77" s="59">
        <f t="shared" si="94"/>
        <v>449.56965858934262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66.13155344191216</v>
      </c>
      <c r="CL77" s="21">
        <f>EXP(-LN(2)/25)*CL76+(1-EXP(-LN(2)/25))/(LN(2)/25)*Calculateur!CG77*Calculateur!CI77*VLOOKUP('Données projet'!$B$12,Paramètres!$A$1:$I$89,3,0)*0.475*44/12</f>
        <v>32.366425641027362</v>
      </c>
      <c r="CM77" s="21">
        <f>EXP(-LN(2)/2)*CM76+(1-EXP(-LN(2)/2))/(LN(2)/2)*CG77*CJ77*VLOOKUP('Données projet'!$B$12,Paramètres!$A$1:$I$89,3,0)*0.475*44/12</f>
        <v>0.8912010352941524</v>
      </c>
      <c r="CN77" s="22">
        <f t="shared" si="66"/>
        <v>99.389180118233682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</v>
      </c>
      <c r="CT77" s="12">
        <f>IF('Données projet'!$A$140&gt;35,CT76+CS77-DB76,IF(A77&lt;'Données projet'!$A$140,$CQ$205^A77,IF(A77='Données projet'!$A$140,'Données projet'!$B$140,CT76+CS77-DB76)))</f>
        <v>198.99999999999994</v>
      </c>
      <c r="CU77" s="17">
        <f>CT77*VLOOKUP('Données projet'!$B$13,Paramètres!$A$1:$I$89,3,0)*VLOOKUP('Données projet'!$B$13,Paramètres!$A$1:$I$89,5,0)</f>
        <v>226.62119999999993</v>
      </c>
      <c r="CV77" s="13">
        <f t="shared" si="95"/>
        <v>55.551477903366077</v>
      </c>
      <c r="CW77" s="20">
        <f t="shared" si="67"/>
        <v>491.45074734836231</v>
      </c>
      <c r="CX77" s="59">
        <f t="shared" si="68"/>
        <v>784.78408068169563</v>
      </c>
      <c r="CY77" s="59">
        <f ca="1">AVERAGE(OFFSET($CX$3,0,0,'Données projet'!$E$13+1,1))-AVERAGE(OFFSET($H$3,0,0,'Données projet'!$E$13+1,1))</f>
        <v>389.89050053480827</v>
      </c>
      <c r="CZ77" s="59">
        <f t="shared" si="96"/>
        <v>216.40816051909616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5.5005756979248623</v>
      </c>
      <c r="DG77" s="21">
        <f>EXP(-LN(2)/25)*DG76+(1-EXP(-LN(2)/25))/(LN(2)/25)*Calculateur!DB77*Calculateur!DD77*VLOOKUP('Données projet'!$B$13,Paramètres!$A$1:$I$89,3,0)*0.475*44/12</f>
        <v>1.1860216623351301</v>
      </c>
      <c r="DH77" s="21">
        <f>EXP(-LN(2)/2)*DH76+(1-EXP(-LN(2)/2))/(LN(2)/2)*DB77*DE77*VLOOKUP('Données projet'!$B$13,Paramètres!$A$1:$I$89,3,0)*0.475*44/12</f>
        <v>0.19923046741495323</v>
      </c>
      <c r="DI77" s="22">
        <f t="shared" si="69"/>
        <v>6.8858278276749454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228.00959999999992</v>
      </c>
      <c r="P78" s="13">
        <f t="shared" si="87"/>
        <v>55.852093054619829</v>
      </c>
      <c r="Q78" s="20">
        <f t="shared" si="54"/>
        <v>494.3924487367961</v>
      </c>
      <c r="R78" s="59">
        <f t="shared" si="55"/>
        <v>787.72578207012941</v>
      </c>
      <c r="S78" s="59">
        <f ca="1">AVERAGE(OFFSET($R$3,0,0,'Données projet'!$E$9+1,1))-AVERAGE(OFFSET($H$3,0,0,'Données projet'!$E$9+1,1))</f>
        <v>371.7282125501186</v>
      </c>
      <c r="T78" s="59">
        <f t="shared" si="88"/>
        <v>231.36959598460686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0.34400000000000003</v>
      </c>
      <c r="X78" s="16">
        <f>IF(ISNA(VLOOKUP(A78,'Données projet'!$A$35:$I$55,6,0)),0%,VLOOKUP(A78,'Données projet'!$A$35:$I$55,6,0)*VLOOKUP('Données projet'!$B$9,Paramètres!$A$1:$I$89,7,0))</f>
        <v>1.72E-2</v>
      </c>
      <c r="Y78" s="16">
        <f>IF(ISNA(VLOOKUP(A78,'Données projet'!$A$35:$I$55,7,0)),0%,VLOOKUP(A78,'Données projet'!$A$35:$I$55,7,0))</f>
        <v>0.06</v>
      </c>
      <c r="Z78" s="21">
        <f>EXP(-LN(2)/35)*Z77+(1-EXP(-LN(2)/35))/(LN(2)/35)*V78*W78*VLOOKUP('Données projet'!$B$9,Paramètres!$A$1:$I$89,3,0)*0.475*44/12</f>
        <v>39.665981845176006</v>
      </c>
      <c r="AA78" s="21">
        <f>EXP(-LN(2)/25)*AA77+(1-EXP(-LN(2)/25))/(LN(2)/25)*Calculateur!V78*Calculateur!X78*VLOOKUP('Données projet'!$B$9,Paramètres!$A$1:$I$89,3,0)*0.475*44/12</f>
        <v>2.2366762914921199</v>
      </c>
      <c r="AB78" s="21">
        <f>EXP(-LN(2)/2)*AB77+(1-EXP(-LN(2)/2))/(LN(2)/2)*V78*Y78*VLOOKUP('Données projet'!$B$9,Paramètres!$A$1:$I$89,3,0)*0.475*44/12</f>
        <v>1.3066581158575663</v>
      </c>
      <c r="AC78" s="22">
        <f t="shared" si="57"/>
        <v>43.209316252525689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1.7053025658242404E-13</v>
      </c>
      <c r="AJ78" s="13">
        <f>AI78*VLOOKUP('Données projet'!$B$10,Paramètres!$A$1:$I$89,3,0)*VLOOKUP('Données projet'!$B$10,Paramètres!$A$1:$I$89,5,0)</f>
        <v>7.9808160080574461E-14</v>
      </c>
      <c r="AK78" s="13">
        <f t="shared" si="89"/>
        <v>1.2308384591775343E-12</v>
      </c>
      <c r="AL78" s="20">
        <f t="shared" si="58"/>
        <v>2.282709528541206E-12</v>
      </c>
      <c r="AM78" s="59">
        <f t="shared" si="59"/>
        <v>293.33333333333559</v>
      </c>
      <c r="AN78" s="59">
        <f ca="1">AVERAGE(OFFSET($AM$3,0,0,'Données projet'!$E$10+1,1))-AVERAGE(OFFSET($H$3,0,0,'Données projet'!$E$10+1,1))</f>
        <v>218.32525311070435</v>
      </c>
      <c r="AO78" s="59">
        <f t="shared" si="90"/>
        <v>275.36315264099204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64.793069308998994</v>
      </c>
      <c r="AV78" s="21">
        <f>EXP(-LN(2)/25)*AV77+(1-EXP(-LN(2)/25))/(LN(2)/25)*Calculateur!AQ78*Calculateur!AS78*VLOOKUP('Données projet'!$B$10,Paramètres!$A$1:$I$89,3,0)*0.475*44/12</f>
        <v>24.834948017196762</v>
      </c>
      <c r="AW78" s="21">
        <f>EXP(-LN(2)/2)*AW77+(1-EXP(-LN(2)/2))/(LN(2)/2)*AQ78*AT78*VLOOKUP('Données projet'!$B$10,Paramètres!$A$1:$I$89,3,0)*0.475*44/12</f>
        <v>0.36050864657478798</v>
      </c>
      <c r="AX78" s="21">
        <f t="shared" si="60"/>
        <v>89.988525972770546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343</v>
      </c>
      <c r="BE78" s="13">
        <f>BD78*VLOOKUP('Données projet'!$B$11,Paramètres!$A$1:$I$89,3,0)*VLOOKUP('Données projet'!$B$11,Paramètres!$A$1:$I$89,5,0)</f>
        <v>326.39879999999999</v>
      </c>
      <c r="BF78" s="13">
        <f t="shared" si="91"/>
        <v>76.683210401884097</v>
      </c>
      <c r="BG78" s="20">
        <f t="shared" si="61"/>
        <v>702.03450144994804</v>
      </c>
      <c r="BH78" s="59">
        <f t="shared" si="62"/>
        <v>995.3678347832813</v>
      </c>
      <c r="BI78" s="59">
        <f ca="1">AVERAGE(OFFSET($BH$3,0,0,'Données projet'!$E$11+1,1))-AVERAGE(OFFSET($H$3,0,0,'Données projet'!$E$11+1,1))</f>
        <v>446.62872871405051</v>
      </c>
      <c r="BJ78" s="59">
        <f t="shared" si="92"/>
        <v>471.28934889691658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53.893450752801932</v>
      </c>
      <c r="BQ78" s="21">
        <f>EXP(-LN(2)/25)*BQ77+(1-EXP(-LN(2)/25))/(LN(2)/25)*Calculateur!BL78*Calculateur!BN78*VLOOKUP('Données projet'!$B$11,Paramètres!$A$1:$I$89,3,0)*0.475*44/12</f>
        <v>2.9267303336061725</v>
      </c>
      <c r="BR78" s="21">
        <f>EXP(-LN(2)/2)*BR77+(1-EXP(-LN(2)/2))/(LN(2)/2)*BL78*BO78*VLOOKUP('Données projet'!$B$11,Paramètres!$A$1:$I$89,3,0)*0.475*44/12</f>
        <v>0.30289474805069705</v>
      </c>
      <c r="BS78" s="22">
        <f t="shared" si="63"/>
        <v>57.123075834458803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1005</v>
      </c>
      <c r="BW78" s="12">
        <f>VLOOKUP(A78,'Données projet'!$A$113:$I$133,9,0)</f>
        <v>13</v>
      </c>
      <c r="BX78" s="12">
        <f t="array" ref="BX78">INDEX(BW:BW,MIN(IF(ISNUMBER(BW78:BW274),ROW(BW78:BW274),"")))</f>
        <v>13</v>
      </c>
      <c r="BY78" s="12">
        <f>IF('Données projet'!$A$114&gt;35,BY77+BX78-CG77,IF(A78&lt;'Données projet'!$A$114,$BV$205^A78,IF(A78='Données projet'!$A$114,'Données projet'!$B$114,BY77+BX78-CG77)))</f>
        <v>1005</v>
      </c>
      <c r="BZ78" s="13">
        <f>BY78*VLOOKUP('Données projet'!$B$12,Paramètres!$A$1:$I$89,3,0)*VLOOKUP('Données projet'!$B$12,Paramètres!$A$1:$I$89,5,0)</f>
        <v>444.21000000000009</v>
      </c>
      <c r="CA78" s="13">
        <f t="shared" si="93"/>
        <v>100.68415144576424</v>
      </c>
      <c r="CB78" s="20">
        <f t="shared" si="64"/>
        <v>949.02398043470623</v>
      </c>
      <c r="CC78" s="59">
        <f t="shared" si="65"/>
        <v>1242.3573137680396</v>
      </c>
      <c r="CD78" s="59">
        <f ca="1">AVERAGE(OFFSET($CC$3,0,0,'Données projet'!$E$12+1,1))-AVERAGE(OFFSET($H$3,0,0,'Données projet'!$E$12+1,1))</f>
        <v>534.99316143569899</v>
      </c>
      <c r="CE78" s="59">
        <f t="shared" si="94"/>
        <v>449.56965858934262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33</v>
      </c>
      <c r="CH78" s="16">
        <f>IF(ISNA(VLOOKUP(A78,'Données projet'!$A$113:$I$133,5,0)),0%,VLOOKUP(A78,'Données projet'!$A$113:$I$133,5,0)*VLOOKUP('Données projet'!$B$12,Paramètres!$A$1:$I$89,7,0))</f>
        <v>0.33</v>
      </c>
      <c r="CI78" s="16">
        <f>IF(ISNA(VLOOKUP(A78,'Données projet'!$A$113:$I$133,6,0)),0%,VLOOKUP(A78,'Données projet'!$A$113:$I$133,6,0)*VLOOKUP('Données projet'!$B$12,Paramètres!$A$1:$I$89,7,0))</f>
        <v>0.13750000000000001</v>
      </c>
      <c r="CJ78" s="16">
        <f>IF(ISNA(VLOOKUP(A78,'Données projet'!$A$113:$I$133,7,0)),0%,VLOOKUP(A78,'Données projet'!$A$113:$I$133,7,0))</f>
        <v>0.15</v>
      </c>
      <c r="CK78" s="21">
        <f>EXP(-LN(2)/35)*CK77+(1-EXP(-LN(2)/35))/(LN(2)/35)*CG78*CH78*VLOOKUP('Données projet'!$B$12,Paramètres!$A$1:$I$89,3,0)*0.475*44/12</f>
        <v>71.220012833704573</v>
      </c>
      <c r="CL78" s="21">
        <f>EXP(-LN(2)/25)*CL77+(1-EXP(-LN(2)/25))/(LN(2)/25)*Calculateur!CG78*Calculateur!CI78*VLOOKUP('Données projet'!$B$12,Paramètres!$A$1:$I$89,3,0)*0.475*44/12</f>
        <v>34.131413038789077</v>
      </c>
      <c r="CM78" s="21">
        <f>EXP(-LN(2)/2)*CM77+(1-EXP(-LN(2)/2))/(LN(2)/2)*CG78*CJ78*VLOOKUP('Données projet'!$B$12,Paramètres!$A$1:$I$89,3,0)*0.475*44/12</f>
        <v>3.1073853392151216</v>
      </c>
      <c r="CN78" s="22">
        <f t="shared" si="66"/>
        <v>108.45881121170878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203</v>
      </c>
      <c r="CR78" s="12">
        <f>VLOOKUP(A78,'Données projet'!$A$139:$I$159,9,0)</f>
        <v>4</v>
      </c>
      <c r="CS78" s="12">
        <f t="array" ref="CS78">INDEX(CR:CR,MIN(IF(ISNUMBER(CR78:CR274),ROW(CR78:CR274),"")))</f>
        <v>4</v>
      </c>
      <c r="CT78" s="12">
        <f>IF('Données projet'!$A$140&gt;35,CT77+CS78-DB77,IF(A78&lt;'Données projet'!$A$140,$CQ$205^A78,IF(A78='Données projet'!$A$140,'Données projet'!$B$140,CT77+CS78-DB77)))</f>
        <v>202.99999999999994</v>
      </c>
      <c r="CU78" s="17">
        <f>CT78*VLOOKUP('Données projet'!$B$13,Paramètres!$A$1:$I$89,3,0)*VLOOKUP('Données projet'!$B$13,Paramètres!$A$1:$I$89,5,0)</f>
        <v>231.17639999999992</v>
      </c>
      <c r="CV78" s="13">
        <f t="shared" si="95"/>
        <v>56.536971139595458</v>
      </c>
      <c r="CW78" s="20">
        <f t="shared" si="67"/>
        <v>501.10078806812857</v>
      </c>
      <c r="CX78" s="59">
        <f t="shared" si="68"/>
        <v>794.43412140146188</v>
      </c>
      <c r="CY78" s="59">
        <f ca="1">AVERAGE(OFFSET($CX$3,0,0,'Données projet'!$E$13+1,1))-AVERAGE(OFFSET($H$3,0,0,'Données projet'!$E$13+1,1))</f>
        <v>389.89050053480827</v>
      </c>
      <c r="CZ78" s="59">
        <f t="shared" si="96"/>
        <v>216.40816051909616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10</v>
      </c>
      <c r="DC78" s="16">
        <f>IF(ISNA(VLOOKUP(A78,'Données projet'!$A$139:$I$159,5,0)),0%,VLOOKUP(A78,'Données projet'!$A$139:$I$159,5,0)*VLOOKUP('Données projet'!$B$13,Paramètres!$A$1:$I$89,7,0))</f>
        <v>0.129</v>
      </c>
      <c r="DD78" s="16">
        <f>IF(ISNA(VLOOKUP(A78,'Données projet'!$A$139:$I$159,6,0)),0%,VLOOKUP(A78,'Données projet'!$A$139:$I$159,6,0)*VLOOKUP('Données projet'!$B$13,Paramètres!$A$1:$I$89,7,0))</f>
        <v>1.72E-2</v>
      </c>
      <c r="DE78" s="16">
        <f>IF(ISNA(VLOOKUP(A78,'Données projet'!$A$139:$I$159,7,0)),0%,VLOOKUP(A78,'Données projet'!$A$139:$I$159,7,0))</f>
        <v>0.06</v>
      </c>
      <c r="DF78" s="21">
        <f>EXP(-LN(2)/35)*DF77+(1-EXP(-LN(2)/35))/(LN(2)/35)*DB78*DC78*VLOOKUP('Données projet'!$B$13,Paramètres!$A$1:$I$89,3,0)*0.475*44/12</f>
        <v>7.0167062355020899</v>
      </c>
      <c r="DG78" s="21">
        <f>EXP(-LN(2)/25)*DG77+(1-EXP(-LN(2)/25))/(LN(2)/25)*Calculateur!DB78*Calculateur!DD78*VLOOKUP('Données projet'!$B$13,Paramètres!$A$1:$I$89,3,0)*0.475*44/12</f>
        <v>1.3692697297289909</v>
      </c>
      <c r="DH78" s="21">
        <f>EXP(-LN(2)/2)*DH77+(1-EXP(-LN(2)/2))/(LN(2)/2)*DB78*DE78*VLOOKUP('Données projet'!$B$13,Paramètres!$A$1:$I$89,3,0)*0.475*44/12</f>
        <v>0.78557028473964863</v>
      </c>
      <c r="DI78" s="22">
        <f t="shared" si="69"/>
        <v>9.1715462499707296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214.43759999999989</v>
      </c>
      <c r="P79" s="13">
        <f t="shared" si="87"/>
        <v>52.904129603372375</v>
      </c>
      <c r="Q79" s="20">
        <f t="shared" si="54"/>
        <v>465.62017905920658</v>
      </c>
      <c r="R79" s="59">
        <f t="shared" si="55"/>
        <v>758.95351239253989</v>
      </c>
      <c r="S79" s="59">
        <f ca="1">AVERAGE(OFFSET($R$3,0,0,'Données projet'!$E$9+1,1))-AVERAGE(OFFSET($H$3,0,0,'Données projet'!$E$9+1,1))</f>
        <v>371.7282125501186</v>
      </c>
      <c r="T79" s="59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38.888156135052085</v>
      </c>
      <c r="AA79" s="21">
        <f>EXP(-LN(2)/25)*AA78+(1-EXP(-LN(2)/25))/(LN(2)/25)*Calculateur!V79*Calculateur!X79*VLOOKUP('Données projet'!$B$9,Paramètres!$A$1:$I$89,3,0)*0.475*44/12</f>
        <v>2.1755142606795737</v>
      </c>
      <c r="AB79" s="21">
        <f>EXP(-LN(2)/2)*AB78+(1-EXP(-LN(2)/2))/(LN(2)/2)*V79*Y79*VLOOKUP('Données projet'!$B$9,Paramètres!$A$1:$I$89,3,0)*0.475*44/12</f>
        <v>0.92394681441532267</v>
      </c>
      <c r="AC79" s="22">
        <f t="shared" si="57"/>
        <v>41.987617210146986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1.7053025658242404E-13</v>
      </c>
      <c r="AJ79" s="13">
        <f>AI79*VLOOKUP('Données projet'!$B$10,Paramètres!$A$1:$I$89,3,0)*VLOOKUP('Données projet'!$B$10,Paramètres!$A$1:$I$89,5,0)</f>
        <v>7.9808160080574461E-14</v>
      </c>
      <c r="AK79" s="13">
        <f t="shared" si="89"/>
        <v>1.2308384591775343E-12</v>
      </c>
      <c r="AL79" s="20">
        <f t="shared" si="58"/>
        <v>2.282709528541206E-12</v>
      </c>
      <c r="AM79" s="59">
        <f t="shared" si="59"/>
        <v>293.33333333333559</v>
      </c>
      <c r="AN79" s="59">
        <f ca="1">AVERAGE(OFFSET($AM$3,0,0,'Données projet'!$E$10+1,1))-AVERAGE(OFFSET($H$3,0,0,'Données projet'!$E$10+1,1))</f>
        <v>218.32525311070435</v>
      </c>
      <c r="AO79" s="59">
        <f t="shared" si="90"/>
        <v>275.36315264099204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63.522516739719542</v>
      </c>
      <c r="AV79" s="21">
        <f>EXP(-LN(2)/25)*AV78+(1-EXP(-LN(2)/25))/(LN(2)/25)*Calculateur!AQ79*Calculateur!AS79*VLOOKUP('Données projet'!$B$10,Paramètres!$A$1:$I$89,3,0)*0.475*44/12</f>
        <v>24.155835057653363</v>
      </c>
      <c r="AW79" s="21">
        <f>EXP(-LN(2)/2)*AW78+(1-EXP(-LN(2)/2))/(LN(2)/2)*AQ79*AT79*VLOOKUP('Données projet'!$B$10,Paramètres!$A$1:$I$89,3,0)*0.475*44/12</f>
        <v>0.254918108669417</v>
      </c>
      <c r="AX79" s="21">
        <f t="shared" si="60"/>
        <v>87.933269906042312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343</v>
      </c>
      <c r="BE79" s="13">
        <f>BD79*VLOOKUP('Données projet'!$B$11,Paramètres!$A$1:$I$89,3,0)*VLOOKUP('Données projet'!$B$11,Paramètres!$A$1:$I$89,5,0)</f>
        <v>326.39879999999999</v>
      </c>
      <c r="BF79" s="13">
        <f t="shared" si="91"/>
        <v>76.683210401884097</v>
      </c>
      <c r="BG79" s="20">
        <f t="shared" si="61"/>
        <v>702.03450144994804</v>
      </c>
      <c r="BH79" s="59">
        <f t="shared" si="62"/>
        <v>995.3678347832813</v>
      </c>
      <c r="BI79" s="59">
        <f ca="1">AVERAGE(OFFSET($BH$3,0,0,'Données projet'!$E$11+1,1))-AVERAGE(OFFSET($H$3,0,0,'Données projet'!$E$11+1,1))</f>
        <v>446.62872871405051</v>
      </c>
      <c r="BJ79" s="59">
        <f t="shared" si="92"/>
        <v>471.28934889691658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52.836633055298627</v>
      </c>
      <c r="BQ79" s="21">
        <f>EXP(-LN(2)/25)*BQ78+(1-EXP(-LN(2)/25))/(LN(2)/25)*Calculateur!BL79*Calculateur!BN79*VLOOKUP('Données projet'!$B$11,Paramètres!$A$1:$I$89,3,0)*0.475*44/12</f>
        <v>2.8466987387236524</v>
      </c>
      <c r="BR79" s="21">
        <f>EXP(-LN(2)/2)*BR78+(1-EXP(-LN(2)/2))/(LN(2)/2)*BL79*BO79*VLOOKUP('Données projet'!$B$11,Paramètres!$A$1:$I$89,3,0)*0.475*44/12</f>
        <v>0.21417893033243871</v>
      </c>
      <c r="BS79" s="22">
        <f t="shared" si="63"/>
        <v>55.897510724354717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9.6</v>
      </c>
      <c r="BY79" s="12">
        <f>IF('Données projet'!$A$114&gt;35,BY78+BX79-CG78,IF(A79&lt;'Données projet'!$A$114,$BV$205^A79,IF(A79='Données projet'!$A$114,'Données projet'!$B$114,BY78+BX79-CG78)))</f>
        <v>981.6</v>
      </c>
      <c r="BZ79" s="13">
        <f>BY79*VLOOKUP('Données projet'!$B$12,Paramètres!$A$1:$I$89,3,0)*VLOOKUP('Données projet'!$B$12,Paramètres!$A$1:$I$89,5,0)</f>
        <v>433.86720000000003</v>
      </c>
      <c r="CA79" s="13">
        <f t="shared" si="93"/>
        <v>98.609907223448943</v>
      </c>
      <c r="CB79" s="20">
        <f t="shared" si="64"/>
        <v>927.3976284141736</v>
      </c>
      <c r="CC79" s="59">
        <f t="shared" si="65"/>
        <v>1220.7309617475069</v>
      </c>
      <c r="CD79" s="59">
        <f ca="1">AVERAGE(OFFSET($CC$3,0,0,'Données projet'!$E$12+1,1))-AVERAGE(OFFSET($H$3,0,0,'Données projet'!$E$12+1,1))</f>
        <v>534.99316143569899</v>
      </c>
      <c r="CE79" s="59">
        <f t="shared" si="94"/>
        <v>449.56965858934262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69.823431821954117</v>
      </c>
      <c r="CL79" s="21">
        <f>EXP(-LN(2)/25)*CL78+(1-EXP(-LN(2)/25))/(LN(2)/25)*Calculateur!CG79*Calculateur!CI79*VLOOKUP('Données projet'!$B$12,Paramètres!$A$1:$I$89,3,0)*0.475*44/12</f>
        <v>33.198087754350389</v>
      </c>
      <c r="CM79" s="21">
        <f>EXP(-LN(2)/2)*CM78+(1-EXP(-LN(2)/2))/(LN(2)/2)*CG79*CJ79*VLOOKUP('Données projet'!$B$12,Paramètres!$A$1:$I$89,3,0)*0.475*44/12</f>
        <v>2.1972532451186728</v>
      </c>
      <c r="CN79" s="22">
        <f t="shared" si="66"/>
        <v>105.21877282142319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196.59999999999994</v>
      </c>
      <c r="CU79" s="17">
        <f>CT79*VLOOKUP('Données projet'!$B$13,Paramètres!$A$1:$I$89,3,0)*VLOOKUP('Données projet'!$B$13,Paramètres!$A$1:$I$89,5,0)</f>
        <v>223.88807999999992</v>
      </c>
      <c r="CV79" s="13">
        <f t="shared" si="95"/>
        <v>54.95907716050634</v>
      </c>
      <c r="CW79" s="20">
        <f t="shared" si="67"/>
        <v>485.65879872121496</v>
      </c>
      <c r="CX79" s="59">
        <f t="shared" si="68"/>
        <v>778.99213205454828</v>
      </c>
      <c r="CY79" s="59">
        <f ca="1">AVERAGE(OFFSET($CX$3,0,0,'Données projet'!$E$13+1,1))-AVERAGE(OFFSET($H$3,0,0,'Données projet'!$E$13+1,1))</f>
        <v>389.89050053480827</v>
      </c>
      <c r="CZ79" s="59">
        <f t="shared" si="96"/>
        <v>216.40816051909616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6.8791129059921055</v>
      </c>
      <c r="DG79" s="21">
        <f>EXP(-LN(2)/25)*DG78+(1-EXP(-LN(2)/25))/(LN(2)/25)*Calculateur!DB79*Calculateur!DD79*VLOOKUP('Données projet'!$B$13,Paramètres!$A$1:$I$89,3,0)*0.475*44/12</f>
        <v>1.331826976962786</v>
      </c>
      <c r="DH79" s="21">
        <f>EXP(-LN(2)/2)*DH78+(1-EXP(-LN(2)/2))/(LN(2)/2)*DB79*DE79*VLOOKUP('Données projet'!$B$13,Paramètres!$A$1:$I$89,3,0)*0.475*44/12</f>
        <v>0.55548207543805261</v>
      </c>
      <c r="DI79" s="22">
        <f t="shared" si="69"/>
        <v>8.766421958392943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219.86639999999989</v>
      </c>
      <c r="P80" s="13">
        <f t="shared" si="87"/>
        <v>54.085847394182416</v>
      </c>
      <c r="Q80" s="20">
        <f t="shared" si="54"/>
        <v>477.13349754486745</v>
      </c>
      <c r="R80" s="59">
        <f t="shared" si="55"/>
        <v>770.46683087820077</v>
      </c>
      <c r="S80" s="59">
        <f ca="1">AVERAGE(OFFSET($R$3,0,0,'Données projet'!$E$9+1,1))-AVERAGE(OFFSET($H$3,0,0,'Données projet'!$E$9+1,1))</f>
        <v>371.7282125501186</v>
      </c>
      <c r="T80" s="59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38.125583112676857</v>
      </c>
      <c r="AA80" s="21">
        <f>EXP(-LN(2)/25)*AA79+(1-EXP(-LN(2)/25))/(LN(2)/25)*Calculateur!V80*Calculateur!X80*VLOOKUP('Données projet'!$B$9,Paramètres!$A$1:$I$89,3,0)*0.475*44/12</f>
        <v>2.116024708815968</v>
      </c>
      <c r="AB80" s="21">
        <f>EXP(-LN(2)/2)*AB79+(1-EXP(-LN(2)/2))/(LN(2)/2)*V80*Y80*VLOOKUP('Données projet'!$B$9,Paramètres!$A$1:$I$89,3,0)*0.475*44/12</f>
        <v>0.65332905792878326</v>
      </c>
      <c r="AC80" s="22">
        <f t="shared" si="57"/>
        <v>40.894936879421614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1.7053025658242404E-13</v>
      </c>
      <c r="AJ80" s="13">
        <f>AI80*VLOOKUP('Données projet'!$B$10,Paramètres!$A$1:$I$89,3,0)*VLOOKUP('Données projet'!$B$10,Paramètres!$A$1:$I$89,5,0)</f>
        <v>7.9808160080574461E-14</v>
      </c>
      <c r="AK80" s="13">
        <f t="shared" si="89"/>
        <v>1.2308384591775343E-12</v>
      </c>
      <c r="AL80" s="20">
        <f t="shared" si="58"/>
        <v>2.282709528541206E-12</v>
      </c>
      <c r="AM80" s="59">
        <f t="shared" si="59"/>
        <v>293.33333333333559</v>
      </c>
      <c r="AN80" s="59">
        <f ca="1">AVERAGE(OFFSET($AM$3,0,0,'Données projet'!$E$10+1,1))-AVERAGE(OFFSET($H$3,0,0,'Données projet'!$E$10+1,1))</f>
        <v>218.32525311070435</v>
      </c>
      <c r="AO80" s="59">
        <f t="shared" si="90"/>
        <v>275.36315264099204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62.276878931363107</v>
      </c>
      <c r="AV80" s="21">
        <f>EXP(-LN(2)/25)*AV79+(1-EXP(-LN(2)/25))/(LN(2)/25)*Calculateur!AQ80*Calculateur!AS80*VLOOKUP('Données projet'!$B$10,Paramètres!$A$1:$I$89,3,0)*0.475*44/12</f>
        <v>23.495292477701675</v>
      </c>
      <c r="AW80" s="21">
        <f>EXP(-LN(2)/2)*AW79+(1-EXP(-LN(2)/2))/(LN(2)/2)*AQ80*AT80*VLOOKUP('Données projet'!$B$10,Paramètres!$A$1:$I$89,3,0)*0.475*44/12</f>
        <v>0.18025432328739399</v>
      </c>
      <c r="AX80" s="21">
        <f t="shared" si="60"/>
        <v>85.952425732352182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343</v>
      </c>
      <c r="BE80" s="13">
        <f>BD80*VLOOKUP('Données projet'!$B$11,Paramètres!$A$1:$I$89,3,0)*VLOOKUP('Données projet'!$B$11,Paramètres!$A$1:$I$89,5,0)</f>
        <v>326.39879999999999</v>
      </c>
      <c r="BF80" s="13">
        <f t="shared" si="91"/>
        <v>76.683210401884097</v>
      </c>
      <c r="BG80" s="20">
        <f t="shared" si="61"/>
        <v>702.03450144994804</v>
      </c>
      <c r="BH80" s="59">
        <f t="shared" si="62"/>
        <v>995.3678347832813</v>
      </c>
      <c r="BI80" s="59">
        <f ca="1">AVERAGE(OFFSET($BH$3,0,0,'Données projet'!$E$11+1,1))-AVERAGE(OFFSET($H$3,0,0,'Données projet'!$E$11+1,1))</f>
        <v>446.62872871405051</v>
      </c>
      <c r="BJ80" s="59">
        <f t="shared" si="92"/>
        <v>471.28934889691658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51.800538908248214</v>
      </c>
      <c r="BQ80" s="21">
        <f>EXP(-LN(2)/25)*BQ79+(1-EXP(-LN(2)/25))/(LN(2)/25)*Calculateur!BL80*Calculateur!BN80*VLOOKUP('Données projet'!$B$11,Paramètres!$A$1:$I$89,3,0)*0.475*44/12</f>
        <v>2.7688556120118739</v>
      </c>
      <c r="BR80" s="21">
        <f>EXP(-LN(2)/2)*BR79+(1-EXP(-LN(2)/2))/(LN(2)/2)*BL80*BO80*VLOOKUP('Données projet'!$B$11,Paramètres!$A$1:$I$89,3,0)*0.475*44/12</f>
        <v>0.15144737402534855</v>
      </c>
      <c r="BS80" s="22">
        <f t="shared" si="63"/>
        <v>54.720841894285435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9.6</v>
      </c>
      <c r="BY80" s="12">
        <f>IF('Données projet'!$A$114&gt;35,BY79+BX80-CG79,IF(A80&lt;'Données projet'!$A$114,$BV$205^A80,IF(A80='Données projet'!$A$114,'Données projet'!$B$114,BY79+BX80-CG79)))</f>
        <v>991.2</v>
      </c>
      <c r="BZ80" s="13">
        <f>BY80*VLOOKUP('Données projet'!$B$12,Paramètres!$A$1:$I$89,3,0)*VLOOKUP('Données projet'!$B$12,Paramètres!$A$1:$I$89,5,0)</f>
        <v>438.11040000000008</v>
      </c>
      <c r="CA80" s="13">
        <f t="shared" si="93"/>
        <v>99.461567847572894</v>
      </c>
      <c r="CB80" s="20">
        <f t="shared" si="64"/>
        <v>936.27117733452303</v>
      </c>
      <c r="CC80" s="59">
        <f t="shared" si="65"/>
        <v>1229.6045106678564</v>
      </c>
      <c r="CD80" s="59">
        <f ca="1">AVERAGE(OFFSET($CC$3,0,0,'Données projet'!$E$12+1,1))-AVERAGE(OFFSET($H$3,0,0,'Données projet'!$E$12+1,1))</f>
        <v>534.99316143569899</v>
      </c>
      <c r="CE80" s="59">
        <f t="shared" si="94"/>
        <v>449.56965858934262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68.454236912013783</v>
      </c>
      <c r="CL80" s="21">
        <f>EXP(-LN(2)/25)*CL79+(1-EXP(-LN(2)/25))/(LN(2)/25)*Calculateur!CG80*Calculateur!CI80*VLOOKUP('Données projet'!$B$12,Paramètres!$A$1:$I$89,3,0)*0.475*44/12</f>
        <v>32.290284298896118</v>
      </c>
      <c r="CM80" s="21">
        <f>EXP(-LN(2)/2)*CM79+(1-EXP(-LN(2)/2))/(LN(2)/2)*CG80*CJ80*VLOOKUP('Données projet'!$B$12,Paramètres!$A$1:$I$89,3,0)*0.475*44/12</f>
        <v>1.553692669607561</v>
      </c>
      <c r="CN80" s="22">
        <f t="shared" si="66"/>
        <v>102.29821388051747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200.19999999999993</v>
      </c>
      <c r="CU80" s="17">
        <f>CT80*VLOOKUP('Données projet'!$B$13,Paramètres!$A$1:$I$89,3,0)*VLOOKUP('Données projet'!$B$13,Paramètres!$A$1:$I$89,5,0)</f>
        <v>227.98775999999995</v>
      </c>
      <c r="CV80" s="13">
        <f t="shared" si="95"/>
        <v>55.847365929662935</v>
      </c>
      <c r="CW80" s="20">
        <f t="shared" si="67"/>
        <v>494.34617766082943</v>
      </c>
      <c r="CX80" s="59">
        <f t="shared" si="68"/>
        <v>787.67951099416268</v>
      </c>
      <c r="CY80" s="59">
        <f ca="1">AVERAGE(OFFSET($CX$3,0,0,'Données projet'!$E$13+1,1))-AVERAGE(OFFSET($H$3,0,0,'Données projet'!$E$13+1,1))</f>
        <v>389.89050053480827</v>
      </c>
      <c r="CZ80" s="59">
        <f t="shared" si="96"/>
        <v>216.40816051909616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6.7442176977501678</v>
      </c>
      <c r="DG80" s="21">
        <f>EXP(-LN(2)/25)*DG79+(1-EXP(-LN(2)/25))/(LN(2)/25)*Calculateur!DB80*Calculateur!DD80*VLOOKUP('Données projet'!$B$13,Paramètres!$A$1:$I$89,3,0)*0.475*44/12</f>
        <v>1.2954080982400018</v>
      </c>
      <c r="DH80" s="21">
        <f>EXP(-LN(2)/2)*DH79+(1-EXP(-LN(2)/2))/(LN(2)/2)*DB80*DE80*VLOOKUP('Données projet'!$B$13,Paramètres!$A$1:$I$89,3,0)*0.475*44/12</f>
        <v>0.39278514236982437</v>
      </c>
      <c r="DI80" s="22">
        <f t="shared" si="69"/>
        <v>8.4324109383599932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225.29519999999991</v>
      </c>
      <c r="P81" s="13">
        <f t="shared" si="87"/>
        <v>55.264173352293078</v>
      </c>
      <c r="Q81" s="20">
        <f t="shared" si="54"/>
        <v>488.64090858857691</v>
      </c>
      <c r="R81" s="59">
        <f t="shared" si="55"/>
        <v>781.97424192191022</v>
      </c>
      <c r="S81" s="59">
        <f ca="1">AVERAGE(OFFSET($R$3,0,0,'Données projet'!$E$9+1,1))-AVERAGE(OFFSET($H$3,0,0,'Données projet'!$E$9+1,1))</f>
        <v>371.7282125501186</v>
      </c>
      <c r="T81" s="59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37.377963682146792</v>
      </c>
      <c r="AA81" s="21">
        <f>EXP(-LN(2)/25)*AA80+(1-EXP(-LN(2)/25))/(LN(2)/25)*Calculateur!V81*Calculateur!X81*VLOOKUP('Données projet'!$B$9,Paramètres!$A$1:$I$89,3,0)*0.475*44/12</f>
        <v>2.0581619018764923</v>
      </c>
      <c r="AB81" s="21">
        <f>EXP(-LN(2)/2)*AB80+(1-EXP(-LN(2)/2))/(LN(2)/2)*V81*Y81*VLOOKUP('Données projet'!$B$9,Paramètres!$A$1:$I$89,3,0)*0.475*44/12</f>
        <v>0.46197340720766139</v>
      </c>
      <c r="AC81" s="22">
        <f t="shared" si="57"/>
        <v>39.898098991230945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1.7053025658242404E-13</v>
      </c>
      <c r="AJ81" s="13">
        <f>AI81*VLOOKUP('Données projet'!$B$10,Paramètres!$A$1:$I$89,3,0)*VLOOKUP('Données projet'!$B$10,Paramètres!$A$1:$I$89,5,0)</f>
        <v>7.9808160080574461E-14</v>
      </c>
      <c r="AK81" s="13">
        <f t="shared" si="89"/>
        <v>1.2308384591775343E-12</v>
      </c>
      <c r="AL81" s="20">
        <f t="shared" si="58"/>
        <v>2.282709528541206E-12</v>
      </c>
      <c r="AM81" s="59">
        <f t="shared" si="59"/>
        <v>293.33333333333559</v>
      </c>
      <c r="AN81" s="59">
        <f ca="1">AVERAGE(OFFSET($AM$3,0,0,'Données projet'!$E$10+1,1))-AVERAGE(OFFSET($H$3,0,0,'Données projet'!$E$10+1,1))</f>
        <v>218.32525311070435</v>
      </c>
      <c r="AO81" s="59">
        <f t="shared" si="90"/>
        <v>275.36315264099204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61.055667320664504</v>
      </c>
      <c r="AV81" s="21">
        <f>EXP(-LN(2)/25)*AV80+(1-EXP(-LN(2)/25))/(LN(2)/25)*Calculateur!AQ81*Calculateur!AS81*VLOOKUP('Données projet'!$B$10,Paramètres!$A$1:$I$89,3,0)*0.475*44/12</f>
        <v>22.852812469335191</v>
      </c>
      <c r="AW81" s="21">
        <f>EXP(-LN(2)/2)*AW80+(1-EXP(-LN(2)/2))/(LN(2)/2)*AQ81*AT81*VLOOKUP('Données projet'!$B$10,Paramètres!$A$1:$I$89,3,0)*0.475*44/12</f>
        <v>0.1274590543347085</v>
      </c>
      <c r="AX81" s="21">
        <f t="shared" si="60"/>
        <v>84.035938844334396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343</v>
      </c>
      <c r="BE81" s="13">
        <f>BD81*VLOOKUP('Données projet'!$B$11,Paramètres!$A$1:$I$89,3,0)*VLOOKUP('Données projet'!$B$11,Paramètres!$A$1:$I$89,5,0)</f>
        <v>326.39879999999999</v>
      </c>
      <c r="BF81" s="13">
        <f t="shared" si="91"/>
        <v>76.683210401884097</v>
      </c>
      <c r="BG81" s="20">
        <f t="shared" si="61"/>
        <v>702.03450144994804</v>
      </c>
      <c r="BH81" s="59">
        <f t="shared" si="62"/>
        <v>995.3678347832813</v>
      </c>
      <c r="BI81" s="59">
        <f ca="1">AVERAGE(OFFSET($BH$3,0,0,'Données projet'!$E$11+1,1))-AVERAGE(OFFSET($H$3,0,0,'Données projet'!$E$11+1,1))</f>
        <v>446.62872871405051</v>
      </c>
      <c r="BJ81" s="59">
        <f t="shared" si="92"/>
        <v>471.28934889691658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50.784761935466435</v>
      </c>
      <c r="BQ81" s="21">
        <f>EXP(-LN(2)/25)*BQ80+(1-EXP(-LN(2)/25))/(LN(2)/25)*Calculateur!BL81*Calculateur!BN81*VLOOKUP('Données projet'!$B$11,Paramètres!$A$1:$I$89,3,0)*0.475*44/12</f>
        <v>2.6931411096936211</v>
      </c>
      <c r="BR81" s="21">
        <f>EXP(-LN(2)/2)*BR80+(1-EXP(-LN(2)/2))/(LN(2)/2)*BL81*BO81*VLOOKUP('Données projet'!$B$11,Paramètres!$A$1:$I$89,3,0)*0.475*44/12</f>
        <v>0.10708946516621937</v>
      </c>
      <c r="BS81" s="22">
        <f t="shared" si="63"/>
        <v>53.584992510326273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9.6</v>
      </c>
      <c r="BY81" s="12">
        <f>IF('Données projet'!$A$114&gt;35,BY80+BX81-CG80,IF(A81&lt;'Données projet'!$A$114,$BV$205^A81,IF(A81='Données projet'!$A$114,'Données projet'!$B$114,BY80+BX81-CG80)))</f>
        <v>1000.8000000000001</v>
      </c>
      <c r="BZ81" s="13">
        <f>BY81*VLOOKUP('Données projet'!$B$12,Paramètres!$A$1:$I$89,3,0)*VLOOKUP('Données projet'!$B$12,Paramètres!$A$1:$I$89,5,0)</f>
        <v>442.35360000000009</v>
      </c>
      <c r="CA81" s="13">
        <f t="shared" si="93"/>
        <v>100.31226886805121</v>
      </c>
      <c r="CB81" s="20">
        <f t="shared" si="64"/>
        <v>945.14305494518931</v>
      </c>
      <c r="CC81" s="59">
        <f t="shared" si="65"/>
        <v>1238.4763882785226</v>
      </c>
      <c r="CD81" s="59">
        <f ca="1">AVERAGE(OFFSET($CC$3,0,0,'Données projet'!$E$12+1,1))-AVERAGE(OFFSET($H$3,0,0,'Données projet'!$E$12+1,1))</f>
        <v>534.99316143569899</v>
      </c>
      <c r="CE81" s="59">
        <f t="shared" si="94"/>
        <v>449.56965858934262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67.111891079130942</v>
      </c>
      <c r="CL81" s="21">
        <f>EXP(-LN(2)/25)*CL80+(1-EXP(-LN(2)/25))/(LN(2)/25)*Calculateur!CG81*Calculateur!CI81*VLOOKUP('Données projet'!$B$12,Paramètres!$A$1:$I$89,3,0)*0.475*44/12</f>
        <v>31.407304776670554</v>
      </c>
      <c r="CM81" s="21">
        <f>EXP(-LN(2)/2)*CM80+(1-EXP(-LN(2)/2))/(LN(2)/2)*CG81*CJ81*VLOOKUP('Données projet'!$B$12,Paramètres!$A$1:$I$89,3,0)*0.475*44/12</f>
        <v>1.0986266225593366</v>
      </c>
      <c r="CN81" s="22">
        <f t="shared" si="66"/>
        <v>99.617822478360836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203.79999999999993</v>
      </c>
      <c r="CU81" s="17">
        <f>CT81*VLOOKUP('Données projet'!$B$13,Paramètres!$A$1:$I$89,3,0)*VLOOKUP('Données projet'!$B$13,Paramètres!$A$1:$I$89,5,0)</f>
        <v>232.08743999999993</v>
      </c>
      <c r="CV81" s="13">
        <f t="shared" si="95"/>
        <v>56.733797254131133</v>
      </c>
      <c r="CW81" s="20">
        <f t="shared" si="67"/>
        <v>503.03032155094485</v>
      </c>
      <c r="CX81" s="59">
        <f t="shared" si="68"/>
        <v>796.36365488427816</v>
      </c>
      <c r="CY81" s="59">
        <f ca="1">AVERAGE(OFFSET($CX$3,0,0,'Données projet'!$E$13+1,1))-AVERAGE(OFFSET($H$3,0,0,'Données projet'!$E$13+1,1))</f>
        <v>389.89050053480827</v>
      </c>
      <c r="CZ81" s="59">
        <f t="shared" si="96"/>
        <v>216.40816051909616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6.6119677022639021</v>
      </c>
      <c r="DG81" s="21">
        <f>EXP(-LN(2)/25)*DG80+(1-EXP(-LN(2)/25))/(LN(2)/25)*Calculateur!DB81*Calculateur!DD81*VLOOKUP('Données projet'!$B$13,Paramètres!$A$1:$I$89,3,0)*0.475*44/12</f>
        <v>1.2599850956710779</v>
      </c>
      <c r="DH81" s="21">
        <f>EXP(-LN(2)/2)*DH80+(1-EXP(-LN(2)/2))/(LN(2)/2)*DB81*DE81*VLOOKUP('Données projet'!$B$13,Paramètres!$A$1:$I$89,3,0)*0.475*44/12</f>
        <v>0.27774103771902636</v>
      </c>
      <c r="DI81" s="22">
        <f t="shared" si="69"/>
        <v>8.1496938356540056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230.72399999999988</v>
      </c>
      <c r="P82" s="13">
        <f t="shared" si="87"/>
        <v>56.439198612082045</v>
      </c>
      <c r="Q82" s="20">
        <f t="shared" si="54"/>
        <v>500.14257091604264</v>
      </c>
      <c r="R82" s="59">
        <f t="shared" si="55"/>
        <v>793.47590424937596</v>
      </c>
      <c r="S82" s="59">
        <f ca="1">AVERAGE(OFFSET($R$3,0,0,'Données projet'!$E$9+1,1))-AVERAGE(OFFSET($H$3,0,0,'Données projet'!$E$9+1,1))</f>
        <v>371.7282125501186</v>
      </c>
      <c r="T82" s="59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36.645004612646595</v>
      </c>
      <c r="AA82" s="21">
        <f>EXP(-LN(2)/25)*AA81+(1-EXP(-LN(2)/25))/(LN(2)/25)*Calculateur!V82*Calculateur!X82*VLOOKUP('Données projet'!$B$9,Paramètres!$A$1:$I$89,3,0)*0.475*44/12</f>
        <v>2.001881356435649</v>
      </c>
      <c r="AB82" s="21">
        <f>EXP(-LN(2)/2)*AB81+(1-EXP(-LN(2)/2))/(LN(2)/2)*V82*Y82*VLOOKUP('Données projet'!$B$9,Paramètres!$A$1:$I$89,3,0)*0.475*44/12</f>
        <v>0.32666452896439169</v>
      </c>
      <c r="AC82" s="22">
        <f t="shared" si="57"/>
        <v>38.973550498046635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1.7053025658242404E-13</v>
      </c>
      <c r="AJ82" s="13">
        <f>AI82*VLOOKUP('Données projet'!$B$10,Paramètres!$A$1:$I$89,3,0)*VLOOKUP('Données projet'!$B$10,Paramètres!$A$1:$I$89,5,0)</f>
        <v>7.9808160080574461E-14</v>
      </c>
      <c r="AK82" s="13">
        <f t="shared" si="89"/>
        <v>1.2308384591775343E-12</v>
      </c>
      <c r="AL82" s="20">
        <f t="shared" si="58"/>
        <v>2.282709528541206E-12</v>
      </c>
      <c r="AM82" s="59">
        <f t="shared" si="59"/>
        <v>293.33333333333559</v>
      </c>
      <c r="AN82" s="59">
        <f ca="1">AVERAGE(OFFSET($AM$3,0,0,'Données projet'!$E$10+1,1))-AVERAGE(OFFSET($H$3,0,0,'Données projet'!$E$10+1,1))</f>
        <v>218.32525311070435</v>
      </c>
      <c r="AO82" s="59">
        <f t="shared" si="90"/>
        <v>275.36315264099204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59.858402924786169</v>
      </c>
      <c r="AV82" s="21">
        <f>EXP(-LN(2)/25)*AV81+(1-EXP(-LN(2)/25))/(LN(2)/25)*Calculateur!AQ82*Calculateur!AS82*VLOOKUP('Données projet'!$B$10,Paramètres!$A$1:$I$89,3,0)*0.475*44/12</f>
        <v>22.227901110584042</v>
      </c>
      <c r="AW82" s="21">
        <f>EXP(-LN(2)/2)*AW81+(1-EXP(-LN(2)/2))/(LN(2)/2)*AQ82*AT82*VLOOKUP('Données projet'!$B$10,Paramètres!$A$1:$I$89,3,0)*0.475*44/12</f>
        <v>9.0127161643696996E-2</v>
      </c>
      <c r="AX82" s="21">
        <f t="shared" si="60"/>
        <v>82.176431197013898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343</v>
      </c>
      <c r="BE82" s="13">
        <f>BD82*VLOOKUP('Données projet'!$B$11,Paramètres!$A$1:$I$89,3,0)*VLOOKUP('Données projet'!$B$11,Paramètres!$A$1:$I$89,5,0)</f>
        <v>326.39879999999999</v>
      </c>
      <c r="BF82" s="13">
        <f t="shared" si="91"/>
        <v>76.683210401884097</v>
      </c>
      <c r="BG82" s="20">
        <f t="shared" si="61"/>
        <v>702.03450144994804</v>
      </c>
      <c r="BH82" s="59">
        <f t="shared" si="62"/>
        <v>995.3678347832813</v>
      </c>
      <c r="BI82" s="59">
        <f ca="1">AVERAGE(OFFSET($BH$3,0,0,'Données projet'!$E$11+1,1))-AVERAGE(OFFSET($H$3,0,0,'Données projet'!$E$11+1,1))</f>
        <v>446.62872871405051</v>
      </c>
      <c r="BJ82" s="59">
        <f t="shared" si="92"/>
        <v>471.28934889691658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49.788903729558129</v>
      </c>
      <c r="BQ82" s="21">
        <f>EXP(-LN(2)/25)*BQ81+(1-EXP(-LN(2)/25))/(LN(2)/25)*Calculateur!BL82*Calculateur!BN82*VLOOKUP('Données projet'!$B$11,Paramètres!$A$1:$I$89,3,0)*0.475*44/12</f>
        <v>2.6194970244229134</v>
      </c>
      <c r="BR82" s="21">
        <f>EXP(-LN(2)/2)*BR81+(1-EXP(-LN(2)/2))/(LN(2)/2)*BL82*BO82*VLOOKUP('Données projet'!$B$11,Paramètres!$A$1:$I$89,3,0)*0.475*44/12</f>
        <v>7.572368701267429E-2</v>
      </c>
      <c r="BS82" s="22">
        <f t="shared" si="63"/>
        <v>52.484124440993718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9.6</v>
      </c>
      <c r="BY82" s="12">
        <f>IF('Données projet'!$A$114&gt;35,BY81+BX82-CG81,IF(A82&lt;'Données projet'!$A$114,$BV$205^A82,IF(A82='Données projet'!$A$114,'Données projet'!$B$114,BY81+BX82-CG81)))</f>
        <v>1010.4000000000001</v>
      </c>
      <c r="BZ82" s="13">
        <f>BY82*VLOOKUP('Données projet'!$B$12,Paramètres!$A$1:$I$89,3,0)*VLOOKUP('Données projet'!$B$12,Paramètres!$A$1:$I$89,5,0)</f>
        <v>446.59680000000009</v>
      </c>
      <c r="CA82" s="13">
        <f t="shared" si="93"/>
        <v>101.16202055573901</v>
      </c>
      <c r="CB82" s="20">
        <f t="shared" si="64"/>
        <v>954.01327913457897</v>
      </c>
      <c r="CC82" s="59">
        <f t="shared" si="65"/>
        <v>1247.3466124679123</v>
      </c>
      <c r="CD82" s="59">
        <f ca="1">AVERAGE(OFFSET($CC$3,0,0,'Données projet'!$E$12+1,1))-AVERAGE(OFFSET($H$3,0,0,'Données projet'!$E$12+1,1))</f>
        <v>534.99316143569899</v>
      </c>
      <c r="CE82" s="59">
        <f t="shared" si="94"/>
        <v>449.56965858934262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65.795867829280823</v>
      </c>
      <c r="CL82" s="21">
        <f>EXP(-LN(2)/25)*CL81+(1-EXP(-LN(2)/25))/(LN(2)/25)*Calculateur!CG82*Calculateur!CI82*VLOOKUP('Données projet'!$B$12,Paramètres!$A$1:$I$89,3,0)*0.475*44/12</f>
        <v>30.548470375914121</v>
      </c>
      <c r="CM82" s="21">
        <f>EXP(-LN(2)/2)*CM81+(1-EXP(-LN(2)/2))/(LN(2)/2)*CG82*CJ82*VLOOKUP('Données projet'!$B$12,Paramètres!$A$1:$I$89,3,0)*0.475*44/12</f>
        <v>0.77684633480378062</v>
      </c>
      <c r="CN82" s="22">
        <f t="shared" si="66"/>
        <v>97.121184539998723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207.39999999999992</v>
      </c>
      <c r="CU82" s="17">
        <f>CT82*VLOOKUP('Données projet'!$B$13,Paramètres!$A$1:$I$89,3,0)*VLOOKUP('Données projet'!$B$13,Paramètres!$A$1:$I$89,5,0)</f>
        <v>236.18711999999991</v>
      </c>
      <c r="CV82" s="13">
        <f t="shared" si="95"/>
        <v>57.61840772987285</v>
      </c>
      <c r="CW82" s="20">
        <f t="shared" si="67"/>
        <v>511.71129412952837</v>
      </c>
      <c r="CX82" s="59">
        <f t="shared" si="68"/>
        <v>805.04462746286163</v>
      </c>
      <c r="CY82" s="59">
        <f ca="1">AVERAGE(OFFSET($CX$3,0,0,'Données projet'!$E$13+1,1))-AVERAGE(OFFSET($H$3,0,0,'Données projet'!$E$13+1,1))</f>
        <v>389.89050053480827</v>
      </c>
      <c r="CZ82" s="59">
        <f t="shared" si="96"/>
        <v>216.40816051909616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6.4823110485245889</v>
      </c>
      <c r="DG82" s="21">
        <f>EXP(-LN(2)/25)*DG81+(1-EXP(-LN(2)/25))/(LN(2)/25)*Calculateur!DB82*Calculateur!DD82*VLOOKUP('Données projet'!$B$13,Paramètres!$A$1:$I$89,3,0)*0.475*44/12</f>
        <v>1.2255307369702158</v>
      </c>
      <c r="DH82" s="21">
        <f>EXP(-LN(2)/2)*DH81+(1-EXP(-LN(2)/2))/(LN(2)/2)*DB82*DE82*VLOOKUP('Données projet'!$B$13,Paramètres!$A$1:$I$89,3,0)*0.475*44/12</f>
        <v>0.19639257118491224</v>
      </c>
      <c r="DI82" s="22">
        <f t="shared" si="69"/>
        <v>7.9042343566797166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236.15279999999987</v>
      </c>
      <c r="P83" s="13">
        <f t="shared" si="87"/>
        <v>57.61100977459931</v>
      </c>
      <c r="Q83" s="20">
        <f t="shared" si="54"/>
        <v>511.63863535742689</v>
      </c>
      <c r="R83" s="59">
        <f t="shared" si="55"/>
        <v>804.97196869076015</v>
      </c>
      <c r="S83" s="59">
        <f ca="1">AVERAGE(OFFSET($R$3,0,0,'Données projet'!$E$9+1,1))-AVERAGE(OFFSET($H$3,0,0,'Données projet'!$E$9+1,1))</f>
        <v>371.7282125501186</v>
      </c>
      <c r="T83" s="59">
        <f t="shared" si="88"/>
        <v>231.36959598460686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0.34400000000000003</v>
      </c>
      <c r="X83" s="16">
        <f>IF(ISNA(VLOOKUP(A83,'Données projet'!$A$35:$I$55,6,0)),0%,VLOOKUP(A83,'Données projet'!$A$35:$I$55,6,0)*VLOOKUP('Données projet'!$B$9,Paramètres!$A$1:$I$89,7,0))</f>
        <v>1.72E-2</v>
      </c>
      <c r="Y83" s="16">
        <f>IF(ISNA(VLOOKUP(A83,'Données projet'!$A$35:$I$55,7,0)),0%,VLOOKUP(A83,'Données projet'!$A$35:$I$55,7,0))</f>
        <v>0.06</v>
      </c>
      <c r="Z83" s="21">
        <f>EXP(-LN(2)/35)*Z82+(1-EXP(-LN(2)/35))/(LN(2)/35)*V83*W83*VLOOKUP('Données projet'!$B$9,Paramètres!$A$1:$I$89,3,0)*0.475*44/12</f>
        <v>43.152077049514219</v>
      </c>
      <c r="AA83" s="21">
        <f>EXP(-LN(2)/25)*AA82+(1-EXP(-LN(2)/25))/(LN(2)/25)*Calculateur!V83*Calculateur!X83*VLOOKUP('Données projet'!$B$9,Paramètres!$A$1:$I$89,3,0)*0.475*44/12</f>
        <v>2.3070002282132092</v>
      </c>
      <c r="AB83" s="21">
        <f>EXP(-LN(2)/2)*AB82+(1-EXP(-LN(2)/2))/(LN(2)/2)*V83*Y83*VLOOKUP('Données projet'!$B$9,Paramètres!$A$1:$I$89,3,0)*0.475*44/12</f>
        <v>1.3066526755458741</v>
      </c>
      <c r="AC83" s="22">
        <f t="shared" si="57"/>
        <v>46.765729953273308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1.7053025658242404E-13</v>
      </c>
      <c r="AJ83" s="13">
        <f>AI83*VLOOKUP('Données projet'!$B$10,Paramètres!$A$1:$I$89,3,0)*VLOOKUP('Données projet'!$B$10,Paramètres!$A$1:$I$89,5,0)</f>
        <v>7.9808160080574461E-14</v>
      </c>
      <c r="AK83" s="13">
        <f t="shared" si="89"/>
        <v>1.2308384591775343E-12</v>
      </c>
      <c r="AL83" s="20">
        <f t="shared" si="58"/>
        <v>2.282709528541206E-12</v>
      </c>
      <c r="AM83" s="59">
        <f t="shared" si="59"/>
        <v>293.33333333333559</v>
      </c>
      <c r="AN83" s="59">
        <f ca="1">AVERAGE(OFFSET($AM$3,0,0,'Données projet'!$E$10+1,1))-AVERAGE(OFFSET($H$3,0,0,'Données projet'!$E$10+1,1))</f>
        <v>218.32525311070435</v>
      </c>
      <c r="AO83" s="59">
        <f t="shared" si="90"/>
        <v>275.36315264099204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58.684616153451834</v>
      </c>
      <c r="AV83" s="21">
        <f>EXP(-LN(2)/25)*AV82+(1-EXP(-LN(2)/25))/(LN(2)/25)*Calculateur!AQ83*Calculateur!AS83*VLOOKUP('Données projet'!$B$10,Paramètres!$A$1:$I$89,3,0)*0.475*44/12</f>
        <v>21.620077985800606</v>
      </c>
      <c r="AW83" s="21">
        <f>EXP(-LN(2)/2)*AW82+(1-EXP(-LN(2)/2))/(LN(2)/2)*AQ83*AT83*VLOOKUP('Données projet'!$B$10,Paramètres!$A$1:$I$89,3,0)*0.475*44/12</f>
        <v>6.372952716735425E-2</v>
      </c>
      <c r="AX83" s="21">
        <f t="shared" si="60"/>
        <v>80.368423666419787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343</v>
      </c>
      <c r="BE83" s="13">
        <f>BD83*VLOOKUP('Données projet'!$B$11,Paramètres!$A$1:$I$89,3,0)*VLOOKUP('Données projet'!$B$11,Paramètres!$A$1:$I$89,5,0)</f>
        <v>326.39879999999999</v>
      </c>
      <c r="BF83" s="13">
        <f t="shared" si="91"/>
        <v>76.683210401884097</v>
      </c>
      <c r="BG83" s="20">
        <f t="shared" si="61"/>
        <v>702.03450144994804</v>
      </c>
      <c r="BH83" s="59">
        <f t="shared" si="62"/>
        <v>995.3678347832813</v>
      </c>
      <c r="BI83" s="59">
        <f ca="1">AVERAGE(OFFSET($BH$3,0,0,'Données projet'!$E$11+1,1))-AVERAGE(OFFSET($H$3,0,0,'Données projet'!$E$11+1,1))</f>
        <v>446.62872871405051</v>
      </c>
      <c r="BJ83" s="59">
        <f t="shared" si="92"/>
        <v>471.28934889691658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48.812573695654152</v>
      </c>
      <c r="BQ83" s="21">
        <f>EXP(-LN(2)/25)*BQ82+(1-EXP(-LN(2)/25))/(LN(2)/25)*Calculateur!BL83*Calculateur!BN83*VLOOKUP('Données projet'!$B$11,Paramètres!$A$1:$I$89,3,0)*0.475*44/12</f>
        <v>2.5478667405367075</v>
      </c>
      <c r="BR83" s="21">
        <f>EXP(-LN(2)/2)*BR82+(1-EXP(-LN(2)/2))/(LN(2)/2)*BL83*BO83*VLOOKUP('Données projet'!$B$11,Paramètres!$A$1:$I$89,3,0)*0.475*44/12</f>
        <v>5.354473258310969E-2</v>
      </c>
      <c r="BS83" s="22">
        <f t="shared" si="63"/>
        <v>51.413985168773969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1020</v>
      </c>
      <c r="BW83" s="12">
        <f>VLOOKUP(A83,'Données projet'!$A$113:$I$133,9,0)</f>
        <v>9.6</v>
      </c>
      <c r="BX83" s="12">
        <f t="array" ref="BX83">INDEX(BW:BW,MIN(IF(ISNUMBER(BW83:BW279),ROW(BW83:BW279),"")))</f>
        <v>9.6</v>
      </c>
      <c r="BY83" s="12">
        <f>IF('Données projet'!$A$114&gt;35,BY82+BX83-CG82,IF(A83&lt;'Données projet'!$A$114,$BV$205^A83,IF(A83='Données projet'!$A$114,'Données projet'!$B$114,BY82+BX83-CG82)))</f>
        <v>1020.0000000000001</v>
      </c>
      <c r="BZ83" s="13">
        <f>BY83*VLOOKUP('Données projet'!$B$12,Paramètres!$A$1:$I$89,3,0)*VLOOKUP('Données projet'!$B$12,Paramètres!$A$1:$I$89,5,0)</f>
        <v>450.84000000000009</v>
      </c>
      <c r="CA83" s="13">
        <f t="shared" si="93"/>
        <v>102.01083297506649</v>
      </c>
      <c r="CB83" s="20">
        <f t="shared" si="64"/>
        <v>962.88186743157439</v>
      </c>
      <c r="CC83" s="59">
        <f t="shared" si="65"/>
        <v>1256.2152007649076</v>
      </c>
      <c r="CD83" s="59">
        <f ca="1">AVERAGE(OFFSET($CC$3,0,0,'Données projet'!$E$12+1,1))-AVERAGE(OFFSET($H$3,0,0,'Données projet'!$E$12+1,1))</f>
        <v>534.99316143569899</v>
      </c>
      <c r="CE83" s="59">
        <f t="shared" si="94"/>
        <v>449.56965858934262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29</v>
      </c>
      <c r="CH83" s="16">
        <f>IF(ISNA(VLOOKUP(A83,'Données projet'!$A$113:$I$133,5,0)),0%,VLOOKUP(A83,'Données projet'!$A$113:$I$133,5,0)*VLOOKUP('Données projet'!$B$12,Paramètres!$A$1:$I$89,7,0))</f>
        <v>0.33</v>
      </c>
      <c r="CI83" s="16">
        <f>IF(ISNA(VLOOKUP(A83,'Données projet'!$A$113:$I$133,6,0)),0%,VLOOKUP(A83,'Données projet'!$A$113:$I$133,6,0)*VLOOKUP('Données projet'!$B$12,Paramètres!$A$1:$I$89,7,0))</f>
        <v>0.13750000000000001</v>
      </c>
      <c r="CJ83" s="16">
        <f>IF(ISNA(VLOOKUP(A83,'Données projet'!$A$113:$I$133,7,0)),0%,VLOOKUP(A83,'Données projet'!$A$113:$I$133,7,0))</f>
        <v>0.15</v>
      </c>
      <c r="CK83" s="21">
        <f>EXP(-LN(2)/35)*CK82+(1-EXP(-LN(2)/35))/(LN(2)/35)*CG83*CH83*VLOOKUP('Données projet'!$B$12,Paramètres!$A$1:$I$89,3,0)*0.475*44/12</f>
        <v>70.116939045307262</v>
      </c>
      <c r="CL83" s="21">
        <f>EXP(-LN(2)/25)*CL82+(1-EXP(-LN(2)/25))/(LN(2)/25)*Calculateur!CG83*Calculateur!CI83*VLOOKUP('Données projet'!$B$12,Paramètres!$A$1:$I$89,3,0)*0.475*44/12</f>
        <v>32.04195179430647</v>
      </c>
      <c r="CM83" s="21">
        <f>EXP(-LN(2)/2)*CM82+(1-EXP(-LN(2)/2))/(LN(2)/2)*CG83*CJ83*VLOOKUP('Données projet'!$B$12,Paramètres!$A$1:$I$89,3,0)*0.475*44/12</f>
        <v>2.7262563497338044</v>
      </c>
      <c r="CN83" s="22">
        <f t="shared" si="66"/>
        <v>104.88514718934753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211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210.99999999999991</v>
      </c>
      <c r="CU83" s="17">
        <f>CT83*VLOOKUP('Données projet'!$B$13,Paramètres!$A$1:$I$89,3,0)*VLOOKUP('Données projet'!$B$13,Paramètres!$A$1:$I$89,5,0)</f>
        <v>240.28679999999991</v>
      </c>
      <c r="CV83" s="13">
        <f t="shared" si="95"/>
        <v>58.501232609617418</v>
      </c>
      <c r="CW83" s="20">
        <f t="shared" si="67"/>
        <v>520.38915679508352</v>
      </c>
      <c r="CX83" s="59">
        <f t="shared" si="68"/>
        <v>813.72249012841689</v>
      </c>
      <c r="CY83" s="59">
        <f ca="1">AVERAGE(OFFSET($CX$3,0,0,'Données projet'!$E$13+1,1))-AVERAGE(OFFSET($H$3,0,0,'Données projet'!$E$13+1,1))</f>
        <v>389.89050053480827</v>
      </c>
      <c r="CZ83" s="59">
        <f t="shared" si="96"/>
        <v>216.40816051909616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10</v>
      </c>
      <c r="DC83" s="16">
        <f>IF(ISNA(VLOOKUP(A83,'Données projet'!$A$139:$I$159,5,0)),0%,VLOOKUP(A83,'Données projet'!$A$139:$I$159,5,0)*VLOOKUP('Données projet'!$B$13,Paramètres!$A$1:$I$89,7,0))</f>
        <v>0.129</v>
      </c>
      <c r="DD83" s="16">
        <f>IF(ISNA(VLOOKUP(A83,'Données projet'!$A$139:$I$159,6,0)),0%,VLOOKUP(A83,'Données projet'!$A$139:$I$159,6,0)*VLOOKUP('Données projet'!$B$13,Paramètres!$A$1:$I$89,7,0))</f>
        <v>1.72E-2</v>
      </c>
      <c r="DE83" s="16">
        <f>IF(ISNA(VLOOKUP(A83,'Données projet'!$A$139:$I$159,7,0)),0%,VLOOKUP(A83,'Données projet'!$A$139:$I$159,7,0))</f>
        <v>0.06</v>
      </c>
      <c r="DF83" s="21">
        <f>EXP(-LN(2)/35)*DF82+(1-EXP(-LN(2)/35))/(LN(2)/35)*DB83*DC83*VLOOKUP('Données projet'!$B$13,Paramètres!$A$1:$I$89,3,0)*0.475*44/12</f>
        <v>7.9791903546759935</v>
      </c>
      <c r="DG83" s="21">
        <f>EXP(-LN(2)/25)*DG82+(1-EXP(-LN(2)/25))/(LN(2)/25)*Calculateur!DB83*Calculateur!DD83*VLOOKUP('Données projet'!$B$13,Paramètres!$A$1:$I$89,3,0)*0.475*44/12</f>
        <v>1.4076984266404882</v>
      </c>
      <c r="DH83" s="21">
        <f>EXP(-LN(2)/2)*DH82+(1-EXP(-LN(2)/2))/(LN(2)/2)*DB83*DE83*VLOOKUP('Données projet'!$B$13,Paramètres!$A$1:$I$89,3,0)*0.475*44/12</f>
        <v>0.78356358907108281</v>
      </c>
      <c r="DI83" s="22">
        <f t="shared" si="69"/>
        <v>10.170452370387565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222.3998399999999</v>
      </c>
      <c r="P84" s="13">
        <f t="shared" si="87"/>
        <v>54.636149281681448</v>
      </c>
      <c r="Q84" s="20">
        <f t="shared" si="54"/>
        <v>482.50434799892832</v>
      </c>
      <c r="R84" s="59">
        <f t="shared" si="55"/>
        <v>775.83768133226158</v>
      </c>
      <c r="S84" s="59">
        <f ca="1">AVERAGE(OFFSET($R$3,0,0,'Données projet'!$E$9+1,1))-AVERAGE(OFFSET($H$3,0,0,'Données projet'!$E$9+1,1))</f>
        <v>371.7282125501186</v>
      </c>
      <c r="T84" s="59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42.305891138741345</v>
      </c>
      <c r="AA84" s="21">
        <f>EXP(-LN(2)/25)*AA83+(1-EXP(-LN(2)/25))/(LN(2)/25)*Calculateur!V84*Calculateur!X84*VLOOKUP('Données projet'!$B$9,Paramètres!$A$1:$I$89,3,0)*0.475*44/12</f>
        <v>2.2439151856528499</v>
      </c>
      <c r="AB84" s="21">
        <f>EXP(-LN(2)/2)*AB83+(1-EXP(-LN(2)/2))/(LN(2)/2)*V84*Y84*VLOOKUP('Données projet'!$B$9,Paramètres!$A$1:$I$89,3,0)*0.475*44/12</f>
        <v>0.92394296753403327</v>
      </c>
      <c r="AC84" s="22">
        <f t="shared" si="57"/>
        <v>45.473749291928229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1.7053025658242404E-13</v>
      </c>
      <c r="AJ84" s="13">
        <f>AI84*VLOOKUP('Données projet'!$B$10,Paramètres!$A$1:$I$89,3,0)*VLOOKUP('Données projet'!$B$10,Paramètres!$A$1:$I$89,5,0)</f>
        <v>7.9808160080574461E-14</v>
      </c>
      <c r="AK84" s="13">
        <f t="shared" si="89"/>
        <v>1.2308384591775343E-12</v>
      </c>
      <c r="AL84" s="20">
        <f t="shared" si="58"/>
        <v>2.282709528541206E-12</v>
      </c>
      <c r="AM84" s="59">
        <f t="shared" si="59"/>
        <v>293.33333333333559</v>
      </c>
      <c r="AN84" s="59">
        <f ca="1">AVERAGE(OFFSET($AM$3,0,0,'Données projet'!$E$10+1,1))-AVERAGE(OFFSET($H$3,0,0,'Données projet'!$E$10+1,1))</f>
        <v>218.32525311070435</v>
      </c>
      <c r="AO84" s="59">
        <f t="shared" si="90"/>
        <v>275.36315264099204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57.533846624764124</v>
      </c>
      <c r="AV84" s="21">
        <f>EXP(-LN(2)/25)*AV83+(1-EXP(-LN(2)/25))/(LN(2)/25)*Calculateur!AQ84*Calculateur!AS84*VLOOKUP('Données projet'!$B$10,Paramètres!$A$1:$I$89,3,0)*0.475*44/12</f>
        <v>21.028875816328402</v>
      </c>
      <c r="AW84" s="21">
        <f>EXP(-LN(2)/2)*AW83+(1-EXP(-LN(2)/2))/(LN(2)/2)*AQ84*AT84*VLOOKUP('Données projet'!$B$10,Paramètres!$A$1:$I$89,3,0)*0.475*44/12</f>
        <v>4.5063580821848498E-2</v>
      </c>
      <c r="AX84" s="21">
        <f t="shared" si="60"/>
        <v>78.607786021914364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343</v>
      </c>
      <c r="BE84" s="13">
        <f>BD84*VLOOKUP('Données projet'!$B$11,Paramètres!$A$1:$I$89,3,0)*VLOOKUP('Données projet'!$B$11,Paramètres!$A$1:$I$89,5,0)</f>
        <v>326.39879999999999</v>
      </c>
      <c r="BF84" s="13">
        <f t="shared" si="91"/>
        <v>76.683210401884097</v>
      </c>
      <c r="BG84" s="20">
        <f t="shared" si="61"/>
        <v>702.03450144994804</v>
      </c>
      <c r="BH84" s="59">
        <f t="shared" si="62"/>
        <v>995.3678347832813</v>
      </c>
      <c r="BI84" s="59">
        <f ca="1">AVERAGE(OFFSET($BH$3,0,0,'Données projet'!$E$11+1,1))-AVERAGE(OFFSET($H$3,0,0,'Données projet'!$E$11+1,1))</f>
        <v>446.62872871405051</v>
      </c>
      <c r="BJ84" s="59">
        <f t="shared" si="92"/>
        <v>471.28934889691658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47.855388898212517</v>
      </c>
      <c r="BQ84" s="21">
        <f>EXP(-LN(2)/25)*BQ83+(1-EXP(-LN(2)/25))/(LN(2)/25)*Calculateur!BL84*Calculateur!BN84*VLOOKUP('Données projet'!$B$11,Paramètres!$A$1:$I$89,3,0)*0.475*44/12</f>
        <v>2.4781951905302426</v>
      </c>
      <c r="BR84" s="21">
        <f>EXP(-LN(2)/2)*BR83+(1-EXP(-LN(2)/2))/(LN(2)/2)*BL84*BO84*VLOOKUP('Données projet'!$B$11,Paramètres!$A$1:$I$89,3,0)*0.475*44/12</f>
        <v>3.7861843506337145E-2</v>
      </c>
      <c r="BS84" s="22">
        <f t="shared" si="63"/>
        <v>50.371445932249095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991.00000000000011</v>
      </c>
      <c r="BZ84" s="13">
        <f>BY84*VLOOKUP('Données projet'!$B$12,Paramètres!$A$1:$I$89,3,0)*VLOOKUP('Données projet'!$B$12,Paramètres!$A$1:$I$89,5,0)</f>
        <v>438.02200000000011</v>
      </c>
      <c r="CA84" s="13">
        <f t="shared" si="93"/>
        <v>99.443834741543355</v>
      </c>
      <c r="CB84" s="20">
        <f t="shared" si="64"/>
        <v>936.08632884152132</v>
      </c>
      <c r="CC84" s="59">
        <f t="shared" si="65"/>
        <v>1229.4196621748547</v>
      </c>
      <c r="CD84" s="59">
        <f ca="1">AVERAGE(OFFSET($CC$3,0,0,'Données projet'!$E$12+1,1))-AVERAGE(OFFSET($H$3,0,0,'Données projet'!$E$12+1,1))</f>
        <v>534.99316143569899</v>
      </c>
      <c r="CE84" s="59">
        <f t="shared" si="94"/>
        <v>449.56965858934262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68.7419886377387</v>
      </c>
      <c r="CL84" s="21">
        <f>EXP(-LN(2)/25)*CL83+(1-EXP(-LN(2)/25))/(LN(2)/25)*Calculateur!CG84*Calculateur!CI84*VLOOKUP('Données projet'!$B$12,Paramètres!$A$1:$I$89,3,0)*0.475*44/12</f>
        <v>31.165762937478149</v>
      </c>
      <c r="CM84" s="21">
        <f>EXP(-LN(2)/2)*CM83+(1-EXP(-LN(2)/2))/(LN(2)/2)*CG84*CJ84*VLOOKUP('Données projet'!$B$12,Paramètres!$A$1:$I$89,3,0)*0.475*44/12</f>
        <v>1.9277543521496572</v>
      </c>
      <c r="CN84" s="22">
        <f t="shared" si="66"/>
        <v>101.83550592736651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3.6</v>
      </c>
      <c r="CT84" s="12">
        <f>IF('Données projet'!$A$140&gt;35,CT83+CS84-DB83,IF(A84&lt;'Données projet'!$A$140,$CQ$205^A84,IF(A84='Données projet'!$A$140,'Données projet'!$B$140,CT83+CS84-DB83)))</f>
        <v>204.59999999999991</v>
      </c>
      <c r="CU84" s="17">
        <f>CT84*VLOOKUP('Données projet'!$B$13,Paramètres!$A$1:$I$89,3,0)*VLOOKUP('Données projet'!$B$13,Paramètres!$A$1:$I$89,5,0)</f>
        <v>232.99847999999989</v>
      </c>
      <c r="CV84" s="13">
        <f t="shared" si="95"/>
        <v>56.930533455463028</v>
      </c>
      <c r="CW84" s="20">
        <f t="shared" si="67"/>
        <v>504.95969843493117</v>
      </c>
      <c r="CX84" s="59">
        <f t="shared" si="68"/>
        <v>798.29303176826443</v>
      </c>
      <c r="CY84" s="59">
        <f ca="1">AVERAGE(OFFSET($CX$3,0,0,'Données projet'!$E$13+1,1))-AVERAGE(OFFSET($H$3,0,0,'Données projet'!$E$13+1,1))</f>
        <v>389.89050053480827</v>
      </c>
      <c r="CZ84" s="59">
        <f t="shared" si="96"/>
        <v>216.40816051909616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7.8227232986463546</v>
      </c>
      <c r="DG84" s="21">
        <f>EXP(-LN(2)/25)*DG83+(1-EXP(-LN(2)/25))/(LN(2)/25)*Calculateur!DB84*Calculateur!DD84*VLOOKUP('Données projet'!$B$13,Paramètres!$A$1:$I$89,3,0)*0.475*44/12</f>
        <v>1.3692048391363612</v>
      </c>
      <c r="DH84" s="21">
        <f>EXP(-LN(2)/2)*DH83+(1-EXP(-LN(2)/2))/(LN(2)/2)*DB84*DE84*VLOOKUP('Données projet'!$B$13,Paramètres!$A$1:$I$89,3,0)*0.475*44/12</f>
        <v>0.55406312732303198</v>
      </c>
      <c r="DI84" s="22">
        <f t="shared" si="69"/>
        <v>9.7459912651057472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227.64767999999992</v>
      </c>
      <c r="P85" s="13">
        <f t="shared" si="87"/>
        <v>55.773751036838313</v>
      </c>
      <c r="Q85" s="20">
        <f t="shared" si="54"/>
        <v>493.62565905582659</v>
      </c>
      <c r="R85" s="59">
        <f t="shared" si="55"/>
        <v>786.9589923891599</v>
      </c>
      <c r="S85" s="59">
        <f ca="1">AVERAGE(OFFSET($R$3,0,0,'Données projet'!$E$9+1,1))-AVERAGE(OFFSET($H$3,0,0,'Données projet'!$E$9+1,1))</f>
        <v>371.7282125501186</v>
      </c>
      <c r="T85" s="59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41.476298417556286</v>
      </c>
      <c r="AA85" s="21">
        <f>EXP(-LN(2)/25)*AA84+(1-EXP(-LN(2)/25))/(LN(2)/25)*Calculateur!V85*Calculateur!X85*VLOOKUP('Données projet'!$B$9,Paramètres!$A$1:$I$89,3,0)*0.475*44/12</f>
        <v>2.1825552068988014</v>
      </c>
      <c r="AB85" s="21">
        <f>EXP(-LN(2)/2)*AB84+(1-EXP(-LN(2)/2))/(LN(2)/2)*V85*Y85*VLOOKUP('Données projet'!$B$9,Paramètres!$A$1:$I$89,3,0)*0.475*44/12</f>
        <v>0.65332633777293714</v>
      </c>
      <c r="AC85" s="22">
        <f t="shared" si="57"/>
        <v>44.312179962228029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1.7053025658242404E-13</v>
      </c>
      <c r="AJ85" s="13">
        <f>AI85*VLOOKUP('Données projet'!$B$10,Paramètres!$A$1:$I$89,3,0)*VLOOKUP('Données projet'!$B$10,Paramètres!$A$1:$I$89,5,0)</f>
        <v>7.9808160080574461E-14</v>
      </c>
      <c r="AK85" s="13">
        <f t="shared" si="89"/>
        <v>1.2308384591775343E-12</v>
      </c>
      <c r="AL85" s="20">
        <f t="shared" si="58"/>
        <v>2.282709528541206E-12</v>
      </c>
      <c r="AM85" s="59">
        <f t="shared" si="59"/>
        <v>293.33333333333559</v>
      </c>
      <c r="AN85" s="59">
        <f ca="1">AVERAGE(OFFSET($AM$3,0,0,'Données projet'!$E$10+1,1))-AVERAGE(OFFSET($H$3,0,0,'Données projet'!$E$10+1,1))</f>
        <v>218.32525311070435</v>
      </c>
      <c r="AO85" s="59">
        <f t="shared" si="90"/>
        <v>275.36315264099204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56.405642984633872</v>
      </c>
      <c r="AV85" s="21">
        <f>EXP(-LN(2)/25)*AV84+(1-EXP(-LN(2)/25))/(LN(2)/25)*Calculateur!AQ85*Calculateur!AS85*VLOOKUP('Données projet'!$B$10,Paramètres!$A$1:$I$89,3,0)*0.475*44/12</f>
        <v>20.453840101270384</v>
      </c>
      <c r="AW85" s="21">
        <f>EXP(-LN(2)/2)*AW84+(1-EXP(-LN(2)/2))/(LN(2)/2)*AQ85*AT85*VLOOKUP('Données projet'!$B$10,Paramètres!$A$1:$I$89,3,0)*0.475*44/12</f>
        <v>3.1864763583677125E-2</v>
      </c>
      <c r="AX85" s="21">
        <f t="shared" si="60"/>
        <v>76.891347849487943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343</v>
      </c>
      <c r="BE85" s="13">
        <f>BD85*VLOOKUP('Données projet'!$B$11,Paramètres!$A$1:$I$89,3,0)*VLOOKUP('Données projet'!$B$11,Paramètres!$A$1:$I$89,5,0)</f>
        <v>326.39879999999999</v>
      </c>
      <c r="BF85" s="13">
        <f t="shared" si="91"/>
        <v>76.683210401884097</v>
      </c>
      <c r="BG85" s="20">
        <f t="shared" si="61"/>
        <v>702.03450144994804</v>
      </c>
      <c r="BH85" s="59">
        <f t="shared" si="62"/>
        <v>995.3678347832813</v>
      </c>
      <c r="BI85" s="59">
        <f ca="1">AVERAGE(OFFSET($BH$3,0,0,'Données projet'!$E$11+1,1))-AVERAGE(OFFSET($H$3,0,0,'Données projet'!$E$11+1,1))</f>
        <v>446.62872871405051</v>
      </c>
      <c r="BJ85" s="59">
        <f t="shared" si="92"/>
        <v>471.28934889691658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46.916973910823636</v>
      </c>
      <c r="BQ85" s="21">
        <f>EXP(-LN(2)/25)*BQ84+(1-EXP(-LN(2)/25))/(LN(2)/25)*Calculateur!BL85*Calculateur!BN85*VLOOKUP('Données projet'!$B$11,Paramètres!$A$1:$I$89,3,0)*0.475*44/12</f>
        <v>2.4104288127225719</v>
      </c>
      <c r="BR85" s="21">
        <f>EXP(-LN(2)/2)*BR84+(1-EXP(-LN(2)/2))/(LN(2)/2)*BL85*BO85*VLOOKUP('Données projet'!$B$11,Paramètres!$A$1:$I$89,3,0)*0.475*44/12</f>
        <v>2.6772366291554845E-2</v>
      </c>
      <c r="BS85" s="22">
        <f t="shared" si="63"/>
        <v>49.35417508983776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991.00000000000011</v>
      </c>
      <c r="BZ85" s="13">
        <f>BY85*VLOOKUP('Données projet'!$B$12,Paramètres!$A$1:$I$89,3,0)*VLOOKUP('Données projet'!$B$12,Paramètres!$A$1:$I$89,5,0)</f>
        <v>438.02200000000011</v>
      </c>
      <c r="CA85" s="13">
        <f t="shared" si="93"/>
        <v>99.443834741543355</v>
      </c>
      <c r="CB85" s="20">
        <f t="shared" si="64"/>
        <v>936.08632884152132</v>
      </c>
      <c r="CC85" s="59">
        <f t="shared" si="65"/>
        <v>1229.4196621748547</v>
      </c>
      <c r="CD85" s="59">
        <f ca="1">AVERAGE(OFFSET($CC$3,0,0,'Données projet'!$E$12+1,1))-AVERAGE(OFFSET($H$3,0,0,'Données projet'!$E$12+1,1))</f>
        <v>534.99316143569899</v>
      </c>
      <c r="CE85" s="59">
        <f t="shared" si="94"/>
        <v>449.56965858934262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67.394000169025617</v>
      </c>
      <c r="CL85" s="21">
        <f>EXP(-LN(2)/25)*CL84+(1-EXP(-LN(2)/25))/(LN(2)/25)*Calculateur!CG85*Calculateur!CI85*VLOOKUP('Données projet'!$B$12,Paramètres!$A$1:$I$89,3,0)*0.475*44/12</f>
        <v>30.313533511016566</v>
      </c>
      <c r="CM85" s="21">
        <f>EXP(-LN(2)/2)*CM84+(1-EXP(-LN(2)/2))/(LN(2)/2)*CG85*CJ85*VLOOKUP('Données projet'!$B$12,Paramètres!$A$1:$I$89,3,0)*0.475*44/12</f>
        <v>1.3631281748669024</v>
      </c>
      <c r="CN85" s="22">
        <f t="shared" si="66"/>
        <v>99.07066185490909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3.6</v>
      </c>
      <c r="CT85" s="12">
        <f>IF('Données projet'!$A$140&gt;35,CT84+CS85-DB84,IF(A85&lt;'Données projet'!$A$140,$CQ$205^A85,IF(A85='Données projet'!$A$140,'Données projet'!$B$140,CT84+CS85-DB84)))</f>
        <v>208.1999999999999</v>
      </c>
      <c r="CU85" s="17">
        <f>CT85*VLOOKUP('Données projet'!$B$13,Paramètres!$A$1:$I$89,3,0)*VLOOKUP('Données projet'!$B$13,Paramètres!$A$1:$I$89,5,0)</f>
        <v>237.09815999999989</v>
      </c>
      <c r="CV85" s="13">
        <f t="shared" si="95"/>
        <v>57.814744131423225</v>
      </c>
      <c r="CW85" s="20">
        <f t="shared" si="67"/>
        <v>513.63997469556193</v>
      </c>
      <c r="CX85" s="59">
        <f t="shared" si="68"/>
        <v>806.97330802889519</v>
      </c>
      <c r="CY85" s="59">
        <f ca="1">AVERAGE(OFFSET($CX$3,0,0,'Données projet'!$E$13+1,1))-AVERAGE(OFFSET($H$3,0,0,'Données projet'!$E$13+1,1))</f>
        <v>389.89050053480827</v>
      </c>
      <c r="CZ85" s="59">
        <f t="shared" si="96"/>
        <v>216.40816051909616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7.669324466149976</v>
      </c>
      <c r="DG85" s="21">
        <f>EXP(-LN(2)/25)*DG84+(1-EXP(-LN(2)/25))/(LN(2)/25)*Calculateur!DB85*Calculateur!DD85*VLOOKUP('Données projet'!$B$13,Paramètres!$A$1:$I$89,3,0)*0.475*44/12</f>
        <v>1.3317638608068243</v>
      </c>
      <c r="DH85" s="21">
        <f>EXP(-LN(2)/2)*DH84+(1-EXP(-LN(2)/2))/(LN(2)/2)*DB85*DE85*VLOOKUP('Données projet'!$B$13,Paramètres!$A$1:$I$89,3,0)*0.475*44/12</f>
        <v>0.39178179453554141</v>
      </c>
      <c r="DI85" s="22">
        <f t="shared" si="69"/>
        <v>9.3928701214923418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232.89551999999992</v>
      </c>
      <c r="P86" s="13">
        <f t="shared" si="87"/>
        <v>56.908304063818662</v>
      </c>
      <c r="Q86" s="20">
        <f t="shared" si="54"/>
        <v>504.74166024448397</v>
      </c>
      <c r="R86" s="59">
        <f t="shared" si="55"/>
        <v>798.07499357781728</v>
      </c>
      <c r="S86" s="59">
        <f ca="1">AVERAGE(OFFSET($R$3,0,0,'Données projet'!$E$9+1,1))-AVERAGE(OFFSET($H$3,0,0,'Données projet'!$E$9+1,1))</f>
        <v>371.7282125501186</v>
      </c>
      <c r="T86" s="59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40.662973503632067</v>
      </c>
      <c r="AA86" s="21">
        <f>EXP(-LN(2)/25)*AA85+(1-EXP(-LN(2)/25))/(LN(2)/25)*Calculateur!V86*Calculateur!X86*VLOOKUP('Données projet'!$B$9,Paramètres!$A$1:$I$89,3,0)*0.475*44/12</f>
        <v>2.1228731199905635</v>
      </c>
      <c r="AB86" s="21">
        <f>EXP(-LN(2)/2)*AB85+(1-EXP(-LN(2)/2))/(LN(2)/2)*V86*Y86*VLOOKUP('Données projet'!$B$9,Paramètres!$A$1:$I$89,3,0)*0.475*44/12</f>
        <v>0.46197148376701674</v>
      </c>
      <c r="AC86" s="22">
        <f t="shared" si="57"/>
        <v>43.247818107389648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1.7053025658242404E-13</v>
      </c>
      <c r="AJ86" s="13">
        <f>AI86*VLOOKUP('Données projet'!$B$10,Paramètres!$A$1:$I$89,3,0)*VLOOKUP('Données projet'!$B$10,Paramètres!$A$1:$I$89,5,0)</f>
        <v>7.9808160080574461E-14</v>
      </c>
      <c r="AK86" s="13">
        <f t="shared" si="89"/>
        <v>1.2308384591775343E-12</v>
      </c>
      <c r="AL86" s="20">
        <f t="shared" si="58"/>
        <v>2.282709528541206E-12</v>
      </c>
      <c r="AM86" s="59">
        <f t="shared" si="59"/>
        <v>293.33333333333559</v>
      </c>
      <c r="AN86" s="59">
        <f ca="1">AVERAGE(OFFSET($AM$3,0,0,'Données projet'!$E$10+1,1))-AVERAGE(OFFSET($H$3,0,0,'Données projet'!$E$10+1,1))</f>
        <v>218.32525311070435</v>
      </c>
      <c r="AO86" s="59">
        <f t="shared" si="90"/>
        <v>275.36315264099204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55.299562729750306</v>
      </c>
      <c r="AV86" s="21">
        <f>EXP(-LN(2)/25)*AV85+(1-EXP(-LN(2)/25))/(LN(2)/25)*Calculateur!AQ86*Calculateur!AS86*VLOOKUP('Données projet'!$B$10,Paramètres!$A$1:$I$89,3,0)*0.475*44/12</f>
        <v>19.894528768080441</v>
      </c>
      <c r="AW86" s="21">
        <f>EXP(-LN(2)/2)*AW85+(1-EXP(-LN(2)/2))/(LN(2)/2)*AQ86*AT86*VLOOKUP('Données projet'!$B$10,Paramètres!$A$1:$I$89,3,0)*0.475*44/12</f>
        <v>2.2531790410924249E-2</v>
      </c>
      <c r="AX86" s="21">
        <f t="shared" si="60"/>
        <v>75.216623288241678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343</v>
      </c>
      <c r="BE86" s="13">
        <f>BD86*VLOOKUP('Données projet'!$B$11,Paramètres!$A$1:$I$89,3,0)*VLOOKUP('Données projet'!$B$11,Paramètres!$A$1:$I$89,5,0)</f>
        <v>326.39879999999999</v>
      </c>
      <c r="BF86" s="13">
        <f t="shared" si="91"/>
        <v>76.683210401884097</v>
      </c>
      <c r="BG86" s="20">
        <f t="shared" si="61"/>
        <v>702.03450144994804</v>
      </c>
      <c r="BH86" s="59">
        <f t="shared" si="62"/>
        <v>995.3678347832813</v>
      </c>
      <c r="BI86" s="59">
        <f ca="1">AVERAGE(OFFSET($BH$3,0,0,'Données projet'!$E$11+1,1))-AVERAGE(OFFSET($H$3,0,0,'Données projet'!$E$11+1,1))</f>
        <v>446.62872871405051</v>
      </c>
      <c r="BJ86" s="59">
        <f t="shared" si="92"/>
        <v>471.28934889691658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45.996960668960824</v>
      </c>
      <c r="BQ86" s="21">
        <f>EXP(-LN(2)/25)*BQ85+(1-EXP(-LN(2)/25))/(LN(2)/25)*Calculateur!BL86*Calculateur!BN86*VLOOKUP('Données projet'!$B$11,Paramètres!$A$1:$I$89,3,0)*0.475*44/12</f>
        <v>2.3445155100797312</v>
      </c>
      <c r="BR86" s="21">
        <f>EXP(-LN(2)/2)*BR85+(1-EXP(-LN(2)/2))/(LN(2)/2)*BL86*BO86*VLOOKUP('Données projet'!$B$11,Paramètres!$A$1:$I$89,3,0)*0.475*44/12</f>
        <v>1.8930921753168573E-2</v>
      </c>
      <c r="BS86" s="22">
        <f t="shared" si="63"/>
        <v>48.360407100793722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991.00000000000011</v>
      </c>
      <c r="BZ86" s="13">
        <f>BY86*VLOOKUP('Données projet'!$B$12,Paramètres!$A$1:$I$89,3,0)*VLOOKUP('Données projet'!$B$12,Paramètres!$A$1:$I$89,5,0)</f>
        <v>438.02200000000011</v>
      </c>
      <c r="CA86" s="13">
        <f t="shared" si="93"/>
        <v>99.443834741543355</v>
      </c>
      <c r="CB86" s="20">
        <f t="shared" si="64"/>
        <v>936.08632884152132</v>
      </c>
      <c r="CC86" s="59">
        <f t="shared" si="65"/>
        <v>1229.4196621748547</v>
      </c>
      <c r="CD86" s="59">
        <f ca="1">AVERAGE(OFFSET($CC$3,0,0,'Données projet'!$E$12+1,1))-AVERAGE(OFFSET($H$3,0,0,'Données projet'!$E$12+1,1))</f>
        <v>534.99316143569899</v>
      </c>
      <c r="CE86" s="59">
        <f t="shared" si="94"/>
        <v>449.56965858934262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66.072444931992223</v>
      </c>
      <c r="CL86" s="21">
        <f>EXP(-LN(2)/25)*CL85+(1-EXP(-LN(2)/25))/(LN(2)/25)*Calculateur!CG86*Calculateur!CI86*VLOOKUP('Données projet'!$B$12,Paramètres!$A$1:$I$89,3,0)*0.475*44/12</f>
        <v>29.484608343038374</v>
      </c>
      <c r="CM86" s="21">
        <f>EXP(-LN(2)/2)*CM85+(1-EXP(-LN(2)/2))/(LN(2)/2)*CG86*CJ86*VLOOKUP('Données projet'!$B$12,Paramètres!$A$1:$I$89,3,0)*0.475*44/12</f>
        <v>0.9638771760748287</v>
      </c>
      <c r="CN86" s="22">
        <f t="shared" si="66"/>
        <v>96.520930451105428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3.6</v>
      </c>
      <c r="CT86" s="12">
        <f>IF('Données projet'!$A$140&gt;35,CT85+CS86-DB85,IF(A86&lt;'Données projet'!$A$140,$CQ$205^A86,IF(A86='Données projet'!$A$140,'Données projet'!$B$140,CT85+CS86-DB85)))</f>
        <v>211.7999999999999</v>
      </c>
      <c r="CU86" s="17">
        <f>CT86*VLOOKUP('Données projet'!$B$13,Paramètres!$A$1:$I$89,3,0)*VLOOKUP('Données projet'!$B$13,Paramètres!$A$1:$I$89,5,0)</f>
        <v>241.19783999999987</v>
      </c>
      <c r="CV86" s="13">
        <f t="shared" si="95"/>
        <v>58.697176870189899</v>
      </c>
      <c r="CW86" s="20">
        <f t="shared" si="67"/>
        <v>522.31715438224717</v>
      </c>
      <c r="CX86" s="59">
        <f t="shared" si="68"/>
        <v>815.65048771558054</v>
      </c>
      <c r="CY86" s="59">
        <f ca="1">AVERAGE(OFFSET($CX$3,0,0,'Données projet'!$E$13+1,1))-AVERAGE(OFFSET($H$3,0,0,'Données projet'!$E$13+1,1))</f>
        <v>389.89050053480827</v>
      </c>
      <c r="CZ86" s="59">
        <f t="shared" si="96"/>
        <v>216.40816051909616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7.5189336911948024</v>
      </c>
      <c r="DG86" s="21">
        <f>EXP(-LN(2)/25)*DG85+(1-EXP(-LN(2)/25))/(LN(2)/25)*Calculateur!DB86*Calculateur!DD86*VLOOKUP('Données projet'!$B$13,Paramètres!$A$1:$I$89,3,0)*0.475*44/12</f>
        <v>1.295346707998644</v>
      </c>
      <c r="DH86" s="21">
        <f>EXP(-LN(2)/2)*DH85+(1-EXP(-LN(2)/2))/(LN(2)/2)*DB86*DE86*VLOOKUP('Données projet'!$B$13,Paramètres!$A$1:$I$89,3,0)*0.475*44/12</f>
        <v>0.27703156366151599</v>
      </c>
      <c r="DI86" s="22">
        <f t="shared" si="69"/>
        <v>9.091311962854963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238.14335999999992</v>
      </c>
      <c r="P87" s="13">
        <f t="shared" si="87"/>
        <v>58.039884968630489</v>
      </c>
      <c r="Q87" s="20">
        <f t="shared" si="54"/>
        <v>515.85248498703129</v>
      </c>
      <c r="R87" s="59">
        <f t="shared" si="55"/>
        <v>809.18581832036466</v>
      </c>
      <c r="S87" s="59">
        <f ca="1">AVERAGE(OFFSET($R$3,0,0,'Données projet'!$E$9+1,1))-AVERAGE(OFFSET($H$3,0,0,'Données projet'!$E$9+1,1))</f>
        <v>371.7282125501186</v>
      </c>
      <c r="T87" s="59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39.86559739519069</v>
      </c>
      <c r="AA87" s="21">
        <f>EXP(-LN(2)/25)*AA86+(1-EXP(-LN(2)/25))/(LN(2)/25)*Calculateur!V87*Calculateur!X87*VLOOKUP('Données projet'!$B$9,Paramètres!$A$1:$I$89,3,0)*0.475*44/12</f>
        <v>2.0648230428873759</v>
      </c>
      <c r="AB87" s="21">
        <f>EXP(-LN(2)/2)*AB86+(1-EXP(-LN(2)/2))/(LN(2)/2)*V87*Y87*VLOOKUP('Données projet'!$B$9,Paramètres!$A$1:$I$89,3,0)*0.475*44/12</f>
        <v>0.32666316888646862</v>
      </c>
      <c r="AC87" s="22">
        <f t="shared" si="57"/>
        <v>42.257083606964535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1.7053025658242404E-13</v>
      </c>
      <c r="AJ87" s="13">
        <f>AI87*VLOOKUP('Données projet'!$B$10,Paramètres!$A$1:$I$89,3,0)*VLOOKUP('Données projet'!$B$10,Paramètres!$A$1:$I$89,5,0)</f>
        <v>7.9808160080574461E-14</v>
      </c>
      <c r="AK87" s="13">
        <f t="shared" si="89"/>
        <v>1.2308384591775343E-12</v>
      </c>
      <c r="AL87" s="20">
        <f t="shared" si="58"/>
        <v>2.282709528541206E-12</v>
      </c>
      <c r="AM87" s="59">
        <f t="shared" si="59"/>
        <v>293.33333333333559</v>
      </c>
      <c r="AN87" s="59">
        <f ca="1">AVERAGE(OFFSET($AM$3,0,0,'Données projet'!$E$10+1,1))-AVERAGE(OFFSET($H$3,0,0,'Données projet'!$E$10+1,1))</f>
        <v>218.32525311070435</v>
      </c>
      <c r="AO87" s="59">
        <f t="shared" si="90"/>
        <v>275.36315264099204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54.215172034022665</v>
      </c>
      <c r="AV87" s="21">
        <f>EXP(-LN(2)/25)*AV86+(1-EXP(-LN(2)/25))/(LN(2)/25)*Calculateur!AQ87*Calculateur!AS87*VLOOKUP('Données projet'!$B$10,Paramètres!$A$1:$I$89,3,0)*0.475*44/12</f>
        <v>19.350511832709483</v>
      </c>
      <c r="AW87" s="21">
        <f>EXP(-LN(2)/2)*AW86+(1-EXP(-LN(2)/2))/(LN(2)/2)*AQ87*AT87*VLOOKUP('Données projet'!$B$10,Paramètres!$A$1:$I$89,3,0)*0.475*44/12</f>
        <v>1.5932381791838562E-2</v>
      </c>
      <c r="AX87" s="21">
        <f t="shared" si="60"/>
        <v>73.581616248523986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343</v>
      </c>
      <c r="BE87" s="13">
        <f>BD87*VLOOKUP('Données projet'!$B$11,Paramètres!$A$1:$I$89,3,0)*VLOOKUP('Données projet'!$B$11,Paramètres!$A$1:$I$89,5,0)</f>
        <v>326.39879999999999</v>
      </c>
      <c r="BF87" s="13">
        <f t="shared" si="91"/>
        <v>76.683210401884097</v>
      </c>
      <c r="BG87" s="20">
        <f t="shared" si="61"/>
        <v>702.03450144994804</v>
      </c>
      <c r="BH87" s="59">
        <f t="shared" si="62"/>
        <v>995.3678347832813</v>
      </c>
      <c r="BI87" s="59">
        <f ca="1">AVERAGE(OFFSET($BH$3,0,0,'Données projet'!$E$11+1,1))-AVERAGE(OFFSET($H$3,0,0,'Données projet'!$E$11+1,1))</f>
        <v>446.62872871405051</v>
      </c>
      <c r="BJ87" s="59">
        <f t="shared" si="92"/>
        <v>471.28934889691658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45.094988325618274</v>
      </c>
      <c r="BQ87" s="21">
        <f>EXP(-LN(2)/25)*BQ86+(1-EXP(-LN(2)/25))/(LN(2)/25)*Calculateur!BL87*Calculateur!BN87*VLOOKUP('Données projet'!$B$11,Paramètres!$A$1:$I$89,3,0)*0.475*44/12</f>
        <v>2.2804046101638886</v>
      </c>
      <c r="BR87" s="21">
        <f>EXP(-LN(2)/2)*BR86+(1-EXP(-LN(2)/2))/(LN(2)/2)*BL87*BO87*VLOOKUP('Données projet'!$B$11,Paramètres!$A$1:$I$89,3,0)*0.475*44/12</f>
        <v>1.3386183145777423E-2</v>
      </c>
      <c r="BS87" s="22">
        <f t="shared" si="63"/>
        <v>47.388779118927943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991.00000000000011</v>
      </c>
      <c r="BZ87" s="13">
        <f>BY87*VLOOKUP('Données projet'!$B$12,Paramètres!$A$1:$I$89,3,0)*VLOOKUP('Données projet'!$B$12,Paramètres!$A$1:$I$89,5,0)</f>
        <v>438.02200000000011</v>
      </c>
      <c r="CA87" s="13">
        <f t="shared" si="93"/>
        <v>99.443834741543355</v>
      </c>
      <c r="CB87" s="20">
        <f t="shared" si="64"/>
        <v>936.08632884152132</v>
      </c>
      <c r="CC87" s="59">
        <f t="shared" si="65"/>
        <v>1229.4196621748547</v>
      </c>
      <c r="CD87" s="59">
        <f ca="1">AVERAGE(OFFSET($CC$3,0,0,'Données projet'!$E$12+1,1))-AVERAGE(OFFSET($H$3,0,0,'Données projet'!$E$12+1,1))</f>
        <v>534.99316143569899</v>
      </c>
      <c r="CE87" s="59">
        <f t="shared" si="94"/>
        <v>449.56965858934262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64.776804587087952</v>
      </c>
      <c r="CL87" s="21">
        <f>EXP(-LN(2)/25)*CL86+(1-EXP(-LN(2)/25))/(LN(2)/25)*Calculateur!CG87*Calculateur!CI87*VLOOKUP('Données projet'!$B$12,Paramètres!$A$1:$I$89,3,0)*0.475*44/12</f>
        <v>28.678350177369826</v>
      </c>
      <c r="CM87" s="21">
        <f>EXP(-LN(2)/2)*CM86+(1-EXP(-LN(2)/2))/(LN(2)/2)*CG87*CJ87*VLOOKUP('Données projet'!$B$12,Paramètres!$A$1:$I$89,3,0)*0.475*44/12</f>
        <v>0.68156408743345132</v>
      </c>
      <c r="CN87" s="22">
        <f t="shared" si="66"/>
        <v>94.136718851891231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3.6</v>
      </c>
      <c r="CT87" s="12">
        <f>IF('Données projet'!$A$140&gt;35,CT86+CS87-DB86,IF(A87&lt;'Données projet'!$A$140,$CQ$205^A87,IF(A87='Données projet'!$A$140,'Données projet'!$B$140,CT86+CS87-DB86)))</f>
        <v>215.39999999999989</v>
      </c>
      <c r="CU87" s="17">
        <f>CT87*VLOOKUP('Données projet'!$B$13,Paramètres!$A$1:$I$89,3,0)*VLOOKUP('Données projet'!$B$13,Paramètres!$A$1:$I$89,5,0)</f>
        <v>245.29751999999985</v>
      </c>
      <c r="CV87" s="13">
        <f t="shared" si="95"/>
        <v>59.577865379173303</v>
      </c>
      <c r="CW87" s="20">
        <f t="shared" si="67"/>
        <v>530.99129620205997</v>
      </c>
      <c r="CX87" s="59">
        <f t="shared" si="68"/>
        <v>824.32462953539334</v>
      </c>
      <c r="CY87" s="59">
        <f ca="1">AVERAGE(OFFSET($CX$3,0,0,'Données projet'!$E$13+1,1))-AVERAGE(OFFSET($H$3,0,0,'Données projet'!$E$13+1,1))</f>
        <v>389.89050053480827</v>
      </c>
      <c r="CZ87" s="59">
        <f t="shared" si="96"/>
        <v>216.40816051909616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7.3714919876071843</v>
      </c>
      <c r="DG87" s="21">
        <f>EXP(-LN(2)/25)*DG86+(1-EXP(-LN(2)/25))/(LN(2)/25)*Calculateur!DB87*Calculateur!DD87*VLOOKUP('Données projet'!$B$13,Paramètres!$A$1:$I$89,3,0)*0.475*44/12</f>
        <v>1.2599253841490983</v>
      </c>
      <c r="DH87" s="21">
        <f>EXP(-LN(2)/2)*DH86+(1-EXP(-LN(2)/2))/(LN(2)/2)*DB87*DE87*VLOOKUP('Données projet'!$B$13,Paramètres!$A$1:$I$89,3,0)*0.475*44/12</f>
        <v>0.1958908972677707</v>
      </c>
      <c r="DI87" s="22">
        <f t="shared" si="69"/>
        <v>8.8273082690240532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243.39119999999994</v>
      </c>
      <c r="P88" s="13">
        <f t="shared" si="87"/>
        <v>59.168566788241527</v>
      </c>
      <c r="Q88" s="20">
        <f t="shared" si="54"/>
        <v>526.95826048952051</v>
      </c>
      <c r="R88" s="59">
        <f t="shared" si="55"/>
        <v>820.29159382285388</v>
      </c>
      <c r="S88" s="59">
        <f ca="1">AVERAGE(OFFSET($R$3,0,0,'Données projet'!$E$9+1,1))-AVERAGE(OFFSET($H$3,0,0,'Données projet'!$E$9+1,1))</f>
        <v>371.7282125501186</v>
      </c>
      <c r="T88" s="59">
        <f t="shared" si="88"/>
        <v>231.36959598460686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0.34400000000000003</v>
      </c>
      <c r="X88" s="16">
        <f>IF(ISNA(VLOOKUP(A88,'Données projet'!$A$35:$I$55,6,0)),0%,VLOOKUP(A88,'Données projet'!$A$35:$I$55,6,0)*VLOOKUP('Données projet'!$B$9,Paramètres!$A$1:$I$89,7,0))</f>
        <v>1.72E-2</v>
      </c>
      <c r="Y88" s="16">
        <f>IF(ISNA(VLOOKUP(A88,'Données projet'!$A$35:$I$55,7,0)),0%,VLOOKUP(A88,'Données projet'!$A$35:$I$55,7,0))</f>
        <v>0.06</v>
      </c>
      <c r="Z88" s="21">
        <f>EXP(-LN(2)/35)*Z87+(1-EXP(-LN(2)/35))/(LN(2)/35)*V88*W88*VLOOKUP('Données projet'!$B$9,Paramètres!$A$1:$I$89,3,0)*0.475*44/12</f>
        <v>46.309515971960252</v>
      </c>
      <c r="AA88" s="21">
        <f>EXP(-LN(2)/25)*AA87+(1-EXP(-LN(2)/25))/(LN(2)/25)*Calculateur!V88*Calculateur!X88*VLOOKUP('Données projet'!$B$9,Paramètres!$A$1:$I$89,3,0)*0.475*44/12</f>
        <v>2.368220770938954</v>
      </c>
      <c r="AB88" s="21">
        <f>EXP(-LN(2)/2)*AB87+(1-EXP(-LN(2)/2))/(LN(2)/2)*V88*Y88*VLOOKUP('Données projet'!$B$9,Paramètres!$A$1:$I$89,3,0)*0.475*44/12</f>
        <v>1.3066517138255518</v>
      </c>
      <c r="AC88" s="22">
        <f t="shared" si="57"/>
        <v>49.984388456724758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1.7053025658242404E-13</v>
      </c>
      <c r="AJ88" s="13">
        <f>AI88*VLOOKUP('Données projet'!$B$10,Paramètres!$A$1:$I$89,3,0)*VLOOKUP('Données projet'!$B$10,Paramètres!$A$1:$I$89,5,0)</f>
        <v>7.9808160080574461E-14</v>
      </c>
      <c r="AK88" s="13">
        <f t="shared" si="89"/>
        <v>1.2308384591775343E-12</v>
      </c>
      <c r="AL88" s="20">
        <f t="shared" si="58"/>
        <v>2.282709528541206E-12</v>
      </c>
      <c r="AM88" s="59">
        <f t="shared" si="59"/>
        <v>293.33333333333559</v>
      </c>
      <c r="AN88" s="59">
        <f ca="1">AVERAGE(OFFSET($AM$3,0,0,'Données projet'!$E$10+1,1))-AVERAGE(OFFSET($H$3,0,0,'Données projet'!$E$10+1,1))</f>
        <v>218.32525311070435</v>
      </c>
      <c r="AO88" s="59">
        <f t="shared" si="90"/>
        <v>275.36315264099204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53.152045578425231</v>
      </c>
      <c r="AV88" s="21">
        <f>EXP(-LN(2)/25)*AV87+(1-EXP(-LN(2)/25))/(LN(2)/25)*Calculateur!AQ88*Calculateur!AS88*VLOOKUP('Données projet'!$B$10,Paramètres!$A$1:$I$89,3,0)*0.475*44/12</f>
        <v>18.821371069044851</v>
      </c>
      <c r="AW88" s="21">
        <f>EXP(-LN(2)/2)*AW87+(1-EXP(-LN(2)/2))/(LN(2)/2)*AQ88*AT88*VLOOKUP('Données projet'!$B$10,Paramètres!$A$1:$I$89,3,0)*0.475*44/12</f>
        <v>1.1265895205462124E-2</v>
      </c>
      <c r="AX88" s="21">
        <f t="shared" si="60"/>
        <v>71.984682542675557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343</v>
      </c>
      <c r="BE88" s="13">
        <f>BD88*VLOOKUP('Données projet'!$B$11,Paramètres!$A$1:$I$89,3,0)*VLOOKUP('Données projet'!$B$11,Paramètres!$A$1:$I$89,5,0)</f>
        <v>326.39879999999999</v>
      </c>
      <c r="BF88" s="13">
        <f t="shared" si="91"/>
        <v>76.683210401884097</v>
      </c>
      <c r="BG88" s="20">
        <f t="shared" si="61"/>
        <v>702.03450144994804</v>
      </c>
      <c r="BH88" s="59">
        <f t="shared" si="62"/>
        <v>995.3678347832813</v>
      </c>
      <c r="BI88" s="59">
        <f ca="1">AVERAGE(OFFSET($BH$3,0,0,'Données projet'!$E$11+1,1))-AVERAGE(OFFSET($H$3,0,0,'Données projet'!$E$11+1,1))</f>
        <v>446.62872871405051</v>
      </c>
      <c r="BJ88" s="59">
        <f t="shared" si="92"/>
        <v>471.28934889691658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44.210703109779864</v>
      </c>
      <c r="BQ88" s="21">
        <f>EXP(-LN(2)/25)*BQ87+(1-EXP(-LN(2)/25))/(LN(2)/25)*Calculateur!BL88*Calculateur!BN88*VLOOKUP('Données projet'!$B$11,Paramètres!$A$1:$I$89,3,0)*0.475*44/12</f>
        <v>2.2180468261776904</v>
      </c>
      <c r="BR88" s="21">
        <f>EXP(-LN(2)/2)*BR87+(1-EXP(-LN(2)/2))/(LN(2)/2)*BL88*BO88*VLOOKUP('Données projet'!$B$11,Paramètres!$A$1:$I$89,3,0)*0.475*44/12</f>
        <v>9.4654608765842863E-3</v>
      </c>
      <c r="BS88" s="22">
        <f t="shared" si="63"/>
        <v>46.438215396834138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991.00000000000011</v>
      </c>
      <c r="BZ88" s="13">
        <f>BY88*VLOOKUP('Données projet'!$B$12,Paramètres!$A$1:$I$89,3,0)*VLOOKUP('Données projet'!$B$12,Paramètres!$A$1:$I$89,5,0)</f>
        <v>438.02200000000011</v>
      </c>
      <c r="CA88" s="13">
        <f t="shared" si="93"/>
        <v>99.443834741543355</v>
      </c>
      <c r="CB88" s="20">
        <f t="shared" si="64"/>
        <v>936.08632884152132</v>
      </c>
      <c r="CC88" s="59">
        <f t="shared" si="65"/>
        <v>1229.4196621748547</v>
      </c>
      <c r="CD88" s="59">
        <f ca="1">AVERAGE(OFFSET($CC$3,0,0,'Données projet'!$E$12+1,1))-AVERAGE(OFFSET($H$3,0,0,'Données projet'!$E$12+1,1))</f>
        <v>534.99316143569899</v>
      </c>
      <c r="CE88" s="59">
        <f t="shared" si="94"/>
        <v>449.56965858934262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63.506570959084669</v>
      </c>
      <c r="CL88" s="21">
        <f>EXP(-LN(2)/25)*CL87+(1-EXP(-LN(2)/25))/(LN(2)/25)*Calculateur!CG88*Calculateur!CI88*VLOOKUP('Données projet'!$B$12,Paramètres!$A$1:$I$89,3,0)*0.475*44/12</f>
        <v>27.894139183640757</v>
      </c>
      <c r="CM88" s="21">
        <f>EXP(-LN(2)/2)*CM87+(1-EXP(-LN(2)/2))/(LN(2)/2)*CG88*CJ88*VLOOKUP('Données projet'!$B$12,Paramètres!$A$1:$I$89,3,0)*0.475*44/12</f>
        <v>0.48193858803741446</v>
      </c>
      <c r="CN88" s="22">
        <f t="shared" si="66"/>
        <v>91.882648730762838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219</v>
      </c>
      <c r="CR88" s="12">
        <f>VLOOKUP(A88,'Données projet'!$A$139:$I$159,9,0)</f>
        <v>3.6</v>
      </c>
      <c r="CS88" s="12">
        <f t="array" ref="CS88">INDEX(CR:CR,MIN(IF(ISNUMBER(CR88:CR284),ROW(CR88:CR284),"")))</f>
        <v>3.6</v>
      </c>
      <c r="CT88" s="12">
        <f>IF('Données projet'!$A$140&gt;35,CT87+CS88-DB87,IF(A88&lt;'Données projet'!$A$140,$CQ$205^A88,IF(A88='Données projet'!$A$140,'Données projet'!$B$140,CT87+CS88-DB87)))</f>
        <v>218.99999999999989</v>
      </c>
      <c r="CU88" s="17">
        <f>CT88*VLOOKUP('Données projet'!$B$13,Paramètres!$A$1:$I$89,3,0)*VLOOKUP('Données projet'!$B$13,Paramètres!$A$1:$I$89,5,0)</f>
        <v>249.39719999999988</v>
      </c>
      <c r="CV88" s="13">
        <f t="shared" si="95"/>
        <v>60.456842174492344</v>
      </c>
      <c r="CW88" s="20">
        <f t="shared" si="67"/>
        <v>539.66245678724056</v>
      </c>
      <c r="CX88" s="59">
        <f t="shared" si="68"/>
        <v>832.99579012057393</v>
      </c>
      <c r="CY88" s="59">
        <f ca="1">AVERAGE(OFFSET($CX$3,0,0,'Données projet'!$E$13+1,1))-AVERAGE(OFFSET($H$3,0,0,'Données projet'!$E$13+1,1))</f>
        <v>389.89050053480827</v>
      </c>
      <c r="CZ88" s="59">
        <f t="shared" si="96"/>
        <v>216.40816051909616</v>
      </c>
      <c r="DA88" s="15">
        <f>IF(ISNA(VLOOKUP(A88,'Données projet'!$A$139:$I$159,3,0)),0,VLOOKUP(A88,'Données projet'!$A$139:$I$159,3,0))</f>
        <v>13</v>
      </c>
      <c r="DB88" s="15">
        <f>IF(ISNA(VLOOKUP(A88,'Données projet'!$A$139:$I$159,4,0)),0,VLOOKUP(A88,'Données projet'!$A$139:$I$159,4,0))</f>
        <v>10</v>
      </c>
      <c r="DC88" s="16">
        <f>IF(ISNA(VLOOKUP(A88,'Données projet'!$A$139:$I$159,5,0)),0%,VLOOKUP(A88,'Données projet'!$A$139:$I$159,5,0)*VLOOKUP('Données projet'!$B$13,Paramètres!$A$1:$I$89,7,0))</f>
        <v>0.129</v>
      </c>
      <c r="DD88" s="16">
        <f>IF(ISNA(VLOOKUP(A88,'Données projet'!$A$139:$I$159,6,0)),0%,VLOOKUP(A88,'Données projet'!$A$139:$I$159,6,0)*VLOOKUP('Données projet'!$B$13,Paramètres!$A$1:$I$89,7,0))</f>
        <v>1.72E-2</v>
      </c>
      <c r="DE88" s="16">
        <f>IF(ISNA(VLOOKUP(A88,'Données projet'!$A$139:$I$159,7,0)),0%,VLOOKUP(A88,'Données projet'!$A$139:$I$159,7,0))</f>
        <v>0.06</v>
      </c>
      <c r="DF88" s="21">
        <f>EXP(-LN(2)/35)*DF87+(1-EXP(-LN(2)/35))/(LN(2)/35)*DB88*DC88*VLOOKUP('Données projet'!$B$13,Paramètres!$A$1:$I$89,3,0)*0.475*44/12</f>
        <v>8.8509349978900005</v>
      </c>
      <c r="DG88" s="21">
        <f>EXP(-LN(2)/25)*DG87+(1-EXP(-LN(2)/25))/(LN(2)/25)*Calculateur!DB88*Calculateur!DD88*VLOOKUP('Données projet'!$B$13,Paramètres!$A$1:$I$89,3,0)*0.475*44/12</f>
        <v>1.4411525503835281</v>
      </c>
      <c r="DH88" s="21">
        <f>EXP(-LN(2)/2)*DH87+(1-EXP(-LN(2)/2))/(LN(2)/2)*DB88*DE88*VLOOKUP('Données projet'!$B$13,Paramètres!$A$1:$I$89,3,0)*0.475*44/12</f>
        <v>0.7832088520423276</v>
      </c>
      <c r="DI88" s="22">
        <f t="shared" si="69"/>
        <v>11.075296400315857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229.27631999999994</v>
      </c>
      <c r="P89" s="13">
        <f t="shared" si="87"/>
        <v>56.126176307517476</v>
      </c>
      <c r="Q89" s="20">
        <f t="shared" si="54"/>
        <v>497.07601440225949</v>
      </c>
      <c r="R89" s="59">
        <f t="shared" si="55"/>
        <v>790.40934773559275</v>
      </c>
      <c r="S89" s="59">
        <f ca="1">AVERAGE(OFFSET($R$3,0,0,'Données projet'!$E$9+1,1))-AVERAGE(OFFSET($H$3,0,0,'Données projet'!$E$9+1,1))</f>
        <v>371.7282125501186</v>
      </c>
      <c r="T89" s="59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45.401414609765794</v>
      </c>
      <c r="AA89" s="21">
        <f>EXP(-LN(2)/25)*AA88+(1-EXP(-LN(2)/25))/(LN(2)/25)*Calculateur!V89*Calculateur!X89*VLOOKUP('Données projet'!$B$9,Paramètres!$A$1:$I$89,3,0)*0.475*44/12</f>
        <v>2.3034616494183107</v>
      </c>
      <c r="AB89" s="21">
        <f>EXP(-LN(2)/2)*AB88+(1-EXP(-LN(2)/2))/(LN(2)/2)*V89*Y89*VLOOKUP('Données projet'!$B$9,Paramètres!$A$1:$I$89,3,0)*0.475*44/12</f>
        <v>0.92394228749507179</v>
      </c>
      <c r="AC89" s="22">
        <f t="shared" si="57"/>
        <v>48.628818546679177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1.7053025658242404E-13</v>
      </c>
      <c r="AJ89" s="13">
        <f>AI89*VLOOKUP('Données projet'!$B$10,Paramètres!$A$1:$I$89,3,0)*VLOOKUP('Données projet'!$B$10,Paramètres!$A$1:$I$89,5,0)</f>
        <v>7.9808160080574461E-14</v>
      </c>
      <c r="AK89" s="13">
        <f t="shared" si="89"/>
        <v>1.2308384591775343E-12</v>
      </c>
      <c r="AL89" s="20">
        <f t="shared" si="58"/>
        <v>2.282709528541206E-12</v>
      </c>
      <c r="AM89" s="59">
        <f t="shared" si="59"/>
        <v>293.33333333333559</v>
      </c>
      <c r="AN89" s="59">
        <f ca="1">AVERAGE(OFFSET($AM$3,0,0,'Données projet'!$E$10+1,1))-AVERAGE(OFFSET($H$3,0,0,'Données projet'!$E$10+1,1))</f>
        <v>218.32525311070435</v>
      </c>
      <c r="AO89" s="59">
        <f t="shared" si="90"/>
        <v>275.36315264099204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52.109766384178947</v>
      </c>
      <c r="AV89" s="21">
        <f>EXP(-LN(2)/25)*AV88+(1-EXP(-LN(2)/25))/(LN(2)/25)*Calculateur!AQ89*Calculateur!AS89*VLOOKUP('Données projet'!$B$10,Paramètres!$A$1:$I$89,3,0)*0.475*44/12</f>
        <v>18.306699687388932</v>
      </c>
      <c r="AW89" s="21">
        <f>EXP(-LN(2)/2)*AW88+(1-EXP(-LN(2)/2))/(LN(2)/2)*AQ89*AT89*VLOOKUP('Données projet'!$B$10,Paramètres!$A$1:$I$89,3,0)*0.475*44/12</f>
        <v>7.9661908959192812E-3</v>
      </c>
      <c r="AX89" s="21">
        <f t="shared" si="60"/>
        <v>70.424432262463796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343</v>
      </c>
      <c r="BE89" s="13">
        <f>BD89*VLOOKUP('Données projet'!$B$11,Paramètres!$A$1:$I$89,3,0)*VLOOKUP('Données projet'!$B$11,Paramètres!$A$1:$I$89,5,0)</f>
        <v>326.39879999999999</v>
      </c>
      <c r="BF89" s="13">
        <f t="shared" si="91"/>
        <v>76.683210401884097</v>
      </c>
      <c r="BG89" s="20">
        <f t="shared" si="61"/>
        <v>702.03450144994804</v>
      </c>
      <c r="BH89" s="59">
        <f t="shared" si="62"/>
        <v>995.3678347832813</v>
      </c>
      <c r="BI89" s="59">
        <f ca="1">AVERAGE(OFFSET($BH$3,0,0,'Données projet'!$E$11+1,1))-AVERAGE(OFFSET($H$3,0,0,'Données projet'!$E$11+1,1))</f>
        <v>446.62872871405051</v>
      </c>
      <c r="BJ89" s="59">
        <f t="shared" si="92"/>
        <v>471.28934889691658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43.343758187663319</v>
      </c>
      <c r="BQ89" s="21">
        <f>EXP(-LN(2)/25)*BQ88+(1-EXP(-LN(2)/25))/(LN(2)/25)*Calculateur!BL89*Calculateur!BN89*VLOOKUP('Données projet'!$B$11,Paramètres!$A$1:$I$89,3,0)*0.475*44/12</f>
        <v>2.1573942190738484</v>
      </c>
      <c r="BR89" s="21">
        <f>EXP(-LN(2)/2)*BR88+(1-EXP(-LN(2)/2))/(LN(2)/2)*BL89*BO89*VLOOKUP('Données projet'!$B$11,Paramètres!$A$1:$I$89,3,0)*0.475*44/12</f>
        <v>6.6930915728887113E-3</v>
      </c>
      <c r="BS89" s="22">
        <f t="shared" si="63"/>
        <v>45.507845498310061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991.00000000000011</v>
      </c>
      <c r="BZ89" s="13">
        <f>BY89*VLOOKUP('Données projet'!$B$12,Paramètres!$A$1:$I$89,3,0)*VLOOKUP('Données projet'!$B$12,Paramètres!$A$1:$I$89,5,0)</f>
        <v>438.02200000000011</v>
      </c>
      <c r="CA89" s="13">
        <f t="shared" si="93"/>
        <v>99.443834741543355</v>
      </c>
      <c r="CB89" s="20">
        <f t="shared" si="64"/>
        <v>936.08632884152132</v>
      </c>
      <c r="CC89" s="59">
        <f t="shared" si="65"/>
        <v>1229.4196621748547</v>
      </c>
      <c r="CD89" s="59">
        <f ca="1">AVERAGE(OFFSET($CC$3,0,0,'Données projet'!$E$12+1,1))-AVERAGE(OFFSET($H$3,0,0,'Données projet'!$E$12+1,1))</f>
        <v>534.99316143569899</v>
      </c>
      <c r="CE89" s="59">
        <f t="shared" si="94"/>
        <v>449.56965858934262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62.261245837760519</v>
      </c>
      <c r="CL89" s="21">
        <f>EXP(-LN(2)/25)*CL88+(1-EXP(-LN(2)/25))/(LN(2)/25)*Calculateur!CG89*Calculateur!CI89*VLOOKUP('Données projet'!$B$12,Paramètres!$A$1:$I$89,3,0)*0.475*44/12</f>
        <v>27.131372480775074</v>
      </c>
      <c r="CM89" s="21">
        <f>EXP(-LN(2)/2)*CM88+(1-EXP(-LN(2)/2))/(LN(2)/2)*CG89*CJ89*VLOOKUP('Données projet'!$B$12,Paramètres!$A$1:$I$89,3,0)*0.475*44/12</f>
        <v>0.34078204371672571</v>
      </c>
      <c r="CN89" s="22">
        <f t="shared" si="66"/>
        <v>89.733400362252326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3.4</v>
      </c>
      <c r="CT89" s="12">
        <f>IF('Données projet'!$A$140&gt;35,CT88+CS89-DB88,IF(A89&lt;'Données projet'!$A$140,$CQ$205^A89,IF(A89='Données projet'!$A$140,'Données projet'!$B$140,CT88+CS89-DB88)))</f>
        <v>212.39999999999989</v>
      </c>
      <c r="CU89" s="17">
        <f>CT89*VLOOKUP('Données projet'!$B$13,Paramètres!$A$1:$I$89,3,0)*VLOOKUP('Données projet'!$B$13,Paramètres!$A$1:$I$89,5,0)</f>
        <v>241.88111999999987</v>
      </c>
      <c r="CV89" s="13">
        <f t="shared" si="95"/>
        <v>58.84407852287837</v>
      </c>
      <c r="CW89" s="20">
        <f t="shared" si="67"/>
        <v>523.76305409401289</v>
      </c>
      <c r="CX89" s="59">
        <f t="shared" si="68"/>
        <v>817.09638742734614</v>
      </c>
      <c r="CY89" s="59">
        <f ca="1">AVERAGE(OFFSET($CX$3,0,0,'Données projet'!$E$13+1,1))-AVERAGE(OFFSET($H$3,0,0,'Données projet'!$E$13+1,1))</f>
        <v>389.89050053480827</v>
      </c>
      <c r="CZ89" s="59">
        <f t="shared" si="96"/>
        <v>216.40816051909616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8.6773735611186655</v>
      </c>
      <c r="DG89" s="21">
        <f>EXP(-LN(2)/25)*DG88+(1-EXP(-LN(2)/25))/(LN(2)/25)*Calculateur!DB89*Calculateur!DD89*VLOOKUP('Données projet'!$B$13,Paramètres!$A$1:$I$89,3,0)*0.475*44/12</f>
        <v>1.4017441581063717</v>
      </c>
      <c r="DH89" s="21">
        <f>EXP(-LN(2)/2)*DH88+(1-EXP(-LN(2)/2))/(LN(2)/2)*DB89*DE89*VLOOKUP('Données projet'!$B$13,Paramètres!$A$1:$I$89,3,0)*0.475*44/12</f>
        <v>0.55381229036446122</v>
      </c>
      <c r="DI89" s="22">
        <f t="shared" si="69"/>
        <v>10.632930009589499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234.16223999999988</v>
      </c>
      <c r="P90" s="13">
        <f t="shared" si="87"/>
        <v>57.181713578143047</v>
      </c>
      <c r="Q90" s="20">
        <f t="shared" si="54"/>
        <v>507.42405248193222</v>
      </c>
      <c r="R90" s="59">
        <f t="shared" si="55"/>
        <v>800.75738581526548</v>
      </c>
      <c r="S90" s="59">
        <f ca="1">AVERAGE(OFFSET($R$3,0,0,'Données projet'!$E$9+1,1))-AVERAGE(OFFSET($H$3,0,0,'Données projet'!$E$9+1,1))</f>
        <v>371.7282125501186</v>
      </c>
      <c r="T90" s="59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44.511120561396829</v>
      </c>
      <c r="AA90" s="21">
        <f>EXP(-LN(2)/25)*AA89+(1-EXP(-LN(2)/25))/(LN(2)/25)*Calculateur!V90*Calculateur!X90*VLOOKUP('Données projet'!$B$9,Paramètres!$A$1:$I$89,3,0)*0.475*44/12</f>
        <v>2.2404733694811836</v>
      </c>
      <c r="AB90" s="21">
        <f>EXP(-LN(2)/2)*AB89+(1-EXP(-LN(2)/2))/(LN(2)/2)*V90*Y90*VLOOKUP('Données projet'!$B$9,Paramètres!$A$1:$I$89,3,0)*0.475*44/12</f>
        <v>0.653325856912776</v>
      </c>
      <c r="AC90" s="22">
        <f t="shared" si="57"/>
        <v>47.404919787790789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1.7053025658242404E-13</v>
      </c>
      <c r="AJ90" s="13">
        <f>AI90*VLOOKUP('Données projet'!$B$10,Paramètres!$A$1:$I$89,3,0)*VLOOKUP('Données projet'!$B$10,Paramètres!$A$1:$I$89,5,0)</f>
        <v>7.9808160080574461E-14</v>
      </c>
      <c r="AK90" s="13">
        <f t="shared" si="89"/>
        <v>1.2308384591775343E-12</v>
      </c>
      <c r="AL90" s="20">
        <f t="shared" si="58"/>
        <v>2.282709528541206E-12</v>
      </c>
      <c r="AM90" s="59">
        <f t="shared" si="59"/>
        <v>293.33333333333559</v>
      </c>
      <c r="AN90" s="59">
        <f ca="1">AVERAGE(OFFSET($AM$3,0,0,'Données projet'!$E$10+1,1))-AVERAGE(OFFSET($H$3,0,0,'Données projet'!$E$10+1,1))</f>
        <v>218.32525311070435</v>
      </c>
      <c r="AO90" s="59">
        <f t="shared" si="90"/>
        <v>275.36315264099204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51.087925649204301</v>
      </c>
      <c r="AV90" s="21">
        <f>EXP(-LN(2)/25)*AV89+(1-EXP(-LN(2)/25))/(LN(2)/25)*Calculateur!AQ90*Calculateur!AS90*VLOOKUP('Données projet'!$B$10,Paramètres!$A$1:$I$89,3,0)*0.475*44/12</f>
        <v>17.806102021729785</v>
      </c>
      <c r="AW90" s="21">
        <f>EXP(-LN(2)/2)*AW89+(1-EXP(-LN(2)/2))/(LN(2)/2)*AQ90*AT90*VLOOKUP('Données projet'!$B$10,Paramètres!$A$1:$I$89,3,0)*0.475*44/12</f>
        <v>5.6329476027310622E-3</v>
      </c>
      <c r="AX90" s="21">
        <f t="shared" si="60"/>
        <v>68.899660618536828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343</v>
      </c>
      <c r="BE90" s="13">
        <f>BD90*VLOOKUP('Données projet'!$B$11,Paramètres!$A$1:$I$89,3,0)*VLOOKUP('Données projet'!$B$11,Paramètres!$A$1:$I$89,5,0)</f>
        <v>326.39879999999999</v>
      </c>
      <c r="BF90" s="13">
        <f t="shared" si="91"/>
        <v>76.683210401884097</v>
      </c>
      <c r="BG90" s="20">
        <f t="shared" si="61"/>
        <v>702.03450144994804</v>
      </c>
      <c r="BH90" s="59">
        <f t="shared" si="62"/>
        <v>995.3678347832813</v>
      </c>
      <c r="BI90" s="59">
        <f ca="1">AVERAGE(OFFSET($BH$3,0,0,'Données projet'!$E$11+1,1))-AVERAGE(OFFSET($H$3,0,0,'Données projet'!$E$11+1,1))</f>
        <v>446.62872871405051</v>
      </c>
      <c r="BJ90" s="59">
        <f t="shared" si="92"/>
        <v>471.28934889691658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42.493813526685294</v>
      </c>
      <c r="BQ90" s="21">
        <f>EXP(-LN(2)/25)*BQ89+(1-EXP(-LN(2)/25))/(LN(2)/25)*Calculateur!BL90*Calculateur!BN90*VLOOKUP('Données projet'!$B$11,Paramètres!$A$1:$I$89,3,0)*0.475*44/12</f>
        <v>2.0984001607008427</v>
      </c>
      <c r="BR90" s="21">
        <f>EXP(-LN(2)/2)*BR89+(1-EXP(-LN(2)/2))/(LN(2)/2)*BL90*BO90*VLOOKUP('Données projet'!$B$11,Paramètres!$A$1:$I$89,3,0)*0.475*44/12</f>
        <v>4.7327304382921431E-3</v>
      </c>
      <c r="BS90" s="22">
        <f t="shared" si="63"/>
        <v>44.596946417824427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991.00000000000011</v>
      </c>
      <c r="BZ90" s="13">
        <f>BY90*VLOOKUP('Données projet'!$B$12,Paramètres!$A$1:$I$89,3,0)*VLOOKUP('Données projet'!$B$12,Paramètres!$A$1:$I$89,5,0)</f>
        <v>438.02200000000011</v>
      </c>
      <c r="CA90" s="13">
        <f t="shared" si="93"/>
        <v>99.443834741543355</v>
      </c>
      <c r="CB90" s="20">
        <f t="shared" si="64"/>
        <v>936.08632884152132</v>
      </c>
      <c r="CC90" s="59">
        <f t="shared" si="65"/>
        <v>1229.4196621748547</v>
      </c>
      <c r="CD90" s="59">
        <f ca="1">AVERAGE(OFFSET($CC$3,0,0,'Données projet'!$E$12+1,1))-AVERAGE(OFFSET($H$3,0,0,'Données projet'!$E$12+1,1))</f>
        <v>534.99316143569899</v>
      </c>
      <c r="CE90" s="59">
        <f t="shared" si="94"/>
        <v>449.56965858934262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61.040340782492216</v>
      </c>
      <c r="CL90" s="21">
        <f>EXP(-LN(2)/25)*CL89+(1-EXP(-LN(2)/25))/(LN(2)/25)*Calculateur!CG90*Calculateur!CI90*VLOOKUP('Données projet'!$B$12,Paramètres!$A$1:$I$89,3,0)*0.475*44/12</f>
        <v>26.389463673511411</v>
      </c>
      <c r="CM90" s="21">
        <f>EXP(-LN(2)/2)*CM89+(1-EXP(-LN(2)/2))/(LN(2)/2)*CG90*CJ90*VLOOKUP('Données projet'!$B$12,Paramètres!$A$1:$I$89,3,0)*0.475*44/12</f>
        <v>0.24096929401870726</v>
      </c>
      <c r="CN90" s="22">
        <f t="shared" si="66"/>
        <v>87.670773750022335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3.4</v>
      </c>
      <c r="CT90" s="12">
        <f>IF('Données projet'!$A$140&gt;35,CT89+CS90-DB89,IF(A90&lt;'Données projet'!$A$140,$CQ$205^A90,IF(A90='Données projet'!$A$140,'Données projet'!$B$140,CT89+CS90-DB89)))</f>
        <v>215.7999999999999</v>
      </c>
      <c r="CU90" s="17">
        <f>CT90*VLOOKUP('Données projet'!$B$13,Paramètres!$A$1:$I$89,3,0)*VLOOKUP('Données projet'!$B$13,Paramètres!$A$1:$I$89,5,0)</f>
        <v>245.75303999999991</v>
      </c>
      <c r="CV90" s="13">
        <f t="shared" si="95"/>
        <v>59.675613413020876</v>
      </c>
      <c r="CW90" s="20">
        <f t="shared" si="67"/>
        <v>531.95490469434458</v>
      </c>
      <c r="CX90" s="59">
        <f t="shared" si="68"/>
        <v>825.28823802767783</v>
      </c>
      <c r="CY90" s="59">
        <f ca="1">AVERAGE(OFFSET($CX$3,0,0,'Données projet'!$E$13+1,1))-AVERAGE(OFFSET($H$3,0,0,'Données projet'!$E$13+1,1))</f>
        <v>389.89050053480827</v>
      </c>
      <c r="CZ90" s="59">
        <f t="shared" si="96"/>
        <v>216.40816051909616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8.507215558260393</v>
      </c>
      <c r="DG90" s="21">
        <f>EXP(-LN(2)/25)*DG89+(1-EXP(-LN(2)/25))/(LN(2)/25)*Calculateur!DB90*Calculateur!DD90*VLOOKUP('Données projet'!$B$13,Paramètres!$A$1:$I$89,3,0)*0.475*44/12</f>
        <v>1.3634133903884313</v>
      </c>
      <c r="DH90" s="21">
        <f>EXP(-LN(2)/2)*DH89+(1-EXP(-LN(2)/2))/(LN(2)/2)*DB90*DE90*VLOOKUP('Données projet'!$B$13,Paramètres!$A$1:$I$89,3,0)*0.475*44/12</f>
        <v>0.39160442602116385</v>
      </c>
      <c r="DI90" s="22">
        <f t="shared" si="69"/>
        <v>10.262233374669989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239.04815999999985</v>
      </c>
      <c r="P91" s="13">
        <f t="shared" si="87"/>
        <v>58.234690128947292</v>
      </c>
      <c r="Q91" s="20">
        <f t="shared" si="54"/>
        <v>517.76763064124964</v>
      </c>
      <c r="R91" s="59">
        <f t="shared" si="55"/>
        <v>811.10096397458301</v>
      </c>
      <c r="S91" s="59">
        <f ca="1">AVERAGE(OFFSET($R$3,0,0,'Données projet'!$E$9+1,1))-AVERAGE(OFFSET($H$3,0,0,'Données projet'!$E$9+1,1))</f>
        <v>371.7282125501186</v>
      </c>
      <c r="T91" s="59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43.638284636290628</v>
      </c>
      <c r="AA91" s="21">
        <f>EXP(-LN(2)/25)*AA90+(1-EXP(-LN(2)/25))/(LN(2)/25)*Calculateur!V91*Calculateur!X91*VLOOKUP('Données projet'!$B$9,Paramètres!$A$1:$I$89,3,0)*0.475*44/12</f>
        <v>2.1792075073713466</v>
      </c>
      <c r="AB91" s="21">
        <f>EXP(-LN(2)/2)*AB90+(1-EXP(-LN(2)/2))/(LN(2)/2)*V91*Y91*VLOOKUP('Données projet'!$B$9,Paramètres!$A$1:$I$89,3,0)*0.475*44/12</f>
        <v>0.46197114374753601</v>
      </c>
      <c r="AC91" s="22">
        <f t="shared" si="57"/>
        <v>46.279463287409506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1.7053025658242404E-13</v>
      </c>
      <c r="AJ91" s="13">
        <f>AI91*VLOOKUP('Données projet'!$B$10,Paramètres!$A$1:$I$89,3,0)*VLOOKUP('Données projet'!$B$10,Paramètres!$A$1:$I$89,5,0)</f>
        <v>7.9808160080574461E-14</v>
      </c>
      <c r="AK91" s="13">
        <f t="shared" si="89"/>
        <v>1.2308384591775343E-12</v>
      </c>
      <c r="AL91" s="20">
        <f t="shared" si="58"/>
        <v>2.282709528541206E-12</v>
      </c>
      <c r="AM91" s="59">
        <f t="shared" si="59"/>
        <v>293.33333333333559</v>
      </c>
      <c r="AN91" s="59">
        <f ca="1">AVERAGE(OFFSET($AM$3,0,0,'Données projet'!$E$10+1,1))-AVERAGE(OFFSET($H$3,0,0,'Données projet'!$E$10+1,1))</f>
        <v>218.32525311070435</v>
      </c>
      <c r="AO91" s="59">
        <f t="shared" si="90"/>
        <v>275.36315264099204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50.086122587781205</v>
      </c>
      <c r="AV91" s="21">
        <f>EXP(-LN(2)/25)*AV90+(1-EXP(-LN(2)/25))/(LN(2)/25)*Calculateur!AQ91*Calculateur!AS91*VLOOKUP('Données projet'!$B$10,Paramètres!$A$1:$I$89,3,0)*0.475*44/12</f>
        <v>17.319193225563374</v>
      </c>
      <c r="AW91" s="21">
        <f>EXP(-LN(2)/2)*AW90+(1-EXP(-LN(2)/2))/(LN(2)/2)*AQ91*AT91*VLOOKUP('Données projet'!$B$10,Paramètres!$A$1:$I$89,3,0)*0.475*44/12</f>
        <v>3.9830954479596406E-3</v>
      </c>
      <c r="AX91" s="21">
        <f t="shared" si="60"/>
        <v>67.409298908792536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343</v>
      </c>
      <c r="BE91" s="13">
        <f>BD91*VLOOKUP('Données projet'!$B$11,Paramètres!$A$1:$I$89,3,0)*VLOOKUP('Données projet'!$B$11,Paramètres!$A$1:$I$89,5,0)</f>
        <v>326.39879999999999</v>
      </c>
      <c r="BF91" s="13">
        <f t="shared" si="91"/>
        <v>76.683210401884097</v>
      </c>
      <c r="BG91" s="20">
        <f t="shared" si="61"/>
        <v>702.03450144994804</v>
      </c>
      <c r="BH91" s="59">
        <f t="shared" si="62"/>
        <v>995.3678347832813</v>
      </c>
      <c r="BI91" s="59">
        <f ca="1">AVERAGE(OFFSET($BH$3,0,0,'Données projet'!$E$11+1,1))-AVERAGE(OFFSET($H$3,0,0,'Données projet'!$E$11+1,1))</f>
        <v>446.62872871405051</v>
      </c>
      <c r="BJ91" s="59">
        <f t="shared" si="92"/>
        <v>471.28934889691658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41.660535762093993</v>
      </c>
      <c r="BQ91" s="21">
        <f>EXP(-LN(2)/25)*BQ90+(1-EXP(-LN(2)/25))/(LN(2)/25)*Calculateur!BL91*Calculateur!BN91*VLOOKUP('Données projet'!$B$11,Paramètres!$A$1:$I$89,3,0)*0.475*44/12</f>
        <v>2.0410192979564097</v>
      </c>
      <c r="BR91" s="21">
        <f>EXP(-LN(2)/2)*BR90+(1-EXP(-LN(2)/2))/(LN(2)/2)*BL91*BO91*VLOOKUP('Données projet'!$B$11,Paramètres!$A$1:$I$89,3,0)*0.475*44/12</f>
        <v>3.3465457864443556E-3</v>
      </c>
      <c r="BS91" s="22">
        <f t="shared" si="63"/>
        <v>43.704901605836845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991.00000000000011</v>
      </c>
      <c r="BZ91" s="13">
        <f>BY91*VLOOKUP('Données projet'!$B$12,Paramètres!$A$1:$I$89,3,0)*VLOOKUP('Données projet'!$B$12,Paramètres!$A$1:$I$89,5,0)</f>
        <v>438.02200000000011</v>
      </c>
      <c r="CA91" s="13">
        <f t="shared" si="93"/>
        <v>99.443834741543355</v>
      </c>
      <c r="CB91" s="20">
        <f t="shared" si="64"/>
        <v>936.08632884152132</v>
      </c>
      <c r="CC91" s="59">
        <f t="shared" si="65"/>
        <v>1229.4196621748547</v>
      </c>
      <c r="CD91" s="59">
        <f ca="1">AVERAGE(OFFSET($CC$3,0,0,'Données projet'!$E$12+1,1))-AVERAGE(OFFSET($H$3,0,0,'Données projet'!$E$12+1,1))</f>
        <v>534.99316143569899</v>
      </c>
      <c r="CE91" s="59">
        <f t="shared" si="94"/>
        <v>449.56965858934262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59.84337693067917</v>
      </c>
      <c r="CL91" s="21">
        <f>EXP(-LN(2)/25)*CL90+(1-EXP(-LN(2)/25))/(LN(2)/25)*Calculateur!CG91*Calculateur!CI91*VLOOKUP('Données projet'!$B$12,Paramètres!$A$1:$I$89,3,0)*0.475*44/12</f>
        <v>25.66784240159766</v>
      </c>
      <c r="CM91" s="21">
        <f>EXP(-LN(2)/2)*CM90+(1-EXP(-LN(2)/2))/(LN(2)/2)*CG91*CJ91*VLOOKUP('Données projet'!$B$12,Paramètres!$A$1:$I$89,3,0)*0.475*44/12</f>
        <v>0.17039102185836288</v>
      </c>
      <c r="CN91" s="22">
        <f t="shared" si="66"/>
        <v>85.681610354135188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3.4</v>
      </c>
      <c r="CT91" s="12">
        <f>IF('Données projet'!$A$140&gt;35,CT90+CS91-DB90,IF(A91&lt;'Données projet'!$A$140,$CQ$205^A91,IF(A91='Données projet'!$A$140,'Données projet'!$B$140,CT90+CS91-DB90)))</f>
        <v>219.1999999999999</v>
      </c>
      <c r="CU91" s="17">
        <f>CT91*VLOOKUP('Données projet'!$B$13,Paramètres!$A$1:$I$89,3,0)*VLOOKUP('Données projet'!$B$13,Paramètres!$A$1:$I$89,5,0)</f>
        <v>249.6249599999999</v>
      </c>
      <c r="CV91" s="13">
        <f t="shared" si="95"/>
        <v>60.505624665285069</v>
      </c>
      <c r="CW91" s="20">
        <f t="shared" si="67"/>
        <v>540.14410162537126</v>
      </c>
      <c r="CX91" s="59">
        <f t="shared" si="68"/>
        <v>833.47743495870463</v>
      </c>
      <c r="CY91" s="59">
        <f ca="1">AVERAGE(OFFSET($CX$3,0,0,'Données projet'!$E$13+1,1))-AVERAGE(OFFSET($H$3,0,0,'Données projet'!$E$13+1,1))</f>
        <v>389.89050053480827</v>
      </c>
      <c r="CZ91" s="59">
        <f t="shared" si="96"/>
        <v>216.40816051909616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8.3403942500520376</v>
      </c>
      <c r="DG91" s="21">
        <f>EXP(-LN(2)/25)*DG90+(1-EXP(-LN(2)/25))/(LN(2)/25)*Calculateur!DB91*Calculateur!DD91*VLOOKUP('Données projet'!$B$13,Paramètres!$A$1:$I$89,3,0)*0.475*44/12</f>
        <v>1.3261307795294657</v>
      </c>
      <c r="DH91" s="21">
        <f>EXP(-LN(2)/2)*DH90+(1-EXP(-LN(2)/2))/(LN(2)/2)*DB91*DE91*VLOOKUP('Données projet'!$B$13,Paramètres!$A$1:$I$89,3,0)*0.475*44/12</f>
        <v>0.27690614518223067</v>
      </c>
      <c r="DI91" s="22">
        <f t="shared" si="69"/>
        <v>9.9434311747637345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243.93407999999988</v>
      </c>
      <c r="P92" s="13">
        <f t="shared" si="87"/>
        <v>59.285164329617594</v>
      </c>
      <c r="Q92" s="20">
        <f t="shared" si="54"/>
        <v>528.10685054075043</v>
      </c>
      <c r="R92" s="59">
        <f t="shared" si="55"/>
        <v>821.44018387408369</v>
      </c>
      <c r="S92" s="59">
        <f ca="1">AVERAGE(OFFSET($R$3,0,0,'Données projet'!$E$9+1,1))-AVERAGE(OFFSET($H$3,0,0,'Données projet'!$E$9+1,1))</f>
        <v>371.7282125501186</v>
      </c>
      <c r="T92" s="59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42.782564491298416</v>
      </c>
      <c r="AA92" s="21">
        <f>EXP(-LN(2)/25)*AA91+(1-EXP(-LN(2)/25))/(LN(2)/25)*Calculateur!V92*Calculateur!X92*VLOOKUP('Données projet'!$B$9,Paramètres!$A$1:$I$89,3,0)*0.475*44/12</f>
        <v>2.1196169634827351</v>
      </c>
      <c r="AB92" s="21">
        <f>EXP(-LN(2)/2)*AB91+(1-EXP(-LN(2)/2))/(LN(2)/2)*V92*Y92*VLOOKUP('Données projet'!$B$9,Paramètres!$A$1:$I$89,3,0)*0.475*44/12</f>
        <v>0.32666292845638806</v>
      </c>
      <c r="AC92" s="22">
        <f t="shared" si="57"/>
        <v>45.228844383237536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1.7053025658242404E-13</v>
      </c>
      <c r="AJ92" s="13">
        <f>AI92*VLOOKUP('Données projet'!$B$10,Paramètres!$A$1:$I$89,3,0)*VLOOKUP('Données projet'!$B$10,Paramètres!$A$1:$I$89,5,0)</f>
        <v>7.9808160080574461E-14</v>
      </c>
      <c r="AK92" s="13">
        <f t="shared" si="89"/>
        <v>1.2308384591775343E-12</v>
      </c>
      <c r="AL92" s="20">
        <f t="shared" si="58"/>
        <v>2.282709528541206E-12</v>
      </c>
      <c r="AM92" s="59">
        <f t="shared" si="59"/>
        <v>293.33333333333559</v>
      </c>
      <c r="AN92" s="59">
        <f ca="1">AVERAGE(OFFSET($AM$3,0,0,'Données projet'!$E$10+1,1))-AVERAGE(OFFSET($H$3,0,0,'Données projet'!$E$10+1,1))</f>
        <v>218.32525311070435</v>
      </c>
      <c r="AO92" s="59">
        <f t="shared" si="90"/>
        <v>275.36315264099204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49.103964273353078</v>
      </c>
      <c r="AV92" s="21">
        <f>EXP(-LN(2)/25)*AV91+(1-EXP(-LN(2)/25))/(LN(2)/25)*Calculateur!AQ92*Calculateur!AS92*VLOOKUP('Données projet'!$B$10,Paramètres!$A$1:$I$89,3,0)*0.475*44/12</f>
        <v>16.845598976033557</v>
      </c>
      <c r="AW92" s="21">
        <f>EXP(-LN(2)/2)*AW91+(1-EXP(-LN(2)/2))/(LN(2)/2)*AQ92*AT92*VLOOKUP('Données projet'!$B$10,Paramètres!$A$1:$I$89,3,0)*0.475*44/12</f>
        <v>2.8164738013655311E-3</v>
      </c>
      <c r="AX92" s="21">
        <f t="shared" si="60"/>
        <v>65.952379723188002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343</v>
      </c>
      <c r="BE92" s="13">
        <f>BD92*VLOOKUP('Données projet'!$B$11,Paramètres!$A$1:$I$89,3,0)*VLOOKUP('Données projet'!$B$11,Paramètres!$A$1:$I$89,5,0)</f>
        <v>326.39879999999999</v>
      </c>
      <c r="BF92" s="13">
        <f t="shared" si="91"/>
        <v>76.683210401884097</v>
      </c>
      <c r="BG92" s="20">
        <f t="shared" si="61"/>
        <v>702.03450144994804</v>
      </c>
      <c r="BH92" s="59">
        <f t="shared" si="62"/>
        <v>995.3678347832813</v>
      </c>
      <c r="BI92" s="59">
        <f ca="1">AVERAGE(OFFSET($BH$3,0,0,'Données projet'!$E$11+1,1))-AVERAGE(OFFSET($H$3,0,0,'Données projet'!$E$11+1,1))</f>
        <v>446.62872871405051</v>
      </c>
      <c r="BJ92" s="59">
        <f t="shared" si="92"/>
        <v>471.28934889691658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40.843598066217076</v>
      </c>
      <c r="BQ92" s="21">
        <f>EXP(-LN(2)/25)*BQ91+(1-EXP(-LN(2)/25))/(LN(2)/25)*Calculateur!BL92*Calculateur!BN92*VLOOKUP('Données projet'!$B$11,Paramètres!$A$1:$I$89,3,0)*0.475*44/12</f>
        <v>1.9852075179212516</v>
      </c>
      <c r="BR92" s="21">
        <f>EXP(-LN(2)/2)*BR91+(1-EXP(-LN(2)/2))/(LN(2)/2)*BL92*BO92*VLOOKUP('Données projet'!$B$11,Paramètres!$A$1:$I$89,3,0)*0.475*44/12</f>
        <v>2.3663652191460716E-3</v>
      </c>
      <c r="BS92" s="22">
        <f t="shared" si="63"/>
        <v>42.831171949357476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991.00000000000011</v>
      </c>
      <c r="BZ92" s="13">
        <f>BY92*VLOOKUP('Données projet'!$B$12,Paramètres!$A$1:$I$89,3,0)*VLOOKUP('Données projet'!$B$12,Paramètres!$A$1:$I$89,5,0)</f>
        <v>438.02200000000011</v>
      </c>
      <c r="CA92" s="13">
        <f t="shared" si="93"/>
        <v>99.443834741543355</v>
      </c>
      <c r="CB92" s="20">
        <f t="shared" si="64"/>
        <v>936.08632884152132</v>
      </c>
      <c r="CC92" s="59">
        <f t="shared" si="65"/>
        <v>1229.4196621748547</v>
      </c>
      <c r="CD92" s="59">
        <f ca="1">AVERAGE(OFFSET($CC$3,0,0,'Données projet'!$E$12+1,1))-AVERAGE(OFFSET($H$3,0,0,'Données projet'!$E$12+1,1))</f>
        <v>534.99316143569899</v>
      </c>
      <c r="CE92" s="59">
        <f t="shared" si="94"/>
        <v>449.56965858934262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58.669884809924319</v>
      </c>
      <c r="CL92" s="21">
        <f>EXP(-LN(2)/25)*CL91+(1-EXP(-LN(2)/25))/(LN(2)/25)*Calculateur!CG92*Calculateur!CI92*VLOOKUP('Données projet'!$B$12,Paramètres!$A$1:$I$89,3,0)*0.475*44/12</f>
        <v>24.965953901312805</v>
      </c>
      <c r="CM92" s="21">
        <f>EXP(-LN(2)/2)*CM91+(1-EXP(-LN(2)/2))/(LN(2)/2)*CG92*CJ92*VLOOKUP('Données projet'!$B$12,Paramètres!$A$1:$I$89,3,0)*0.475*44/12</f>
        <v>0.12048464700935364</v>
      </c>
      <c r="CN92" s="22">
        <f t="shared" si="66"/>
        <v>83.756323358246476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3.4</v>
      </c>
      <c r="CT92" s="12">
        <f>IF('Données projet'!$A$140&gt;35,CT91+CS92-DB91,IF(A92&lt;'Données projet'!$A$140,$CQ$205^A92,IF(A92='Données projet'!$A$140,'Données projet'!$B$140,CT91+CS92-DB91)))</f>
        <v>222.59999999999991</v>
      </c>
      <c r="CU92" s="17">
        <f>CT92*VLOOKUP('Données projet'!$B$13,Paramètres!$A$1:$I$89,3,0)*VLOOKUP('Données projet'!$B$13,Paramètres!$A$1:$I$89,5,0)</f>
        <v>253.49687999999992</v>
      </c>
      <c r="CV92" s="13">
        <f t="shared" si="95"/>
        <v>61.334138641955136</v>
      </c>
      <c r="CW92" s="20">
        <f t="shared" si="67"/>
        <v>548.33069080140501</v>
      </c>
      <c r="CX92" s="59">
        <f t="shared" si="68"/>
        <v>841.66402413473838</v>
      </c>
      <c r="CY92" s="59">
        <f ca="1">AVERAGE(OFFSET($CX$3,0,0,'Données projet'!$E$13+1,1))-AVERAGE(OFFSET($H$3,0,0,'Données projet'!$E$13+1,1))</f>
        <v>389.89050053480827</v>
      </c>
      <c r="CZ92" s="59">
        <f t="shared" si="96"/>
        <v>216.40816051909616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8.176844205946697</v>
      </c>
      <c r="DG92" s="21">
        <f>EXP(-LN(2)/25)*DG91+(1-EXP(-LN(2)/25))/(LN(2)/25)*Calculateur!DB92*Calculateur!DD92*VLOOKUP('Données projet'!$B$13,Paramètres!$A$1:$I$89,3,0)*0.475*44/12</f>
        <v>1.2898676636250457</v>
      </c>
      <c r="DH92" s="21">
        <f>EXP(-LN(2)/2)*DH91+(1-EXP(-LN(2)/2))/(LN(2)/2)*DB92*DE92*VLOOKUP('Données projet'!$B$13,Paramètres!$A$1:$I$89,3,0)*0.475*44/12</f>
        <v>0.19580221301058195</v>
      </c>
      <c r="DI92" s="22">
        <f t="shared" si="69"/>
        <v>9.6625140825823248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248.81999999999982</v>
      </c>
      <c r="P93" s="13">
        <f t="shared" si="87"/>
        <v>60.333192077890018</v>
      </c>
      <c r="Q93" s="20">
        <f t="shared" si="54"/>
        <v>538.44180953565808</v>
      </c>
      <c r="R93" s="59">
        <f t="shared" si="55"/>
        <v>831.77514286899145</v>
      </c>
      <c r="S93" s="59">
        <f ca="1">AVERAGE(OFFSET($R$3,0,0,'Données projet'!$E$9+1,1))-AVERAGE(OFFSET($H$3,0,0,'Données projet'!$E$9+1,1))</f>
        <v>371.7282125501186</v>
      </c>
      <c r="T93" s="59">
        <f t="shared" si="88"/>
        <v>231.36959598460686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21</v>
      </c>
      <c r="W93" s="16">
        <f>IF(ISNA(VLOOKUP(A93,'Données projet'!$A$35:$I$55,5,0)),0%,VLOOKUP(A93,'Données projet'!$A$35:$I$55,5,0)*VLOOKUP('Données projet'!$B$9,Paramètres!$A$1:$I$89,7,0))</f>
        <v>0.34400000000000003</v>
      </c>
      <c r="X93" s="16">
        <f>IF(ISNA(VLOOKUP(A93,'Données projet'!$A$35:$I$55,6,0)),0%,VLOOKUP(A93,'Données projet'!$A$35:$I$55,6,0)*VLOOKUP('Données projet'!$B$9,Paramètres!$A$1:$I$89,7,0))</f>
        <v>1.72E-2</v>
      </c>
      <c r="Y93" s="16">
        <f>IF(ISNA(VLOOKUP(A93,'Données projet'!$A$35:$I$55,7,0)),0%,VLOOKUP(A93,'Données projet'!$A$35:$I$55,7,0))</f>
        <v>0.06</v>
      </c>
      <c r="Z93" s="21">
        <f>EXP(-LN(2)/35)*Z92+(1-EXP(-LN(2)/35))/(LN(2)/35)*V93*W93*VLOOKUP('Données projet'!$B$9,Paramètres!$A$1:$I$89,3,0)*0.475*44/12</f>
        <v>49.169283122487556</v>
      </c>
      <c r="AA93" s="21">
        <f>EXP(-LN(2)/25)*AA92+(1-EXP(-LN(2)/25))/(LN(2)/25)*Calculateur!V93*Calculateur!X93*VLOOKUP('Données projet'!$B$9,Paramètres!$A$1:$I$89,3,0)*0.475*44/12</f>
        <v>2.421516348894146</v>
      </c>
      <c r="AB93" s="21">
        <f>EXP(-LN(2)/2)*AB92+(1-EXP(-LN(2)/2))/(LN(2)/2)*V93*Y93*VLOOKUP('Données projet'!$B$9,Paramètres!$A$1:$I$89,3,0)*0.475*44/12</f>
        <v>1.3066515438158115</v>
      </c>
      <c r="AC93" s="22">
        <f t="shared" si="57"/>
        <v>52.897451015197511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1.7053025658242404E-13</v>
      </c>
      <c r="AJ93" s="13">
        <f>AI93*VLOOKUP('Données projet'!$B$10,Paramètres!$A$1:$I$89,3,0)*VLOOKUP('Données projet'!$B$10,Paramètres!$A$1:$I$89,5,0)</f>
        <v>7.9808160080574461E-14</v>
      </c>
      <c r="AK93" s="13">
        <f t="shared" si="89"/>
        <v>1.2308384591775343E-12</v>
      </c>
      <c r="AL93" s="20">
        <f t="shared" si="58"/>
        <v>2.282709528541206E-12</v>
      </c>
      <c r="AM93" s="59">
        <f t="shared" si="59"/>
        <v>293.33333333333559</v>
      </c>
      <c r="AN93" s="59">
        <f ca="1">AVERAGE(OFFSET($AM$3,0,0,'Données projet'!$E$10+1,1))-AVERAGE(OFFSET($H$3,0,0,'Données projet'!$E$10+1,1))</f>
        <v>218.32525311070435</v>
      </c>
      <c r="AO93" s="59">
        <f t="shared" si="90"/>
        <v>275.36315264099204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48.141065484413467</v>
      </c>
      <c r="AV93" s="21">
        <f>EXP(-LN(2)/25)*AV92+(1-EXP(-LN(2)/25))/(LN(2)/25)*Calculateur!AQ93*Calculateur!AS93*VLOOKUP('Données projet'!$B$10,Paramètres!$A$1:$I$89,3,0)*0.475*44/12</f>
        <v>16.384955186162369</v>
      </c>
      <c r="AW93" s="21">
        <f>EXP(-LN(2)/2)*AW92+(1-EXP(-LN(2)/2))/(LN(2)/2)*AQ93*AT93*VLOOKUP('Données projet'!$B$10,Paramètres!$A$1:$I$89,3,0)*0.475*44/12</f>
        <v>1.9915477239798203E-3</v>
      </c>
      <c r="AX93" s="21">
        <f t="shared" si="60"/>
        <v>64.528012218299807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343</v>
      </c>
      <c r="BE93" s="13">
        <f>BD93*VLOOKUP('Données projet'!$B$11,Paramètres!$A$1:$I$89,3,0)*VLOOKUP('Données projet'!$B$11,Paramètres!$A$1:$I$89,5,0)</f>
        <v>326.39879999999999</v>
      </c>
      <c r="BF93" s="13">
        <f t="shared" si="91"/>
        <v>76.683210401884097</v>
      </c>
      <c r="BG93" s="20">
        <f t="shared" si="61"/>
        <v>702.03450144994804</v>
      </c>
      <c r="BH93" s="59">
        <f t="shared" si="62"/>
        <v>995.3678347832813</v>
      </c>
      <c r="BI93" s="59">
        <f ca="1">AVERAGE(OFFSET($BH$3,0,0,'Données projet'!$E$11+1,1))-AVERAGE(OFFSET($H$3,0,0,'Données projet'!$E$11+1,1))</f>
        <v>446.62872871405051</v>
      </c>
      <c r="BJ93" s="59">
        <f t="shared" si="92"/>
        <v>471.28934889691658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40.042680020273508</v>
      </c>
      <c r="BQ93" s="21">
        <f>EXP(-LN(2)/25)*BQ92+(1-EXP(-LN(2)/25))/(LN(2)/25)*Calculateur!BL93*Calculateur!BN93*VLOOKUP('Données projet'!$B$11,Paramètres!$A$1:$I$89,3,0)*0.475*44/12</f>
        <v>1.9309219139461689</v>
      </c>
      <c r="BR93" s="21">
        <f>EXP(-LN(2)/2)*BR92+(1-EXP(-LN(2)/2))/(LN(2)/2)*BL93*BO93*VLOOKUP('Données projet'!$B$11,Paramètres!$A$1:$I$89,3,0)*0.475*44/12</f>
        <v>1.6732728932221778E-3</v>
      </c>
      <c r="BS93" s="22">
        <f t="shared" si="63"/>
        <v>41.975275207112901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991.00000000000011</v>
      </c>
      <c r="BZ93" s="13">
        <f>BY93*VLOOKUP('Données projet'!$B$12,Paramètres!$A$1:$I$89,3,0)*VLOOKUP('Données projet'!$B$12,Paramètres!$A$1:$I$89,5,0)</f>
        <v>438.02200000000011</v>
      </c>
      <c r="CA93" s="13">
        <f t="shared" si="93"/>
        <v>99.443834741543355</v>
      </c>
      <c r="CB93" s="20">
        <f t="shared" si="64"/>
        <v>936.08632884152132</v>
      </c>
      <c r="CC93" s="59">
        <f t="shared" si="65"/>
        <v>1229.4196621748547</v>
      </c>
      <c r="CD93" s="59">
        <f ca="1">AVERAGE(OFFSET($CC$3,0,0,'Données projet'!$E$12+1,1))-AVERAGE(OFFSET($H$3,0,0,'Données projet'!$E$12+1,1))</f>
        <v>534.99316143569899</v>
      </c>
      <c r="CE93" s="59">
        <f t="shared" si="94"/>
        <v>449.56965858934262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57.519404153897952</v>
      </c>
      <c r="CL93" s="21">
        <f>EXP(-LN(2)/25)*CL92+(1-EXP(-LN(2)/25))/(LN(2)/25)*Calculateur!CG93*Calculateur!CI93*VLOOKUP('Données projet'!$B$12,Paramètres!$A$1:$I$89,3,0)*0.475*44/12</f>
        <v>24.283258578978952</v>
      </c>
      <c r="CM93" s="21">
        <f>EXP(-LN(2)/2)*CM92+(1-EXP(-LN(2)/2))/(LN(2)/2)*CG93*CJ93*VLOOKUP('Données projet'!$B$12,Paramètres!$A$1:$I$89,3,0)*0.475*44/12</f>
        <v>8.5195510929181456E-2</v>
      </c>
      <c r="CN93" s="22">
        <f t="shared" si="66"/>
        <v>81.887858243806093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226</v>
      </c>
      <c r="CR93" s="12">
        <f>VLOOKUP(A93,'Données projet'!$A$139:$I$159,9,0)</f>
        <v>3.4</v>
      </c>
      <c r="CS93" s="12">
        <f t="array" ref="CS93">INDEX(CR:CR,MIN(IF(ISNUMBER(CR93:CR289),ROW(CR93:CR289),"")))</f>
        <v>3.4</v>
      </c>
      <c r="CT93" s="12">
        <f>IF('Données projet'!$A$140&gt;35,CT92+CS93-DB92,IF(A93&lt;'Données projet'!$A$140,$CQ$205^A93,IF(A93='Données projet'!$A$140,'Données projet'!$B$140,CT92+CS93-DB92)))</f>
        <v>225.99999999999991</v>
      </c>
      <c r="CU93" s="17">
        <f>CT93*VLOOKUP('Données projet'!$B$13,Paramètres!$A$1:$I$89,3,0)*VLOOKUP('Données projet'!$B$13,Paramètres!$A$1:$I$89,5,0)</f>
        <v>257.36879999999991</v>
      </c>
      <c r="CV93" s="13">
        <f t="shared" si="95"/>
        <v>62.161180853786924</v>
      </c>
      <c r="CW93" s="20">
        <f t="shared" si="67"/>
        <v>556.51471665367865</v>
      </c>
      <c r="CX93" s="59">
        <f t="shared" si="68"/>
        <v>849.84804998701202</v>
      </c>
      <c r="CY93" s="59">
        <f ca="1">AVERAGE(OFFSET($CX$3,0,0,'Données projet'!$E$13+1,1))-AVERAGE(OFFSET($H$3,0,0,'Données projet'!$E$13+1,1))</f>
        <v>389.89050053480827</v>
      </c>
      <c r="CZ93" s="59">
        <f t="shared" si="96"/>
        <v>216.40816051909616</v>
      </c>
      <c r="DA93" s="15">
        <f>IF(ISNA(VLOOKUP(A93,'Données projet'!$A$139:$I$159,3,0)),0,VLOOKUP(A93,'Données projet'!$A$139:$I$159,3,0))</f>
        <v>14</v>
      </c>
      <c r="DB93" s="15">
        <f>IF(ISNA(VLOOKUP(A93,'Données projet'!$A$139:$I$159,4,0)),0,VLOOKUP(A93,'Données projet'!$A$139:$I$159,4,0))</f>
        <v>10</v>
      </c>
      <c r="DC93" s="16">
        <f>IF(ISNA(VLOOKUP(A93,'Données projet'!$A$139:$I$159,5,0)),0%,VLOOKUP(A93,'Données projet'!$A$139:$I$159,5,0)*VLOOKUP('Données projet'!$B$13,Paramètres!$A$1:$I$89,7,0))</f>
        <v>0.129</v>
      </c>
      <c r="DD93" s="16">
        <f>IF(ISNA(VLOOKUP(A93,'Données projet'!$A$139:$I$159,6,0)),0%,VLOOKUP(A93,'Données projet'!$A$139:$I$159,6,0)*VLOOKUP('Données projet'!$B$13,Paramètres!$A$1:$I$89,7,0))</f>
        <v>1.72E-2</v>
      </c>
      <c r="DE93" s="16">
        <f>IF(ISNA(VLOOKUP(A93,'Données projet'!$A$139:$I$159,7,0)),0%,VLOOKUP(A93,'Données projet'!$A$139:$I$159,7,0))</f>
        <v>0.06</v>
      </c>
      <c r="DF93" s="21">
        <f>EXP(-LN(2)/35)*DF92+(1-EXP(-LN(2)/35))/(LN(2)/35)*DB93*DC93*VLOOKUP('Données projet'!$B$13,Paramètres!$A$1:$I$89,3,0)*0.475*44/12</f>
        <v>9.6404947504442244</v>
      </c>
      <c r="DG93" s="21">
        <f>EXP(-LN(2)/25)*DG92+(1-EXP(-LN(2)/25))/(LN(2)/25)*Calculateur!DB93*Calculateur!DD93*VLOOKUP('Données projet'!$B$13,Paramètres!$A$1:$I$89,3,0)*0.475*44/12</f>
        <v>1.4702760566526099</v>
      </c>
      <c r="DH93" s="21">
        <f>EXP(-LN(2)/2)*DH92+(1-EXP(-LN(2)/2))/(LN(2)/2)*DB93*DE93*VLOOKUP('Données projet'!$B$13,Paramètres!$A$1:$I$89,3,0)*0.475*44/12</f>
        <v>0.78314614280268502</v>
      </c>
      <c r="DI93" s="22">
        <f t="shared" si="69"/>
        <v>11.89391694989952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258.99999999999983</v>
      </c>
      <c r="O94" s="13">
        <f>N94*VLOOKUP('Données projet'!$B$9,Paramètres!$A$1:$I$89,3,0)*VLOOKUP('Données projet'!$B$9,Paramètres!$A$1:$I$89,5,0)</f>
        <v>234.34319999999983</v>
      </c>
      <c r="P94" s="13">
        <f t="shared" si="87"/>
        <v>57.220758006491614</v>
      </c>
      <c r="Q94" s="20">
        <f t="shared" si="54"/>
        <v>507.80722686130588</v>
      </c>
      <c r="R94" s="59">
        <f t="shared" si="55"/>
        <v>801.14056019463919</v>
      </c>
      <c r="S94" s="59">
        <f ca="1">AVERAGE(OFFSET($R$3,0,0,'Données projet'!$E$9+1,1))-AVERAGE(OFFSET($H$3,0,0,'Données projet'!$E$9+1,1))</f>
        <v>371.7282125501186</v>
      </c>
      <c r="T94" s="59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48.205103470756981</v>
      </c>
      <c r="AA94" s="21">
        <f>EXP(-LN(2)/25)*AA93+(1-EXP(-LN(2)/25))/(LN(2)/25)*Calculateur!V94*Calculateur!X94*VLOOKUP('Données projet'!$B$9,Paramètres!$A$1:$I$89,3,0)*0.475*44/12</f>
        <v>2.3552998569916253</v>
      </c>
      <c r="AB94" s="21">
        <f>EXP(-LN(2)/2)*AB93+(1-EXP(-LN(2)/2))/(LN(2)/2)*V94*Y94*VLOOKUP('Données projet'!$B$9,Paramètres!$A$1:$I$89,3,0)*0.475*44/12</f>
        <v>0.92394216728003165</v>
      </c>
      <c r="AC94" s="22">
        <f t="shared" si="57"/>
        <v>51.484345495028641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1.7053025658242404E-13</v>
      </c>
      <c r="AJ94" s="13">
        <f>AI94*VLOOKUP('Données projet'!$B$10,Paramètres!$A$1:$I$89,3,0)*VLOOKUP('Données projet'!$B$10,Paramètres!$A$1:$I$89,5,0)</f>
        <v>7.9808160080574461E-14</v>
      </c>
      <c r="AK94" s="13">
        <f t="shared" si="89"/>
        <v>1.2308384591775343E-12</v>
      </c>
      <c r="AL94" s="20">
        <f t="shared" si="58"/>
        <v>2.282709528541206E-12</v>
      </c>
      <c r="AM94" s="59">
        <f t="shared" si="59"/>
        <v>293.33333333333559</v>
      </c>
      <c r="AN94" s="59">
        <f ca="1">AVERAGE(OFFSET($AM$3,0,0,'Données projet'!$E$10+1,1))-AVERAGE(OFFSET($H$3,0,0,'Données projet'!$E$10+1,1))</f>
        <v>218.32525311070435</v>
      </c>
      <c r="AO94" s="59">
        <f t="shared" si="90"/>
        <v>275.36315264099204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47.197048553414696</v>
      </c>
      <c r="AV94" s="21">
        <f>EXP(-LN(2)/25)*AV93+(1-EXP(-LN(2)/25))/(LN(2)/25)*Calculateur!AQ94*Calculateur!AS94*VLOOKUP('Données projet'!$B$10,Paramètres!$A$1:$I$89,3,0)*0.475*44/12</f>
        <v>15.936907724949414</v>
      </c>
      <c r="AW94" s="21">
        <f>EXP(-LN(2)/2)*AW93+(1-EXP(-LN(2)/2))/(LN(2)/2)*AQ94*AT94*VLOOKUP('Données projet'!$B$10,Paramètres!$A$1:$I$89,3,0)*0.475*44/12</f>
        <v>1.4082369006827656E-3</v>
      </c>
      <c r="AX94" s="21">
        <f t="shared" si="60"/>
        <v>63.13536451526479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343</v>
      </c>
      <c r="BE94" s="13">
        <f>BD94*VLOOKUP('Données projet'!$B$11,Paramètres!$A$1:$I$89,3,0)*VLOOKUP('Données projet'!$B$11,Paramètres!$A$1:$I$89,5,0)</f>
        <v>326.39879999999999</v>
      </c>
      <c r="BF94" s="13">
        <f t="shared" si="91"/>
        <v>76.683210401884097</v>
      </c>
      <c r="BG94" s="20">
        <f t="shared" si="61"/>
        <v>702.03450144994804</v>
      </c>
      <c r="BH94" s="59">
        <f t="shared" si="62"/>
        <v>995.3678347832813</v>
      </c>
      <c r="BI94" s="59">
        <f ca="1">AVERAGE(OFFSET($BH$3,0,0,'Données projet'!$E$11+1,1))-AVERAGE(OFFSET($H$3,0,0,'Données projet'!$E$11+1,1))</f>
        <v>446.62872871405051</v>
      </c>
      <c r="BJ94" s="59">
        <f t="shared" si="92"/>
        <v>471.28934889691658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39.257467488699128</v>
      </c>
      <c r="BQ94" s="21">
        <f>EXP(-LN(2)/25)*BQ93+(1-EXP(-LN(2)/25))/(LN(2)/25)*Calculateur!BL94*Calculateur!BN94*VLOOKUP('Données projet'!$B$11,Paramètres!$A$1:$I$89,3,0)*0.475*44/12</f>
        <v>1.8781207526665407</v>
      </c>
      <c r="BR94" s="21">
        <f>EXP(-LN(2)/2)*BR93+(1-EXP(-LN(2)/2))/(LN(2)/2)*BL94*BO94*VLOOKUP('Données projet'!$B$11,Paramètres!$A$1:$I$89,3,0)*0.475*44/12</f>
        <v>1.1831826095730358E-3</v>
      </c>
      <c r="BS94" s="22">
        <f t="shared" si="63"/>
        <v>41.13677142397524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991.00000000000011</v>
      </c>
      <c r="BZ94" s="13">
        <f>BY94*VLOOKUP('Données projet'!$B$12,Paramètres!$A$1:$I$89,3,0)*VLOOKUP('Données projet'!$B$12,Paramètres!$A$1:$I$89,5,0)</f>
        <v>438.02200000000011</v>
      </c>
      <c r="CA94" s="13">
        <f t="shared" si="93"/>
        <v>99.443834741543355</v>
      </c>
      <c r="CB94" s="20">
        <f t="shared" si="64"/>
        <v>936.08632884152132</v>
      </c>
      <c r="CC94" s="59">
        <f t="shared" si="65"/>
        <v>1229.4196621748547</v>
      </c>
      <c r="CD94" s="59">
        <f ca="1">AVERAGE(OFFSET($CC$3,0,0,'Données projet'!$E$12+1,1))-AVERAGE(OFFSET($H$3,0,0,'Données projet'!$E$12+1,1))</f>
        <v>534.99316143569899</v>
      </c>
      <c r="CE94" s="59">
        <f t="shared" si="94"/>
        <v>449.56965858934262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56.391483721812349</v>
      </c>
      <c r="CL94" s="21">
        <f>EXP(-LN(2)/25)*CL93+(1-EXP(-LN(2)/25))/(LN(2)/25)*Calculateur!CG94*Calculateur!CI94*VLOOKUP('Données projet'!$B$12,Paramètres!$A$1:$I$89,3,0)*0.475*44/12</f>
        <v>23.619231596135705</v>
      </c>
      <c r="CM94" s="21">
        <f>EXP(-LN(2)/2)*CM93+(1-EXP(-LN(2)/2))/(LN(2)/2)*CG94*CJ94*VLOOKUP('Données projet'!$B$12,Paramètres!$A$1:$I$89,3,0)*0.475*44/12</f>
        <v>6.0242323504676835E-2</v>
      </c>
      <c r="CN94" s="22">
        <f t="shared" si="66"/>
        <v>80.070957641452736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3.4</v>
      </c>
      <c r="CT94" s="12">
        <f>IF('Données projet'!$A$140&gt;35,CT93+CS94-DB93,IF(A94&lt;'Données projet'!$A$140,$CQ$205^A94,IF(A94='Données projet'!$A$140,'Données projet'!$B$140,CT93+CS94-DB93)))</f>
        <v>219.39999999999992</v>
      </c>
      <c r="CU94" s="17">
        <f>CT94*VLOOKUP('Données projet'!$B$13,Paramètres!$A$1:$I$89,3,0)*VLOOKUP('Données projet'!$B$13,Paramètres!$A$1:$I$89,5,0)</f>
        <v>249.85271999999992</v>
      </c>
      <c r="CV94" s="13">
        <f t="shared" si="95"/>
        <v>60.554401975437969</v>
      </c>
      <c r="CW94" s="20">
        <f t="shared" si="67"/>
        <v>540.62573744055442</v>
      </c>
      <c r="CX94" s="59">
        <f t="shared" si="68"/>
        <v>833.95907077388779</v>
      </c>
      <c r="CY94" s="59">
        <f ca="1">AVERAGE(OFFSET($CX$3,0,0,'Données projet'!$E$13+1,1))-AVERAGE(OFFSET($H$3,0,0,'Données projet'!$E$13+1,1))</f>
        <v>389.89050053480827</v>
      </c>
      <c r="CZ94" s="59">
        <f t="shared" si="96"/>
        <v>216.40816051909616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9.4514505285091968</v>
      </c>
      <c r="DG94" s="21">
        <f>EXP(-LN(2)/25)*DG93+(1-EXP(-LN(2)/25))/(LN(2)/25)*Calculateur!DB94*Calculateur!DD94*VLOOKUP('Données projet'!$B$13,Paramètres!$A$1:$I$89,3,0)*0.475*44/12</f>
        <v>1.4300712805649867</v>
      </c>
      <c r="DH94" s="21">
        <f>EXP(-LN(2)/2)*DH93+(1-EXP(-LN(2)/2))/(LN(2)/2)*DB94*DE94*VLOOKUP('Données projet'!$B$13,Paramètres!$A$1:$I$89,3,0)*0.475*44/12</f>
        <v>0.55376794823586695</v>
      </c>
      <c r="DI94" s="22">
        <f t="shared" si="69"/>
        <v>11.43528975731005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263.99999999999983</v>
      </c>
      <c r="O95" s="13">
        <f>N95*VLOOKUP('Données projet'!$B$9,Paramètres!$A$1:$I$89,3,0)*VLOOKUP('Données projet'!$B$9,Paramètres!$A$1:$I$89,5,0)</f>
        <v>238.86719999999983</v>
      </c>
      <c r="P95" s="13">
        <f t="shared" si="87"/>
        <v>58.195735973104156</v>
      </c>
      <c r="Q95" s="20">
        <f t="shared" si="54"/>
        <v>517.38461348648946</v>
      </c>
      <c r="R95" s="59">
        <f t="shared" si="55"/>
        <v>810.71794681982283</v>
      </c>
      <c r="S95" s="59">
        <f ca="1">AVERAGE(OFFSET($R$3,0,0,'Données projet'!$E$9+1,1))-AVERAGE(OFFSET($H$3,0,0,'Données projet'!$E$9+1,1))</f>
        <v>371.7282125501186</v>
      </c>
      <c r="T95" s="59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47.25983079390533</v>
      </c>
      <c r="AA95" s="21">
        <f>EXP(-LN(2)/25)*AA94+(1-EXP(-LN(2)/25))/(LN(2)/25)*Calculateur!V95*Calculateur!X95*VLOOKUP('Données projet'!$B$9,Paramètres!$A$1:$I$89,3,0)*0.475*44/12</f>
        <v>2.290894058542353</v>
      </c>
      <c r="AB95" s="21">
        <f>EXP(-LN(2)/2)*AB94+(1-EXP(-LN(2)/2))/(LN(2)/2)*V95*Y95*VLOOKUP('Données projet'!$B$9,Paramètres!$A$1:$I$89,3,0)*0.475*44/12</f>
        <v>0.65332577190790586</v>
      </c>
      <c r="AC95" s="22">
        <f t="shared" si="57"/>
        <v>50.204050624355595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1.7053025658242404E-13</v>
      </c>
      <c r="AJ95" s="13">
        <f>AI95*VLOOKUP('Données projet'!$B$10,Paramètres!$A$1:$I$89,3,0)*VLOOKUP('Données projet'!$B$10,Paramètres!$A$1:$I$89,5,0)</f>
        <v>7.9808160080574461E-14</v>
      </c>
      <c r="AK95" s="13">
        <f t="shared" si="89"/>
        <v>1.2308384591775343E-12</v>
      </c>
      <c r="AL95" s="20">
        <f t="shared" si="58"/>
        <v>2.282709528541206E-12</v>
      </c>
      <c r="AM95" s="59">
        <f t="shared" si="59"/>
        <v>293.33333333333559</v>
      </c>
      <c r="AN95" s="59">
        <f ca="1">AVERAGE(OFFSET($AM$3,0,0,'Données projet'!$E$10+1,1))-AVERAGE(OFFSET($H$3,0,0,'Données projet'!$E$10+1,1))</f>
        <v>218.32525311070435</v>
      </c>
      <c r="AO95" s="59">
        <f t="shared" si="90"/>
        <v>275.36315264099204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46.271543218639337</v>
      </c>
      <c r="AV95" s="21">
        <f>EXP(-LN(2)/25)*AV94+(1-EXP(-LN(2)/25))/(LN(2)/25)*Calculateur!AQ95*Calculateur!AS95*VLOOKUP('Données projet'!$B$10,Paramètres!$A$1:$I$89,3,0)*0.475*44/12</f>
        <v>15.50111214512512</v>
      </c>
      <c r="AW95" s="21">
        <f>EXP(-LN(2)/2)*AW94+(1-EXP(-LN(2)/2))/(LN(2)/2)*AQ95*AT95*VLOOKUP('Données projet'!$B$10,Paramètres!$A$1:$I$89,3,0)*0.475*44/12</f>
        <v>9.9577386198991015E-4</v>
      </c>
      <c r="AX95" s="21">
        <f t="shared" si="60"/>
        <v>61.773651137626445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343</v>
      </c>
      <c r="BE95" s="13">
        <f>BD95*VLOOKUP('Données projet'!$B$11,Paramètres!$A$1:$I$89,3,0)*VLOOKUP('Données projet'!$B$11,Paramètres!$A$1:$I$89,5,0)</f>
        <v>326.39879999999999</v>
      </c>
      <c r="BF95" s="13">
        <f t="shared" si="91"/>
        <v>76.683210401884097</v>
      </c>
      <c r="BG95" s="20">
        <f t="shared" si="61"/>
        <v>702.03450144994804</v>
      </c>
      <c r="BH95" s="59">
        <f t="shared" si="62"/>
        <v>995.3678347832813</v>
      </c>
      <c r="BI95" s="59">
        <f ca="1">AVERAGE(OFFSET($BH$3,0,0,'Données projet'!$E$11+1,1))-AVERAGE(OFFSET($H$3,0,0,'Données projet'!$E$11+1,1))</f>
        <v>446.62872871405051</v>
      </c>
      <c r="BJ95" s="59">
        <f t="shared" si="92"/>
        <v>471.28934889691658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38.487652495936565</v>
      </c>
      <c r="BQ95" s="21">
        <f>EXP(-LN(2)/25)*BQ94+(1-EXP(-LN(2)/25))/(LN(2)/25)*Calculateur!BL95*Calculateur!BN95*VLOOKUP('Données projet'!$B$11,Paramètres!$A$1:$I$89,3,0)*0.475*44/12</f>
        <v>1.8267634419187961</v>
      </c>
      <c r="BR95" s="21">
        <f>EXP(-LN(2)/2)*BR94+(1-EXP(-LN(2)/2))/(LN(2)/2)*BL95*BO95*VLOOKUP('Données projet'!$B$11,Paramètres!$A$1:$I$89,3,0)*0.475*44/12</f>
        <v>8.3663644661108891E-4</v>
      </c>
      <c r="BS95" s="22">
        <f t="shared" si="63"/>
        <v>40.315252574301972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991.00000000000011</v>
      </c>
      <c r="BZ95" s="13">
        <f>BY95*VLOOKUP('Données projet'!$B$12,Paramètres!$A$1:$I$89,3,0)*VLOOKUP('Données projet'!$B$12,Paramètres!$A$1:$I$89,5,0)</f>
        <v>438.02200000000011</v>
      </c>
      <c r="CA95" s="13">
        <f t="shared" si="93"/>
        <v>99.443834741543355</v>
      </c>
      <c r="CB95" s="20">
        <f t="shared" si="64"/>
        <v>936.08632884152132</v>
      </c>
      <c r="CC95" s="59">
        <f t="shared" si="65"/>
        <v>1229.4196621748547</v>
      </c>
      <c r="CD95" s="59">
        <f ca="1">AVERAGE(OFFSET($CC$3,0,0,'Données projet'!$E$12+1,1))-AVERAGE(OFFSET($H$3,0,0,'Données projet'!$E$12+1,1))</f>
        <v>534.99316143569899</v>
      </c>
      <c r="CE95" s="59">
        <f t="shared" si="94"/>
        <v>449.56965858934262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55.285681121436419</v>
      </c>
      <c r="CL95" s="21">
        <f>EXP(-LN(2)/25)*CL94+(1-EXP(-LN(2)/25))/(LN(2)/25)*Calculateur!CG95*Calculateur!CI95*VLOOKUP('Données projet'!$B$12,Paramètres!$A$1:$I$89,3,0)*0.475*44/12</f>
        <v>22.973362466057967</v>
      </c>
      <c r="CM95" s="21">
        <f>EXP(-LN(2)/2)*CM94+(1-EXP(-LN(2)/2))/(LN(2)/2)*CG95*CJ95*VLOOKUP('Données projet'!$B$12,Paramètres!$A$1:$I$89,3,0)*0.475*44/12</f>
        <v>4.2597755464590735E-2</v>
      </c>
      <c r="CN95" s="22">
        <f t="shared" si="66"/>
        <v>78.301641342958973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3.4</v>
      </c>
      <c r="CT95" s="12">
        <f>IF('Données projet'!$A$140&gt;35,CT94+CS95-DB94,IF(A95&lt;'Données projet'!$A$140,$CQ$205^A95,IF(A95='Données projet'!$A$140,'Données projet'!$B$140,CT94+CS95-DB94)))</f>
        <v>222.79999999999993</v>
      </c>
      <c r="CU95" s="17">
        <f>CT95*VLOOKUP('Données projet'!$B$13,Paramètres!$A$1:$I$89,3,0)*VLOOKUP('Données projet'!$B$13,Paramètres!$A$1:$I$89,5,0)</f>
        <v>253.72463999999994</v>
      </c>
      <c r="CV95" s="13">
        <f t="shared" si="95"/>
        <v>61.382828679639545</v>
      </c>
      <c r="CW95" s="20">
        <f t="shared" si="67"/>
        <v>548.81217461703875</v>
      </c>
      <c r="CX95" s="59">
        <f t="shared" si="68"/>
        <v>842.14550795037212</v>
      </c>
      <c r="CY95" s="59">
        <f ca="1">AVERAGE(OFFSET($CX$3,0,0,'Données projet'!$E$13+1,1))-AVERAGE(OFFSET($H$3,0,0,'Données projet'!$E$13+1,1))</f>
        <v>389.89050053480827</v>
      </c>
      <c r="CZ95" s="59">
        <f t="shared" si="96"/>
        <v>216.40816051909616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9.2661133484607259</v>
      </c>
      <c r="DG95" s="21">
        <f>EXP(-LN(2)/25)*DG94+(1-EXP(-LN(2)/25))/(LN(2)/25)*Calculateur!DB95*Calculateur!DD95*VLOOKUP('Données projet'!$B$13,Paramètres!$A$1:$I$89,3,0)*0.475*44/12</f>
        <v>1.3909659061937569</v>
      </c>
      <c r="DH95" s="21">
        <f>EXP(-LN(2)/2)*DH94+(1-EXP(-LN(2)/2))/(LN(2)/2)*DB95*DE95*VLOOKUP('Données projet'!$B$13,Paramètres!$A$1:$I$89,3,0)*0.475*44/12</f>
        <v>0.39157307140134257</v>
      </c>
      <c r="DI95" s="22">
        <f t="shared" si="69"/>
        <v>11.048652326055826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268.99999999999983</v>
      </c>
      <c r="O96" s="13">
        <f>N96*VLOOKUP('Données projet'!$B$9,Paramètres!$A$1:$I$89,3,0)*VLOOKUP('Données projet'!$B$9,Paramètres!$A$1:$I$89,5,0)</f>
        <v>243.39119999999986</v>
      </c>
      <c r="P96" s="13">
        <f t="shared" si="87"/>
        <v>59.168566788241527</v>
      </c>
      <c r="Q96" s="20">
        <f t="shared" si="54"/>
        <v>526.95826048952051</v>
      </c>
      <c r="R96" s="59">
        <f t="shared" si="55"/>
        <v>820.29159382285388</v>
      </c>
      <c r="S96" s="59">
        <f ca="1">AVERAGE(OFFSET($R$3,0,0,'Données projet'!$E$9+1,1))-AVERAGE(OFFSET($H$3,0,0,'Données projet'!$E$9+1,1))</f>
        <v>371.7282125501186</v>
      </c>
      <c r="T96" s="59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46.333094337687335</v>
      </c>
      <c r="AA96" s="21">
        <f>EXP(-LN(2)/25)*AA95+(1-EXP(-LN(2)/25))/(LN(2)/25)*Calculateur!V96*Calculateur!X96*VLOOKUP('Données projet'!$B$9,Paramètres!$A$1:$I$89,3,0)*0.475*44/12</f>
        <v>2.2282494400386295</v>
      </c>
      <c r="AB96" s="21">
        <f>EXP(-LN(2)/2)*AB95+(1-EXP(-LN(2)/2))/(LN(2)/2)*V96*Y96*VLOOKUP('Données projet'!$B$9,Paramètres!$A$1:$I$89,3,0)*0.475*44/12</f>
        <v>0.46197108364001588</v>
      </c>
      <c r="AC96" s="22">
        <f t="shared" si="57"/>
        <v>49.023314861365982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1.7053025658242404E-13</v>
      </c>
      <c r="AJ96" s="13">
        <f>AI96*VLOOKUP('Données projet'!$B$10,Paramètres!$A$1:$I$89,3,0)*VLOOKUP('Données projet'!$B$10,Paramètres!$A$1:$I$89,5,0)</f>
        <v>7.9808160080574461E-14</v>
      </c>
      <c r="AK96" s="13">
        <f t="shared" si="89"/>
        <v>1.2308384591775343E-12</v>
      </c>
      <c r="AL96" s="20">
        <f t="shared" si="58"/>
        <v>2.282709528541206E-12</v>
      </c>
      <c r="AM96" s="59">
        <f t="shared" si="59"/>
        <v>293.33333333333559</v>
      </c>
      <c r="AN96" s="59">
        <f ca="1">AVERAGE(OFFSET($AM$3,0,0,'Données projet'!$E$10+1,1))-AVERAGE(OFFSET($H$3,0,0,'Données projet'!$E$10+1,1))</f>
        <v>218.32525311070435</v>
      </c>
      <c r="AO96" s="59">
        <f t="shared" si="90"/>
        <v>275.36315264099204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45.364186478976407</v>
      </c>
      <c r="AV96" s="21">
        <f>EXP(-LN(2)/25)*AV95+(1-EXP(-LN(2)/25))/(LN(2)/25)*Calculateur!AQ96*Calculateur!AS96*VLOOKUP('Données projet'!$B$10,Paramètres!$A$1:$I$89,3,0)*0.475*44/12</f>
        <v>15.077233418348614</v>
      </c>
      <c r="AW96" s="21">
        <f>EXP(-LN(2)/2)*AW95+(1-EXP(-LN(2)/2))/(LN(2)/2)*AQ96*AT96*VLOOKUP('Données projet'!$B$10,Paramètres!$A$1:$I$89,3,0)*0.475*44/12</f>
        <v>7.0411845034138278E-4</v>
      </c>
      <c r="AX96" s="21">
        <f t="shared" si="60"/>
        <v>60.442124015775363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343</v>
      </c>
      <c r="BE96" s="13">
        <f>BD96*VLOOKUP('Données projet'!$B$11,Paramètres!$A$1:$I$89,3,0)*VLOOKUP('Données projet'!$B$11,Paramètres!$A$1:$I$89,5,0)</f>
        <v>326.39879999999999</v>
      </c>
      <c r="BF96" s="13">
        <f t="shared" si="91"/>
        <v>76.683210401884097</v>
      </c>
      <c r="BG96" s="20">
        <f t="shared" si="61"/>
        <v>702.03450144994804</v>
      </c>
      <c r="BH96" s="59">
        <f t="shared" si="62"/>
        <v>995.3678347832813</v>
      </c>
      <c r="BI96" s="59">
        <f ca="1">AVERAGE(OFFSET($BH$3,0,0,'Données projet'!$E$11+1,1))-AVERAGE(OFFSET($H$3,0,0,'Données projet'!$E$11+1,1))</f>
        <v>446.62872871405051</v>
      </c>
      <c r="BJ96" s="59">
        <f t="shared" si="92"/>
        <v>471.28934889691658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37.732933105641294</v>
      </c>
      <c r="BQ96" s="21">
        <f>EXP(-LN(2)/25)*BQ95+(1-EXP(-LN(2)/25))/(LN(2)/25)*Calculateur!BL96*Calculateur!BN96*VLOOKUP('Données projet'!$B$11,Paramètres!$A$1:$I$89,3,0)*0.475*44/12</f>
        <v>1.7768104995342124</v>
      </c>
      <c r="BR96" s="21">
        <f>EXP(-LN(2)/2)*BR95+(1-EXP(-LN(2)/2))/(LN(2)/2)*BL96*BO96*VLOOKUP('Données projet'!$B$11,Paramètres!$A$1:$I$89,3,0)*0.475*44/12</f>
        <v>5.9159130478651789E-4</v>
      </c>
      <c r="BS96" s="22">
        <f t="shared" si="63"/>
        <v>39.510335196480298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991.00000000000011</v>
      </c>
      <c r="BZ96" s="13">
        <f>BY96*VLOOKUP('Données projet'!$B$12,Paramètres!$A$1:$I$89,3,0)*VLOOKUP('Données projet'!$B$12,Paramètres!$A$1:$I$89,5,0)</f>
        <v>438.02200000000011</v>
      </c>
      <c r="CA96" s="13">
        <f t="shared" si="93"/>
        <v>99.443834741543355</v>
      </c>
      <c r="CB96" s="20">
        <f t="shared" si="64"/>
        <v>936.08632884152132</v>
      </c>
      <c r="CC96" s="59">
        <f t="shared" si="65"/>
        <v>1229.4196621748547</v>
      </c>
      <c r="CD96" s="59">
        <f ca="1">AVERAGE(OFFSET($CC$3,0,0,'Données projet'!$E$12+1,1))-AVERAGE(OFFSET($H$3,0,0,'Données projet'!$E$12+1,1))</f>
        <v>534.99316143569899</v>
      </c>
      <c r="CE96" s="59">
        <f t="shared" si="94"/>
        <v>449.56965858934262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54.201562635580871</v>
      </c>
      <c r="CL96" s="21">
        <f>EXP(-LN(2)/25)*CL95+(1-EXP(-LN(2)/25))/(LN(2)/25)*Calculateur!CG96*Calculateur!CI96*VLOOKUP('Données projet'!$B$12,Paramètres!$A$1:$I$89,3,0)*0.475*44/12</f>
        <v>22.345154661306985</v>
      </c>
      <c r="CM96" s="21">
        <f>EXP(-LN(2)/2)*CM95+(1-EXP(-LN(2)/2))/(LN(2)/2)*CG96*CJ96*VLOOKUP('Données projet'!$B$12,Paramètres!$A$1:$I$89,3,0)*0.475*44/12</f>
        <v>3.0121161752338421E-2</v>
      </c>
      <c r="CN96" s="22">
        <f t="shared" si="66"/>
        <v>76.576838458640196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3.4</v>
      </c>
      <c r="CT96" s="12">
        <f>IF('Données projet'!$A$140&gt;35,CT95+CS96-DB95,IF(A96&lt;'Données projet'!$A$140,$CQ$205^A96,IF(A96='Données projet'!$A$140,'Données projet'!$B$140,CT95+CS96-DB95)))</f>
        <v>226.19999999999993</v>
      </c>
      <c r="CU96" s="17">
        <f>CT96*VLOOKUP('Données projet'!$B$13,Paramètres!$A$1:$I$89,3,0)*VLOOKUP('Données projet'!$B$13,Paramètres!$A$1:$I$89,5,0)</f>
        <v>257.59655999999995</v>
      </c>
      <c r="CV96" s="13">
        <f t="shared" si="95"/>
        <v>62.209785093982717</v>
      </c>
      <c r="CW96" s="20">
        <f t="shared" si="67"/>
        <v>556.99605103868646</v>
      </c>
      <c r="CX96" s="59">
        <f t="shared" si="68"/>
        <v>850.32938437201983</v>
      </c>
      <c r="CY96" s="59">
        <f ca="1">AVERAGE(OFFSET($CX$3,0,0,'Données projet'!$E$13+1,1))-AVERAGE(OFFSET($H$3,0,0,'Données projet'!$E$13+1,1))</f>
        <v>389.89050053480827</v>
      </c>
      <c r="CZ96" s="59">
        <f t="shared" si="96"/>
        <v>216.40816051909616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9.0844105174684877</v>
      </c>
      <c r="DG96" s="21">
        <f>EXP(-LN(2)/25)*DG95+(1-EXP(-LN(2)/25))/(LN(2)/25)*Calculateur!DB96*Calculateur!DD96*VLOOKUP('Données projet'!$B$13,Paramètres!$A$1:$I$89,3,0)*0.475*44/12</f>
        <v>1.3529298703411707</v>
      </c>
      <c r="DH96" s="21">
        <f>EXP(-LN(2)/2)*DH95+(1-EXP(-LN(2)/2))/(LN(2)/2)*DB96*DE96*VLOOKUP('Données projet'!$B$13,Paramètres!$A$1:$I$89,3,0)*0.475*44/12</f>
        <v>0.27688397411793353</v>
      </c>
      <c r="DI96" s="22">
        <f t="shared" si="69"/>
        <v>10.714224361927592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273.99999999999983</v>
      </c>
      <c r="O97" s="13">
        <f>N97*VLOOKUP('Données projet'!$B$9,Paramètres!$A$1:$I$89,3,0)*VLOOKUP('Données projet'!$B$9,Paramètres!$A$1:$I$89,5,0)</f>
        <v>247.91519999999986</v>
      </c>
      <c r="P97" s="13">
        <f t="shared" si="87"/>
        <v>60.139294964297406</v>
      </c>
      <c r="Q97" s="20">
        <f t="shared" si="54"/>
        <v>536.52824539615096</v>
      </c>
      <c r="R97" s="59">
        <f t="shared" si="55"/>
        <v>829.86157872948434</v>
      </c>
      <c r="S97" s="59">
        <f ca="1">AVERAGE(OFFSET($R$3,0,0,'Données projet'!$E$9+1,1))-AVERAGE(OFFSET($H$3,0,0,'Données projet'!$E$9+1,1))</f>
        <v>371.7282125501186</v>
      </c>
      <c r="T97" s="59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45.424530618122347</v>
      </c>
      <c r="AA97" s="21">
        <f>EXP(-LN(2)/25)*AA96+(1-EXP(-LN(2)/25))/(LN(2)/25)*Calculateur!V97*Calculateur!X97*VLOOKUP('Données projet'!$B$9,Paramètres!$A$1:$I$89,3,0)*0.475*44/12</f>
        <v>2.1673178419222277</v>
      </c>
      <c r="AB97" s="21">
        <f>EXP(-LN(2)/2)*AB96+(1-EXP(-LN(2)/2))/(LN(2)/2)*V97*Y97*VLOOKUP('Données projet'!$B$9,Paramètres!$A$1:$I$89,3,0)*0.475*44/12</f>
        <v>0.32666288595395299</v>
      </c>
      <c r="AC97" s="22">
        <f t="shared" si="57"/>
        <v>47.918511345998525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1.7053025658242404E-13</v>
      </c>
      <c r="AJ97" s="13">
        <f>AI97*VLOOKUP('Données projet'!$B$10,Paramètres!$A$1:$I$89,3,0)*VLOOKUP('Données projet'!$B$10,Paramètres!$A$1:$I$89,5,0)</f>
        <v>7.9808160080574461E-14</v>
      </c>
      <c r="AK97" s="13">
        <f t="shared" si="89"/>
        <v>1.2308384591775343E-12</v>
      </c>
      <c r="AL97" s="20">
        <f t="shared" si="58"/>
        <v>2.282709528541206E-12</v>
      </c>
      <c r="AM97" s="59">
        <f t="shared" si="59"/>
        <v>293.33333333333559</v>
      </c>
      <c r="AN97" s="59">
        <f ca="1">AVERAGE(OFFSET($AM$3,0,0,'Données projet'!$E$10+1,1))-AVERAGE(OFFSET($H$3,0,0,'Données projet'!$E$10+1,1))</f>
        <v>218.32525311070435</v>
      </c>
      <c r="AO97" s="59">
        <f t="shared" si="90"/>
        <v>275.36315264099204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44.474622451545301</v>
      </c>
      <c r="AV97" s="21">
        <f>EXP(-LN(2)/25)*AV96+(1-EXP(-LN(2)/25))/(LN(2)/25)*Calculateur!AQ97*Calculateur!AS97*VLOOKUP('Données projet'!$B$10,Paramètres!$A$1:$I$89,3,0)*0.475*44/12</f>
        <v>14.664945677646624</v>
      </c>
      <c r="AW97" s="21">
        <f>EXP(-LN(2)/2)*AW96+(1-EXP(-LN(2)/2))/(LN(2)/2)*AQ97*AT97*VLOOKUP('Données projet'!$B$10,Paramètres!$A$1:$I$89,3,0)*0.475*44/12</f>
        <v>4.9788693099495508E-4</v>
      </c>
      <c r="AX97" s="21">
        <f t="shared" si="60"/>
        <v>59.140066016122923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343</v>
      </c>
      <c r="BE97" s="13">
        <f>BD97*VLOOKUP('Données projet'!$B$11,Paramètres!$A$1:$I$89,3,0)*VLOOKUP('Données projet'!$B$11,Paramètres!$A$1:$I$89,5,0)</f>
        <v>326.39879999999999</v>
      </c>
      <c r="BF97" s="13">
        <f t="shared" si="91"/>
        <v>76.683210401884097</v>
      </c>
      <c r="BG97" s="20">
        <f t="shared" si="61"/>
        <v>702.03450144994804</v>
      </c>
      <c r="BH97" s="59">
        <f t="shared" si="62"/>
        <v>995.3678347832813</v>
      </c>
      <c r="BI97" s="59">
        <f ca="1">AVERAGE(OFFSET($BH$3,0,0,'Données projet'!$E$11+1,1))-AVERAGE(OFFSET($H$3,0,0,'Données projet'!$E$11+1,1))</f>
        <v>446.62872871405051</v>
      </c>
      <c r="BJ97" s="59">
        <f t="shared" si="92"/>
        <v>471.28934889691658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36.993013302256337</v>
      </c>
      <c r="BQ97" s="21">
        <f>EXP(-LN(2)/25)*BQ96+(1-EXP(-LN(2)/25))/(LN(2)/25)*Calculateur!BL97*Calculateur!BN97*VLOOKUP('Données projet'!$B$11,Paramètres!$A$1:$I$89,3,0)*0.475*44/12</f>
        <v>1.7282235229860461</v>
      </c>
      <c r="BR97" s="21">
        <f>EXP(-LN(2)/2)*BR96+(1-EXP(-LN(2)/2))/(LN(2)/2)*BL97*BO97*VLOOKUP('Données projet'!$B$11,Paramètres!$A$1:$I$89,3,0)*0.475*44/12</f>
        <v>4.1831822330554445E-4</v>
      </c>
      <c r="BS97" s="22">
        <f t="shared" si="63"/>
        <v>38.721655143465689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991.00000000000011</v>
      </c>
      <c r="BZ97" s="13">
        <f>BY97*VLOOKUP('Données projet'!$B$12,Paramètres!$A$1:$I$89,3,0)*VLOOKUP('Données projet'!$B$12,Paramètres!$A$1:$I$89,5,0)</f>
        <v>438.02200000000011</v>
      </c>
      <c r="CA97" s="13">
        <f t="shared" si="93"/>
        <v>99.443834741543355</v>
      </c>
      <c r="CB97" s="20">
        <f t="shared" si="64"/>
        <v>936.08632884152132</v>
      </c>
      <c r="CC97" s="59">
        <f t="shared" si="65"/>
        <v>1229.4196621748547</v>
      </c>
      <c r="CD97" s="59">
        <f ca="1">AVERAGE(OFFSET($CC$3,0,0,'Données projet'!$E$12+1,1))-AVERAGE(OFFSET($H$3,0,0,'Données projet'!$E$12+1,1))</f>
        <v>534.99316143569899</v>
      </c>
      <c r="CE97" s="59">
        <f t="shared" si="94"/>
        <v>449.56965858934262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53.138703051985964</v>
      </c>
      <c r="CL97" s="21">
        <f>EXP(-LN(2)/25)*CL96+(1-EXP(-LN(2)/25))/(LN(2)/25)*Calculateur!CG97*Calculateur!CI97*VLOOKUP('Données projet'!$B$12,Paramètres!$A$1:$I$89,3,0)*0.475*44/12</f>
        <v>21.734125232012932</v>
      </c>
      <c r="CM97" s="21">
        <f>EXP(-LN(2)/2)*CM96+(1-EXP(-LN(2)/2))/(LN(2)/2)*CG97*CJ97*VLOOKUP('Données projet'!$B$12,Paramètres!$A$1:$I$89,3,0)*0.475*44/12</f>
        <v>2.1298877732295371E-2</v>
      </c>
      <c r="CN97" s="22">
        <f t="shared" si="66"/>
        <v>74.894127161731191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3.4</v>
      </c>
      <c r="CT97" s="12">
        <f>IF('Données projet'!$A$140&gt;35,CT96+CS97-DB96,IF(A97&lt;'Données projet'!$A$140,$CQ$205^A97,IF(A97='Données projet'!$A$140,'Données projet'!$B$140,CT96+CS97-DB96)))</f>
        <v>229.59999999999994</v>
      </c>
      <c r="CU97" s="17">
        <f>CT97*VLOOKUP('Données projet'!$B$13,Paramètres!$A$1:$I$89,3,0)*VLOOKUP('Données projet'!$B$13,Paramètres!$A$1:$I$89,5,0)</f>
        <v>261.46847999999994</v>
      </c>
      <c r="CV97" s="13">
        <f t="shared" si="95"/>
        <v>63.03529587103565</v>
      </c>
      <c r="CW97" s="20">
        <f t="shared" si="67"/>
        <v>565.17740964205359</v>
      </c>
      <c r="CX97" s="59">
        <f t="shared" si="68"/>
        <v>858.51074297538685</v>
      </c>
      <c r="CY97" s="59">
        <f ca="1">AVERAGE(OFFSET($CX$3,0,0,'Données projet'!$E$13+1,1))-AVERAGE(OFFSET($H$3,0,0,'Données projet'!$E$13+1,1))</f>
        <v>389.89050053480827</v>
      </c>
      <c r="CZ97" s="59">
        <f t="shared" si="96"/>
        <v>216.40816051909616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8.906270768164223</v>
      </c>
      <c r="DG97" s="21">
        <f>EXP(-LN(2)/25)*DG96+(1-EXP(-LN(2)/25))/(LN(2)/25)*Calculateur!DB97*Calculateur!DD97*VLOOKUP('Données projet'!$B$13,Paramètres!$A$1:$I$89,3,0)*0.475*44/12</f>
        <v>1.3159339318892016</v>
      </c>
      <c r="DH97" s="21">
        <f>EXP(-LN(2)/2)*DH96+(1-EXP(-LN(2)/2))/(LN(2)/2)*DB97*DE97*VLOOKUP('Données projet'!$B$13,Paramètres!$A$1:$I$89,3,0)*0.475*44/12</f>
        <v>0.19578653570067134</v>
      </c>
      <c r="DI97" s="22">
        <f t="shared" si="69"/>
        <v>10.417991235754096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252.43919999999983</v>
      </c>
      <c r="P98" s="13">
        <f t="shared" si="87"/>
        <v>61.107963296116218</v>
      </c>
      <c r="Q98" s="20">
        <f t="shared" si="54"/>
        <v>546.09464274073537</v>
      </c>
      <c r="R98" s="59">
        <f t="shared" si="55"/>
        <v>839.42797607406874</v>
      </c>
      <c r="S98" s="59">
        <f ca="1">AVERAGE(OFFSET($R$3,0,0,'Données projet'!$E$9+1,1))-AVERAGE(OFFSET($H$3,0,0,'Données projet'!$E$9+1,1))</f>
        <v>371.7282125501186</v>
      </c>
      <c r="T98" s="59">
        <f t="shared" si="88"/>
        <v>231.36959598460686</v>
      </c>
      <c r="U98" s="15">
        <f>IF(ISNA(VLOOKUP(A98,'Données projet'!$A$35:$I$55,3,0)),0,VLOOKUP(A98,'Données projet'!$A$35:$I$55,3,0))</f>
        <v>15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0.34400000000000003</v>
      </c>
      <c r="X98" s="16">
        <f>IF(ISNA(VLOOKUP(A98,'Données projet'!$A$35:$I$55,6,0)),0%,VLOOKUP(A98,'Données projet'!$A$35:$I$55,6,0)*VLOOKUP('Données projet'!$B$9,Paramètres!$A$1:$I$89,7,0))</f>
        <v>1.72E-2</v>
      </c>
      <c r="Y98" s="16">
        <f>IF(ISNA(VLOOKUP(A98,'Données projet'!$A$35:$I$55,7,0)),0%,VLOOKUP(A98,'Données projet'!$A$35:$I$55,7,0))</f>
        <v>0.06</v>
      </c>
      <c r="Z98" s="21">
        <f>EXP(-LN(2)/35)*Z97+(1-EXP(-LN(2)/35))/(LN(2)/35)*V98*W98*VLOOKUP('Données projet'!$B$9,Paramètres!$A$1:$I$89,3,0)*0.475*44/12</f>
        <v>51.759441905004692</v>
      </c>
      <c r="AA98" s="21">
        <f>EXP(-LN(2)/25)*AA97+(1-EXP(-LN(2)/25))/(LN(2)/25)*Calculateur!V98*Calculateur!X98*VLOOKUP('Données projet'!$B$9,Paramètres!$A$1:$I$89,3,0)*0.475*44/12</f>
        <v>2.4679128443042306</v>
      </c>
      <c r="AB98" s="21">
        <f>EXP(-LN(2)/2)*AB97+(1-EXP(-LN(2)/2))/(LN(2)/2)*V98*Y98*VLOOKUP('Données projet'!$B$9,Paramètres!$A$1:$I$89,3,0)*0.475*44/12</f>
        <v>1.3066515137620514</v>
      </c>
      <c r="AC98" s="22">
        <f t="shared" si="57"/>
        <v>55.534006263070971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1.7053025658242404E-13</v>
      </c>
      <c r="AJ98" s="13">
        <f>AI98*VLOOKUP('Données projet'!$B$10,Paramètres!$A$1:$I$89,3,0)*VLOOKUP('Données projet'!$B$10,Paramètres!$A$1:$I$89,5,0)</f>
        <v>7.9808160080574461E-14</v>
      </c>
      <c r="AK98" s="13">
        <f t="shared" si="89"/>
        <v>1.2308384591775343E-12</v>
      </c>
      <c r="AL98" s="20">
        <f t="shared" si="58"/>
        <v>2.282709528541206E-12</v>
      </c>
      <c r="AM98" s="59">
        <f t="shared" si="59"/>
        <v>293.33333333333559</v>
      </c>
      <c r="AN98" s="59">
        <f ca="1">AVERAGE(OFFSET($AM$3,0,0,'Données projet'!$E$10+1,1))-AVERAGE(OFFSET($H$3,0,0,'Données projet'!$E$10+1,1))</f>
        <v>218.32525311070435</v>
      </c>
      <c r="AO98" s="59">
        <f t="shared" si="90"/>
        <v>275.36315264099204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43.60250223211164</v>
      </c>
      <c r="AV98" s="21">
        <f>EXP(-LN(2)/25)*AV97+(1-EXP(-LN(2)/25))/(LN(2)/25)*Calculateur!AQ98*Calculateur!AS98*VLOOKUP('Données projet'!$B$10,Paramètres!$A$1:$I$89,3,0)*0.475*44/12</f>
        <v>14.263931966895402</v>
      </c>
      <c r="AW98" s="21">
        <f>EXP(-LN(2)/2)*AW97+(1-EXP(-LN(2)/2))/(LN(2)/2)*AQ98*AT98*VLOOKUP('Données projet'!$B$10,Paramètres!$A$1:$I$89,3,0)*0.475*44/12</f>
        <v>3.5205922517069139E-4</v>
      </c>
      <c r="AX98" s="21">
        <f t="shared" si="60"/>
        <v>57.866786258232217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343</v>
      </c>
      <c r="BE98" s="13">
        <f>BD98*VLOOKUP('Données projet'!$B$11,Paramètres!$A$1:$I$89,3,0)*VLOOKUP('Données projet'!$B$11,Paramètres!$A$1:$I$89,5,0)</f>
        <v>326.39879999999999</v>
      </c>
      <c r="BF98" s="13">
        <f t="shared" si="91"/>
        <v>76.683210401884097</v>
      </c>
      <c r="BG98" s="20">
        <f t="shared" si="61"/>
        <v>702.03450144994804</v>
      </c>
      <c r="BH98" s="59">
        <f t="shared" si="62"/>
        <v>995.3678347832813</v>
      </c>
      <c r="BI98" s="59">
        <f ca="1">AVERAGE(OFFSET($BH$3,0,0,'Données projet'!$E$11+1,1))-AVERAGE(OFFSET($H$3,0,0,'Données projet'!$E$11+1,1))</f>
        <v>446.62872871405051</v>
      </c>
      <c r="BJ98" s="59">
        <f t="shared" si="92"/>
        <v>471.28934889691658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36.267602874909244</v>
      </c>
      <c r="BQ98" s="21">
        <f>EXP(-LN(2)/25)*BQ97+(1-EXP(-LN(2)/25))/(LN(2)/25)*Calculateur!BL98*Calculateur!BN98*VLOOKUP('Données projet'!$B$11,Paramètres!$A$1:$I$89,3,0)*0.475*44/12</f>
        <v>1.6809651598666675</v>
      </c>
      <c r="BR98" s="21">
        <f>EXP(-LN(2)/2)*BR97+(1-EXP(-LN(2)/2))/(LN(2)/2)*BL98*BO98*VLOOKUP('Données projet'!$B$11,Paramètres!$A$1:$I$89,3,0)*0.475*44/12</f>
        <v>2.9579565239325895E-4</v>
      </c>
      <c r="BS98" s="22">
        <f t="shared" si="63"/>
        <v>37.948863830428301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991.00000000000011</v>
      </c>
      <c r="BZ98" s="13">
        <f>BY98*VLOOKUP('Données projet'!$B$12,Paramètres!$A$1:$I$89,3,0)*VLOOKUP('Données projet'!$B$12,Paramètres!$A$1:$I$89,5,0)</f>
        <v>438.02200000000011</v>
      </c>
      <c r="CA98" s="13">
        <f t="shared" si="93"/>
        <v>99.443834741543355</v>
      </c>
      <c r="CB98" s="20">
        <f t="shared" si="64"/>
        <v>936.08632884152132</v>
      </c>
      <c r="CC98" s="59">
        <f t="shared" si="65"/>
        <v>1229.4196621748547</v>
      </c>
      <c r="CD98" s="59">
        <f ca="1">AVERAGE(OFFSET($CC$3,0,0,'Données projet'!$E$12+1,1))-AVERAGE(OFFSET($H$3,0,0,'Données projet'!$E$12+1,1))</f>
        <v>534.99316143569899</v>
      </c>
      <c r="CE98" s="59">
        <f t="shared" si="94"/>
        <v>449.56965858934262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52.096685496545021</v>
      </c>
      <c r="CL98" s="21">
        <f>EXP(-LN(2)/25)*CL97+(1-EXP(-LN(2)/25))/(LN(2)/25)*Calculateur!CG98*Calculateur!CI98*VLOOKUP('Données projet'!$B$12,Paramètres!$A$1:$I$89,3,0)*0.475*44/12</f>
        <v>21.139804434595568</v>
      </c>
      <c r="CM98" s="21">
        <f>EXP(-LN(2)/2)*CM97+(1-EXP(-LN(2)/2))/(LN(2)/2)*CG98*CJ98*VLOOKUP('Données projet'!$B$12,Paramètres!$A$1:$I$89,3,0)*0.475*44/12</f>
        <v>1.5060580876169214E-2</v>
      </c>
      <c r="CN98" s="22">
        <f t="shared" si="66"/>
        <v>73.251550512016763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233</v>
      </c>
      <c r="CR98" s="12">
        <f>VLOOKUP(A98,'Données projet'!$A$139:$I$159,9,0)</f>
        <v>3.4</v>
      </c>
      <c r="CS98" s="12">
        <f t="array" ref="CS98">INDEX(CR:CR,MIN(IF(ISNUMBER(CR98:CR294),ROW(CR98:CR294),"")))</f>
        <v>3.4</v>
      </c>
      <c r="CT98" s="12">
        <f>IF('Données projet'!$A$140&gt;35,CT97+CS98-DB97,IF(A98&lt;'Données projet'!$A$140,$CQ$205^A98,IF(A98='Données projet'!$A$140,'Données projet'!$B$140,CT97+CS98-DB97)))</f>
        <v>232.99999999999994</v>
      </c>
      <c r="CU98" s="17">
        <f>CT98*VLOOKUP('Données projet'!$B$13,Paramètres!$A$1:$I$89,3,0)*VLOOKUP('Données projet'!$B$13,Paramètres!$A$1:$I$89,5,0)</f>
        <v>265.34039999999993</v>
      </c>
      <c r="CV98" s="13">
        <f t="shared" si="95"/>
        <v>63.85938489132635</v>
      </c>
      <c r="CW98" s="20">
        <f t="shared" si="67"/>
        <v>573.35629201905988</v>
      </c>
      <c r="CX98" s="59">
        <f t="shared" si="68"/>
        <v>866.68962535239325</v>
      </c>
      <c r="CY98" s="59">
        <f ca="1">AVERAGE(OFFSET($CX$3,0,0,'Données projet'!$E$13+1,1))-AVERAGE(OFFSET($H$3,0,0,'Données projet'!$E$13+1,1))</f>
        <v>389.89050053480827</v>
      </c>
      <c r="CZ98" s="59">
        <f t="shared" si="96"/>
        <v>216.40816051909616</v>
      </c>
      <c r="DA98" s="15">
        <f>IF(ISNA(VLOOKUP(A98,'Données projet'!$A$139:$I$159,3,0)),0,VLOOKUP(A98,'Données projet'!$A$139:$I$159,3,0))</f>
        <v>15</v>
      </c>
      <c r="DB98" s="15">
        <f>IF(ISNA(VLOOKUP(A98,'Données projet'!$A$139:$I$159,4,0)),0,VLOOKUP(A98,'Données projet'!$A$139:$I$159,4,0))</f>
        <v>9</v>
      </c>
      <c r="DC98" s="16">
        <f>IF(ISNA(VLOOKUP(A98,'Données projet'!$A$139:$I$159,5,0)),0%,VLOOKUP(A98,'Données projet'!$A$139:$I$159,5,0)*VLOOKUP('Données projet'!$B$13,Paramètres!$A$1:$I$89,7,0))</f>
        <v>0.129</v>
      </c>
      <c r="DD98" s="16">
        <f>IF(ISNA(VLOOKUP(A98,'Données projet'!$A$139:$I$159,6,0)),0%,VLOOKUP(A98,'Données projet'!$A$139:$I$159,6,0)*VLOOKUP('Données projet'!$B$13,Paramètres!$A$1:$I$89,7,0))</f>
        <v>1.72E-2</v>
      </c>
      <c r="DE98" s="16">
        <f>IF(ISNA(VLOOKUP(A98,'Données projet'!$A$139:$I$159,7,0)),0%,VLOOKUP(A98,'Données projet'!$A$139:$I$159,7,0))</f>
        <v>0.06</v>
      </c>
      <c r="DF98" s="21">
        <f>EXP(-LN(2)/35)*DF97+(1-EXP(-LN(2)/35))/(LN(2)/35)*DB98*DC98*VLOOKUP('Données projet'!$B$13,Paramètres!$A$1:$I$89,3,0)*0.475*44/12</f>
        <v>10.193218355483573</v>
      </c>
      <c r="DG98" s="21">
        <f>EXP(-LN(2)/25)*DG97+(1-EXP(-LN(2)/25))/(LN(2)/25)*Calculateur!DB98*Calculateur!DD98*VLOOKUP('Données projet'!$B$13,Paramètres!$A$1:$I$89,3,0)*0.475*44/12</f>
        <v>1.4740615522282585</v>
      </c>
      <c r="DH98" s="21">
        <f>EXP(-LN(2)/2)*DH97+(1-EXP(-LN(2)/2))/(LN(2)/2)*DB98*DE98*VLOOKUP('Données projet'!$B$13,Paramètres!$A$1:$I$89,3,0)*0.475*44/12</f>
        <v>0.71866575024937951</v>
      </c>
      <c r="DI98" s="22">
        <f t="shared" si="69"/>
        <v>12.38594565796121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237.78143999999983</v>
      </c>
      <c r="P99" s="13">
        <f t="shared" si="87"/>
        <v>57.9619387969109</v>
      </c>
      <c r="Q99" s="20">
        <f t="shared" ref="Q99:Q130" si="107">(O99+P99)*0.475*44/12</f>
        <v>515.08638473795281</v>
      </c>
      <c r="R99" s="59">
        <f t="shared" si="55"/>
        <v>808.41971807128607</v>
      </c>
      <c r="S99" s="59">
        <f ca="1">AVERAGE(OFFSET($R$3,0,0,'Données projet'!$E$9+1,1))-AVERAGE(OFFSET($H$3,0,0,'Données projet'!$E$9+1,1))</f>
        <v>371.7282125501186</v>
      </c>
      <c r="T99" s="59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50.744470819389818</v>
      </c>
      <c r="AA99" s="21">
        <f>EXP(-LN(2)/25)*AA98+(1-EXP(-LN(2)/25))/(LN(2)/25)*Calculateur!V99*Calculateur!X99*VLOOKUP('Données projet'!$B$9,Paramètres!$A$1:$I$89,3,0)*0.475*44/12</f>
        <v>2.4004276377948353</v>
      </c>
      <c r="AB99" s="21">
        <f>EXP(-LN(2)/2)*AB98+(1-EXP(-LN(2)/2))/(LN(2)/2)*V99*Y99*VLOOKUP('Données projet'!$B$9,Paramètres!$A$1:$I$89,3,0)*0.475*44/12</f>
        <v>0.92394214602881397</v>
      </c>
      <c r="AC99" s="22">
        <f t="shared" si="57"/>
        <v>54.068840603213467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1.7053025658242404E-13</v>
      </c>
      <c r="AJ99" s="13">
        <f>AI99*VLOOKUP('Données projet'!$B$10,Paramètres!$A$1:$I$89,3,0)*VLOOKUP('Données projet'!$B$10,Paramètres!$A$1:$I$89,5,0)</f>
        <v>7.9808160080574461E-14</v>
      </c>
      <c r="AK99" s="13">
        <f t="shared" si="89"/>
        <v>1.2308384591775343E-12</v>
      </c>
      <c r="AL99" s="20">
        <f t="shared" si="58"/>
        <v>2.282709528541206E-12</v>
      </c>
      <c r="AM99" s="59">
        <f t="shared" si="59"/>
        <v>293.33333333333559</v>
      </c>
      <c r="AN99" s="59">
        <f ca="1">AVERAGE(OFFSET($AM$3,0,0,'Données projet'!$E$10+1,1))-AVERAGE(OFFSET($H$3,0,0,'Données projet'!$E$10+1,1))</f>
        <v>218.32525311070435</v>
      </c>
      <c r="AO99" s="59">
        <f t="shared" si="90"/>
        <v>275.36315264099204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42.747483758240264</v>
      </c>
      <c r="AV99" s="21">
        <f>EXP(-LN(2)/25)*AV98+(1-EXP(-LN(2)/25))/(LN(2)/25)*Calculateur!AQ99*Calculateur!AS99*VLOOKUP('Données projet'!$B$10,Paramètres!$A$1:$I$89,3,0)*0.475*44/12</f>
        <v>13.873883997153065</v>
      </c>
      <c r="AW99" s="21">
        <f>EXP(-LN(2)/2)*AW98+(1-EXP(-LN(2)/2))/(LN(2)/2)*AQ99*AT99*VLOOKUP('Données projet'!$B$10,Paramètres!$A$1:$I$89,3,0)*0.475*44/12</f>
        <v>2.4894346549747754E-4</v>
      </c>
      <c r="AX99" s="21">
        <f t="shared" si="60"/>
        <v>56.62161669885883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343</v>
      </c>
      <c r="BE99" s="13">
        <f>BD99*VLOOKUP('Données projet'!$B$11,Paramètres!$A$1:$I$89,3,0)*VLOOKUP('Données projet'!$B$11,Paramètres!$A$1:$I$89,5,0)</f>
        <v>326.39879999999999</v>
      </c>
      <c r="BF99" s="13">
        <f t="shared" si="91"/>
        <v>76.683210401884097</v>
      </c>
      <c r="BG99" s="20">
        <f t="shared" si="61"/>
        <v>702.03450144994804</v>
      </c>
      <c r="BH99" s="59">
        <f t="shared" si="62"/>
        <v>995.3678347832813</v>
      </c>
      <c r="BI99" s="59">
        <f ca="1">AVERAGE(OFFSET($BH$3,0,0,'Données projet'!$E$11+1,1))-AVERAGE(OFFSET($H$3,0,0,'Données projet'!$E$11+1,1))</f>
        <v>446.62872871405051</v>
      </c>
      <c r="BJ99" s="59">
        <f t="shared" si="92"/>
        <v>471.28934889691658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35.556417303585754</v>
      </c>
      <c r="BQ99" s="21">
        <f>EXP(-LN(2)/25)*BQ98+(1-EXP(-LN(2)/25))/(LN(2)/25)*Calculateur!BL99*Calculateur!BN99*VLOOKUP('Données projet'!$B$11,Paramètres!$A$1:$I$89,3,0)*0.475*44/12</f>
        <v>1.6349990791719977</v>
      </c>
      <c r="BR99" s="21">
        <f>EXP(-LN(2)/2)*BR98+(1-EXP(-LN(2)/2))/(LN(2)/2)*BL99*BO99*VLOOKUP('Données projet'!$B$11,Paramètres!$A$1:$I$89,3,0)*0.475*44/12</f>
        <v>2.0915911165277223E-4</v>
      </c>
      <c r="BS99" s="22">
        <f t="shared" si="63"/>
        <v>37.191625541869406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991.00000000000011</v>
      </c>
      <c r="BZ99" s="13">
        <f>BY99*VLOOKUP('Données projet'!$B$12,Paramètres!$A$1:$I$89,3,0)*VLOOKUP('Données projet'!$B$12,Paramètres!$A$1:$I$89,5,0)</f>
        <v>438.02200000000011</v>
      </c>
      <c r="CA99" s="13">
        <f t="shared" si="93"/>
        <v>99.443834741543355</v>
      </c>
      <c r="CB99" s="20">
        <f t="shared" si="64"/>
        <v>936.08632884152132</v>
      </c>
      <c r="CC99" s="59">
        <f t="shared" si="65"/>
        <v>1229.4196621748547</v>
      </c>
      <c r="CD99" s="59">
        <f ca="1">AVERAGE(OFFSET($CC$3,0,0,'Données projet'!$E$12+1,1))-AVERAGE(OFFSET($H$3,0,0,'Données projet'!$E$12+1,1))</f>
        <v>534.99316143569899</v>
      </c>
      <c r="CE99" s="59">
        <f t="shared" si="94"/>
        <v>449.56965858934262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51.075101269798324</v>
      </c>
      <c r="CL99" s="21">
        <f>EXP(-LN(2)/25)*CL98+(1-EXP(-LN(2)/25))/(LN(2)/25)*Calculateur!CG99*Calculateur!CI99*VLOOKUP('Données projet'!$B$12,Paramètres!$A$1:$I$89,3,0)*0.475*44/12</f>
        <v>20.561735370637553</v>
      </c>
      <c r="CM99" s="21">
        <f>EXP(-LN(2)/2)*CM98+(1-EXP(-LN(2)/2))/(LN(2)/2)*CG99*CJ99*VLOOKUP('Données projet'!$B$12,Paramètres!$A$1:$I$89,3,0)*0.475*44/12</f>
        <v>1.0649438866147687E-2</v>
      </c>
      <c r="CN99" s="22">
        <f t="shared" si="66"/>
        <v>71.647486079302027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</v>
      </c>
      <c r="CT99" s="12">
        <f>IF('Données projet'!$A$140&gt;35,CT98+CS99-DB98,IF(A99&lt;'Données projet'!$A$140,$CQ$205^A99,IF(A99='Données projet'!$A$140,'Données projet'!$B$140,CT98+CS99-DB98)))</f>
        <v>226.99999999999994</v>
      </c>
      <c r="CU99" s="17">
        <f>CT99*VLOOKUP('Données projet'!$B$13,Paramètres!$A$1:$I$89,3,0)*VLOOKUP('Données projet'!$B$13,Paramètres!$A$1:$I$89,5,0)</f>
        <v>258.50759999999991</v>
      </c>
      <c r="CV99" s="13">
        <f t="shared" si="95"/>
        <v>62.404152084213507</v>
      </c>
      <c r="CW99" s="20">
        <f t="shared" si="67"/>
        <v>558.92130154667154</v>
      </c>
      <c r="CX99" s="59">
        <f t="shared" si="68"/>
        <v>852.25463488000491</v>
      </c>
      <c r="CY99" s="59">
        <f ca="1">AVERAGE(OFFSET($CX$3,0,0,'Données projet'!$E$13+1,1))-AVERAGE(OFFSET($H$3,0,0,'Données projet'!$E$13+1,1))</f>
        <v>389.89050053480827</v>
      </c>
      <c r="CZ99" s="59">
        <f t="shared" si="96"/>
        <v>216.40816051909616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9.9933355607818353</v>
      </c>
      <c r="DG99" s="21">
        <f>EXP(-LN(2)/25)*DG98+(1-EXP(-LN(2)/25))/(LN(2)/25)*Calculateur!DB99*Calculateur!DD99*VLOOKUP('Données projet'!$B$13,Paramètres!$A$1:$I$89,3,0)*0.475*44/12</f>
        <v>1.4337532615650488</v>
      </c>
      <c r="DH99" s="21">
        <f>EXP(-LN(2)/2)*DH98+(1-EXP(-LN(2)/2))/(LN(2)/2)*DB99*DE99*VLOOKUP('Données projet'!$B$13,Paramètres!$A$1:$I$89,3,0)*0.475*44/12</f>
        <v>0.50817342540785404</v>
      </c>
      <c r="DI99" s="22">
        <f t="shared" si="69"/>
        <v>11.935262247754737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242.12447999999986</v>
      </c>
      <c r="P100" s="13">
        <f t="shared" si="87"/>
        <v>58.896387987806008</v>
      </c>
      <c r="Q100" s="20">
        <f t="shared" si="107"/>
        <v>524.27801174542856</v>
      </c>
      <c r="R100" s="59">
        <f t="shared" si="55"/>
        <v>817.61134507876181</v>
      </c>
      <c r="S100" s="59">
        <f ca="1">AVERAGE(OFFSET($R$3,0,0,'Données projet'!$E$9+1,1))-AVERAGE(OFFSET($H$3,0,0,'Données projet'!$E$9+1,1))</f>
        <v>371.7282125501186</v>
      </c>
      <c r="T100" s="59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49.749402697692616</v>
      </c>
      <c r="AA100" s="21">
        <f>EXP(-LN(2)/25)*AA99+(1-EXP(-LN(2)/25))/(LN(2)/25)*Calculateur!V100*Calculateur!X100*VLOOKUP('Données projet'!$B$9,Paramètres!$A$1:$I$89,3,0)*0.475*44/12</f>
        <v>2.3347878178063324</v>
      </c>
      <c r="AB100" s="21">
        <f>EXP(-LN(2)/2)*AB99+(1-EXP(-LN(2)/2))/(LN(2)/2)*V100*Y100*VLOOKUP('Données projet'!$B$9,Paramètres!$A$1:$I$89,3,0)*0.475*44/12</f>
        <v>0.65332575688102579</v>
      </c>
      <c r="AC100" s="22">
        <f t="shared" si="57"/>
        <v>52.73751627237997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1.7053025658242404E-13</v>
      </c>
      <c r="AJ100" s="13">
        <f>AI100*VLOOKUP('Données projet'!$B$10,Paramètres!$A$1:$I$89,3,0)*VLOOKUP('Données projet'!$B$10,Paramètres!$A$1:$I$89,5,0)</f>
        <v>7.9808160080574461E-14</v>
      </c>
      <c r="AK100" s="13">
        <f t="shared" si="89"/>
        <v>1.2308384591775343E-12</v>
      </c>
      <c r="AL100" s="20">
        <f t="shared" si="58"/>
        <v>2.282709528541206E-12</v>
      </c>
      <c r="AM100" s="59">
        <f t="shared" si="59"/>
        <v>293.33333333333559</v>
      </c>
      <c r="AN100" s="59">
        <f ca="1">AVERAGE(OFFSET($AM$3,0,0,'Données projet'!$E$10+1,1))-AVERAGE(OFFSET($H$3,0,0,'Données projet'!$E$10+1,1))</f>
        <v>218.32525311070435</v>
      </c>
      <c r="AO100" s="59">
        <f t="shared" si="90"/>
        <v>275.36315264099204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41.909231675131728</v>
      </c>
      <c r="AV100" s="21">
        <f>EXP(-LN(2)/25)*AV99+(1-EXP(-LN(2)/25))/(LN(2)/25)*Calculateur!AQ100*Calculateur!AS100*VLOOKUP('Données projet'!$B$10,Paramètres!$A$1:$I$89,3,0)*0.475*44/12</f>
        <v>13.494501909655064</v>
      </c>
      <c r="AW100" s="21">
        <f>EXP(-LN(2)/2)*AW99+(1-EXP(-LN(2)/2))/(LN(2)/2)*AQ100*AT100*VLOOKUP('Données projet'!$B$10,Paramètres!$A$1:$I$89,3,0)*0.475*44/12</f>
        <v>1.7602961258534569E-4</v>
      </c>
      <c r="AX100" s="21">
        <f t="shared" si="60"/>
        <v>55.403909614399375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343</v>
      </c>
      <c r="BE100" s="13">
        <f>BD100*VLOOKUP('Données projet'!$B$11,Paramètres!$A$1:$I$89,3,0)*VLOOKUP('Données projet'!$B$11,Paramètres!$A$1:$I$89,5,0)</f>
        <v>326.39879999999999</v>
      </c>
      <c r="BF100" s="13">
        <f t="shared" si="91"/>
        <v>76.683210401884097</v>
      </c>
      <c r="BG100" s="20">
        <f t="shared" si="61"/>
        <v>702.03450144994804</v>
      </c>
      <c r="BH100" s="59">
        <f t="shared" si="62"/>
        <v>995.3678347832813</v>
      </c>
      <c r="BI100" s="59">
        <f ca="1">AVERAGE(OFFSET($BH$3,0,0,'Données projet'!$E$11+1,1))-AVERAGE(OFFSET($H$3,0,0,'Données projet'!$E$11+1,1))</f>
        <v>446.62872871405051</v>
      </c>
      <c r="BJ100" s="59">
        <f t="shared" si="92"/>
        <v>471.28934889691658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34.859177647535553</v>
      </c>
      <c r="BQ100" s="21">
        <f>EXP(-LN(2)/25)*BQ99+(1-EXP(-LN(2)/25))/(LN(2)/25)*Calculateur!BL100*Calculateur!BN100*VLOOKUP('Données projet'!$B$11,Paramètres!$A$1:$I$89,3,0)*0.475*44/12</f>
        <v>1.5902899433711748</v>
      </c>
      <c r="BR100" s="21">
        <f>EXP(-LN(2)/2)*BR99+(1-EXP(-LN(2)/2))/(LN(2)/2)*BL100*BO100*VLOOKUP('Données projet'!$B$11,Paramètres!$A$1:$I$89,3,0)*0.475*44/12</f>
        <v>1.4789782619662947E-4</v>
      </c>
      <c r="BS100" s="22">
        <f t="shared" si="63"/>
        <v>36.449615488732924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991.00000000000011</v>
      </c>
      <c r="BZ100" s="13">
        <f>BY100*VLOOKUP('Données projet'!$B$12,Paramètres!$A$1:$I$89,3,0)*VLOOKUP('Données projet'!$B$12,Paramètres!$A$1:$I$89,5,0)</f>
        <v>438.02200000000011</v>
      </c>
      <c r="CA100" s="13">
        <f t="shared" si="93"/>
        <v>99.443834741543355</v>
      </c>
      <c r="CB100" s="20">
        <f t="shared" si="64"/>
        <v>936.08632884152132</v>
      </c>
      <c r="CC100" s="59">
        <f t="shared" si="65"/>
        <v>1229.4196621748547</v>
      </c>
      <c r="CD100" s="59">
        <f ca="1">AVERAGE(OFFSET($CC$3,0,0,'Données projet'!$E$12+1,1))-AVERAGE(OFFSET($H$3,0,0,'Données projet'!$E$12+1,1))</f>
        <v>534.99316143569899</v>
      </c>
      <c r="CE100" s="59">
        <f t="shared" si="94"/>
        <v>449.56965858934262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50.073549686633278</v>
      </c>
      <c r="CL100" s="21">
        <f>EXP(-LN(2)/25)*CL99+(1-EXP(-LN(2)/25))/(LN(2)/25)*Calculateur!CG100*Calculateur!CI100*VLOOKUP('Données projet'!$B$12,Paramètres!$A$1:$I$89,3,0)*0.475*44/12</f>
        <v>19.9994736356328</v>
      </c>
      <c r="CM100" s="21">
        <f>EXP(-LN(2)/2)*CM99+(1-EXP(-LN(2)/2))/(LN(2)/2)*CG100*CJ100*VLOOKUP('Données projet'!$B$12,Paramètres!$A$1:$I$89,3,0)*0.475*44/12</f>
        <v>7.5302904380846079E-3</v>
      </c>
      <c r="CN100" s="22">
        <f t="shared" si="66"/>
        <v>70.080553612704165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</v>
      </c>
      <c r="CT100" s="12">
        <f>IF('Données projet'!$A$140&gt;35,CT99+CS100-DB99,IF(A100&lt;'Données projet'!$A$140,$CQ$205^A100,IF(A100='Données projet'!$A$140,'Données projet'!$B$140,CT99+CS100-DB99)))</f>
        <v>229.99999999999994</v>
      </c>
      <c r="CU100" s="17">
        <f>CT100*VLOOKUP('Données projet'!$B$13,Paramètres!$A$1:$I$89,3,0)*VLOOKUP('Données projet'!$B$13,Paramètres!$A$1:$I$89,5,0)</f>
        <v>261.92399999999992</v>
      </c>
      <c r="CV100" s="13">
        <f t="shared" si="95"/>
        <v>63.132320859995644</v>
      </c>
      <c r="CW100" s="20">
        <f t="shared" si="67"/>
        <v>566.13975883115904</v>
      </c>
      <c r="CX100" s="59">
        <f t="shared" si="68"/>
        <v>859.4730921644923</v>
      </c>
      <c r="CY100" s="59">
        <f ca="1">AVERAGE(OFFSET($CX$3,0,0,'Données projet'!$E$13+1,1))-AVERAGE(OFFSET($H$3,0,0,'Données projet'!$E$13+1,1))</f>
        <v>389.89050053480827</v>
      </c>
      <c r="CZ100" s="59">
        <f t="shared" si="96"/>
        <v>216.40816051909616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9.797372345767732</v>
      </c>
      <c r="DG100" s="21">
        <f>EXP(-LN(2)/25)*DG99+(1-EXP(-LN(2)/25))/(LN(2)/25)*Calculateur!DB100*Calculateur!DD100*VLOOKUP('Données projet'!$B$13,Paramètres!$A$1:$I$89,3,0)*0.475*44/12</f>
        <v>1.3945472032297455</v>
      </c>
      <c r="DH100" s="21">
        <f>EXP(-LN(2)/2)*DH99+(1-EXP(-LN(2)/2))/(LN(2)/2)*DB100*DE100*VLOOKUP('Données projet'!$B$13,Paramètres!$A$1:$I$89,3,0)*0.475*44/12</f>
        <v>0.35933287512468981</v>
      </c>
      <c r="DI100" s="22">
        <f t="shared" si="69"/>
        <v>11.551252424122167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246.46751999999987</v>
      </c>
      <c r="P101" s="13">
        <f t="shared" si="87"/>
        <v>59.828888074216977</v>
      </c>
      <c r="Q101" s="20">
        <f t="shared" si="107"/>
        <v>533.46624406259423</v>
      </c>
      <c r="R101" s="59">
        <f t="shared" si="55"/>
        <v>826.7995773959276</v>
      </c>
      <c r="S101" s="59">
        <f ca="1">AVERAGE(OFFSET($R$3,0,0,'Données projet'!$E$9+1,1))-AVERAGE(OFFSET($H$3,0,0,'Données projet'!$E$9+1,1))</f>
        <v>371.7282125501186</v>
      </c>
      <c r="T101" s="59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48.773847254930274</v>
      </c>
      <c r="AA101" s="21">
        <f>EXP(-LN(2)/25)*AA100+(1-EXP(-LN(2)/25))/(LN(2)/25)*Calculateur!V101*Calculateur!X101*VLOOKUP('Données projet'!$B$9,Paramètres!$A$1:$I$89,3,0)*0.475*44/12</f>
        <v>2.2709429221472632</v>
      </c>
      <c r="AB101" s="21">
        <f>EXP(-LN(2)/2)*AB100+(1-EXP(-LN(2)/2))/(LN(2)/2)*V101*Y101*VLOOKUP('Données projet'!$B$9,Paramètres!$A$1:$I$89,3,0)*0.475*44/12</f>
        <v>0.4619710730144071</v>
      </c>
      <c r="AC101" s="22">
        <f t="shared" si="57"/>
        <v>51.506761250091941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1.7053025658242404E-13</v>
      </c>
      <c r="AJ101" s="13">
        <f>AI101*VLOOKUP('Données projet'!$B$10,Paramètres!$A$1:$I$89,3,0)*VLOOKUP('Données projet'!$B$10,Paramètres!$A$1:$I$89,5,0)</f>
        <v>7.9808160080574461E-14</v>
      </c>
      <c r="AK101" s="13">
        <f t="shared" si="89"/>
        <v>1.2308384591775343E-12</v>
      </c>
      <c r="AL101" s="20">
        <f t="shared" si="58"/>
        <v>2.282709528541206E-12</v>
      </c>
      <c r="AM101" s="59">
        <f t="shared" si="59"/>
        <v>293.33333333333559</v>
      </c>
      <c r="AN101" s="59">
        <f ca="1">AVERAGE(OFFSET($AM$3,0,0,'Données projet'!$E$10+1,1))-AVERAGE(OFFSET($H$3,0,0,'Données projet'!$E$10+1,1))</f>
        <v>218.32525311070435</v>
      </c>
      <c r="AO101" s="59">
        <f t="shared" si="90"/>
        <v>275.36315264099204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41.087417204089668</v>
      </c>
      <c r="AV101" s="21">
        <f>EXP(-LN(2)/25)*AV100+(1-EXP(-LN(2)/25))/(LN(2)/25)*Calculateur!AQ101*Calculateur!AS101*VLOOKUP('Données projet'!$B$10,Paramètres!$A$1:$I$89,3,0)*0.475*44/12</f>
        <v>13.125494045290532</v>
      </c>
      <c r="AW101" s="21">
        <f>EXP(-LN(2)/2)*AW100+(1-EXP(-LN(2)/2))/(LN(2)/2)*AQ101*AT101*VLOOKUP('Données projet'!$B$10,Paramètres!$A$1:$I$89,3,0)*0.475*44/12</f>
        <v>1.2447173274873877E-4</v>
      </c>
      <c r="AX101" s="21">
        <f t="shared" si="60"/>
        <v>54.213035721112945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343</v>
      </c>
      <c r="BE101" s="13">
        <f>BD101*VLOOKUP('Données projet'!$B$11,Paramètres!$A$1:$I$89,3,0)*VLOOKUP('Données projet'!$B$11,Paramètres!$A$1:$I$89,5,0)</f>
        <v>326.39879999999999</v>
      </c>
      <c r="BF101" s="13">
        <f t="shared" si="91"/>
        <v>76.683210401884097</v>
      </c>
      <c r="BG101" s="20">
        <f t="shared" si="61"/>
        <v>702.03450144994804</v>
      </c>
      <c r="BH101" s="59">
        <f t="shared" si="62"/>
        <v>995.3678347832813</v>
      </c>
      <c r="BI101" s="59">
        <f ca="1">AVERAGE(OFFSET($BH$3,0,0,'Données projet'!$E$11+1,1))-AVERAGE(OFFSET($H$3,0,0,'Données projet'!$E$11+1,1))</f>
        <v>446.62872871405051</v>
      </c>
      <c r="BJ101" s="59">
        <f t="shared" si="92"/>
        <v>471.28934889691658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34.175610435866297</v>
      </c>
      <c r="BQ101" s="21">
        <f>EXP(-LN(2)/25)*BQ100+(1-EXP(-LN(2)/25))/(LN(2)/25)*Calculateur!BL101*Calculateur!BN101*VLOOKUP('Données projet'!$B$11,Paramètres!$A$1:$I$89,3,0)*0.475*44/12</f>
        <v>1.5468033812399766</v>
      </c>
      <c r="BR101" s="21">
        <f>EXP(-LN(2)/2)*BR100+(1-EXP(-LN(2)/2))/(LN(2)/2)*BL101*BO101*VLOOKUP('Données projet'!$B$11,Paramètres!$A$1:$I$89,3,0)*0.475*44/12</f>
        <v>1.0457955582638611E-4</v>
      </c>
      <c r="BS101" s="22">
        <f t="shared" si="63"/>
        <v>35.722518396662096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991.00000000000011</v>
      </c>
      <c r="BZ101" s="13">
        <f>BY101*VLOOKUP('Données projet'!$B$12,Paramètres!$A$1:$I$89,3,0)*VLOOKUP('Données projet'!$B$12,Paramètres!$A$1:$I$89,5,0)</f>
        <v>438.02200000000011</v>
      </c>
      <c r="CA101" s="13">
        <f t="shared" si="93"/>
        <v>99.443834741543355</v>
      </c>
      <c r="CB101" s="20">
        <f t="shared" si="64"/>
        <v>936.08632884152132</v>
      </c>
      <c r="CC101" s="59">
        <f t="shared" si="65"/>
        <v>1229.4196621748547</v>
      </c>
      <c r="CD101" s="59">
        <f ca="1">AVERAGE(OFFSET($CC$3,0,0,'Données projet'!$E$12+1,1))-AVERAGE(OFFSET($H$3,0,0,'Données projet'!$E$12+1,1))</f>
        <v>534.99316143569899</v>
      </c>
      <c r="CE101" s="59">
        <f t="shared" si="94"/>
        <v>449.56965858934262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49.091637919127955</v>
      </c>
      <c r="CL101" s="21">
        <f>EXP(-LN(2)/25)*CL100+(1-EXP(-LN(2)/25))/(LN(2)/25)*Calculateur!CG101*Calculateur!CI101*VLOOKUP('Données projet'!$B$12,Paramètres!$A$1:$I$89,3,0)*0.475*44/12</f>
        <v>19.452586977339813</v>
      </c>
      <c r="CM101" s="21">
        <f>EXP(-LN(2)/2)*CM100+(1-EXP(-LN(2)/2))/(LN(2)/2)*CG101*CJ101*VLOOKUP('Données projet'!$B$12,Paramètres!$A$1:$I$89,3,0)*0.475*44/12</f>
        <v>5.3247194330738445E-3</v>
      </c>
      <c r="CN101" s="22">
        <f t="shared" si="66"/>
        <v>68.549549615900844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</v>
      </c>
      <c r="CT101" s="12">
        <f>IF('Données projet'!$A$140&gt;35,CT100+CS101-DB100,IF(A101&lt;'Données projet'!$A$140,$CQ$205^A101,IF(A101='Données projet'!$A$140,'Données projet'!$B$140,CT100+CS101-DB100)))</f>
        <v>232.99999999999994</v>
      </c>
      <c r="CU101" s="17">
        <f>CT101*VLOOKUP('Données projet'!$B$13,Paramètres!$A$1:$I$89,3,0)*VLOOKUP('Données projet'!$B$13,Paramètres!$A$1:$I$89,5,0)</f>
        <v>265.34039999999993</v>
      </c>
      <c r="CV101" s="13">
        <f t="shared" si="95"/>
        <v>63.85938489132635</v>
      </c>
      <c r="CW101" s="20">
        <f t="shared" si="67"/>
        <v>573.35629201905988</v>
      </c>
      <c r="CX101" s="59">
        <f t="shared" si="68"/>
        <v>866.68962535239325</v>
      </c>
      <c r="CY101" s="59">
        <f ca="1">AVERAGE(OFFSET($CX$3,0,0,'Données projet'!$E$13+1,1))-AVERAGE(OFFSET($H$3,0,0,'Données projet'!$E$13+1,1))</f>
        <v>389.89050053480827</v>
      </c>
      <c r="CZ101" s="59">
        <f t="shared" si="96"/>
        <v>216.40816051909616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9.6052518498742963</v>
      </c>
      <c r="DG101" s="21">
        <f>EXP(-LN(2)/25)*DG100+(1-EXP(-LN(2)/25))/(LN(2)/25)*Calculateur!DB101*Calculateur!DD101*VLOOKUP('Données projet'!$B$13,Paramètres!$A$1:$I$89,3,0)*0.475*44/12</f>
        <v>1.3564132366213779</v>
      </c>
      <c r="DH101" s="21">
        <f>EXP(-LN(2)/2)*DH100+(1-EXP(-LN(2)/2))/(LN(2)/2)*DB101*DE101*VLOOKUP('Données projet'!$B$13,Paramètres!$A$1:$I$89,3,0)*0.475*44/12</f>
        <v>0.25408671270392708</v>
      </c>
      <c r="DI101" s="22">
        <f t="shared" si="69"/>
        <v>11.215751799199602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250.8105599999999</v>
      </c>
      <c r="P102" s="13">
        <f t="shared" si="87"/>
        <v>60.75947736410869</v>
      </c>
      <c r="Q102" s="20">
        <f t="shared" si="107"/>
        <v>542.65114840915578</v>
      </c>
      <c r="R102" s="59">
        <f t="shared" si="55"/>
        <v>835.98448174248915</v>
      </c>
      <c r="S102" s="59">
        <f ca="1">AVERAGE(OFFSET($R$3,0,0,'Données projet'!$E$9+1,1))-AVERAGE(OFFSET($H$3,0,0,'Données projet'!$E$9+1,1))</f>
        <v>371.7282125501186</v>
      </c>
      <c r="T102" s="59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47.817421859370434</v>
      </c>
      <c r="AA102" s="21">
        <f>EXP(-LN(2)/25)*AA101+(1-EXP(-LN(2)/25))/(LN(2)/25)*Calculateur!V102*Calculateur!X102*VLOOKUP('Données projet'!$B$9,Paramètres!$A$1:$I$89,3,0)*0.475*44/12</f>
        <v>2.2088438685174485</v>
      </c>
      <c r="AB102" s="21">
        <f>EXP(-LN(2)/2)*AB101+(1-EXP(-LN(2)/2))/(LN(2)/2)*V102*Y102*VLOOKUP('Données projet'!$B$9,Paramètres!$A$1:$I$89,3,0)*0.475*44/12</f>
        <v>0.32666287844051295</v>
      </c>
      <c r="AC102" s="22">
        <f t="shared" si="57"/>
        <v>50.352928606328398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1.7053025658242404E-13</v>
      </c>
      <c r="AJ102" s="13">
        <f>AI102*VLOOKUP('Données projet'!$B$10,Paramètres!$A$1:$I$89,3,0)*VLOOKUP('Données projet'!$B$10,Paramètres!$A$1:$I$89,5,0)</f>
        <v>7.9808160080574461E-14</v>
      </c>
      <c r="AK102" s="13">
        <f t="shared" si="89"/>
        <v>1.2308384591775343E-12</v>
      </c>
      <c r="AL102" s="20">
        <f t="shared" si="58"/>
        <v>2.282709528541206E-12</v>
      </c>
      <c r="AM102" s="59">
        <f t="shared" si="59"/>
        <v>293.33333333333559</v>
      </c>
      <c r="AN102" s="59">
        <f ca="1">AVERAGE(OFFSET($AM$3,0,0,'Données projet'!$E$10+1,1))-AVERAGE(OFFSET($H$3,0,0,'Données projet'!$E$10+1,1))</f>
        <v>218.32525311070435</v>
      </c>
      <c r="AO102" s="59">
        <f t="shared" si="90"/>
        <v>275.36315264099204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40.281718013567414</v>
      </c>
      <c r="AV102" s="21">
        <f>EXP(-LN(2)/25)*AV101+(1-EXP(-LN(2)/25))/(LN(2)/25)*Calculateur!AQ102*Calculateur!AS102*VLOOKUP('Données projet'!$B$10,Paramètres!$A$1:$I$89,3,0)*0.475*44/12</f>
        <v>12.766576720382329</v>
      </c>
      <c r="AW102" s="21">
        <f>EXP(-LN(2)/2)*AW101+(1-EXP(-LN(2)/2))/(LN(2)/2)*AQ102*AT102*VLOOKUP('Données projet'!$B$10,Paramètres!$A$1:$I$89,3,0)*0.475*44/12</f>
        <v>8.8014806292672847E-5</v>
      </c>
      <c r="AX102" s="21">
        <f t="shared" si="60"/>
        <v>53.04838274875604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343</v>
      </c>
      <c r="BE102" s="13">
        <f>BD102*VLOOKUP('Données projet'!$B$11,Paramètres!$A$1:$I$89,3,0)*VLOOKUP('Données projet'!$B$11,Paramètres!$A$1:$I$89,5,0)</f>
        <v>326.39879999999999</v>
      </c>
      <c r="BF102" s="13">
        <f t="shared" si="91"/>
        <v>76.683210401884097</v>
      </c>
      <c r="BG102" s="20">
        <f t="shared" si="61"/>
        <v>702.03450144994804</v>
      </c>
      <c r="BH102" s="59">
        <f t="shared" si="62"/>
        <v>995.3678347832813</v>
      </c>
      <c r="BI102" s="59">
        <f ca="1">AVERAGE(OFFSET($BH$3,0,0,'Données projet'!$E$11+1,1))-AVERAGE(OFFSET($H$3,0,0,'Données projet'!$E$11+1,1))</f>
        <v>446.62872871405051</v>
      </c>
      <c r="BJ102" s="59">
        <f t="shared" si="92"/>
        <v>471.28934889691658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33.505447560283045</v>
      </c>
      <c r="BQ102" s="21">
        <f>EXP(-LN(2)/25)*BQ101+(1-EXP(-LN(2)/25))/(LN(2)/25)*Calculateur!BL102*Calculateur!BN102*VLOOKUP('Données projet'!$B$11,Paramètres!$A$1:$I$89,3,0)*0.475*44/12</f>
        <v>1.504505961437115</v>
      </c>
      <c r="BR102" s="21">
        <f>EXP(-LN(2)/2)*BR101+(1-EXP(-LN(2)/2))/(LN(2)/2)*BL102*BO102*VLOOKUP('Données projet'!$B$11,Paramètres!$A$1:$I$89,3,0)*0.475*44/12</f>
        <v>7.3948913098314736E-5</v>
      </c>
      <c r="BS102" s="22">
        <f t="shared" si="63"/>
        <v>35.010027470633261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991.00000000000011</v>
      </c>
      <c r="BZ102" s="13">
        <f>BY102*VLOOKUP('Données projet'!$B$12,Paramètres!$A$1:$I$89,3,0)*VLOOKUP('Données projet'!$B$12,Paramètres!$A$1:$I$89,5,0)</f>
        <v>438.02200000000011</v>
      </c>
      <c r="CA102" s="13">
        <f t="shared" si="93"/>
        <v>99.443834741543355</v>
      </c>
      <c r="CB102" s="20">
        <f t="shared" si="64"/>
        <v>936.08632884152132</v>
      </c>
      <c r="CC102" s="59">
        <f t="shared" si="65"/>
        <v>1229.4196621748547</v>
      </c>
      <c r="CD102" s="59">
        <f ca="1">AVERAGE(OFFSET($CC$3,0,0,'Données projet'!$E$12+1,1))-AVERAGE(OFFSET($H$3,0,0,'Données projet'!$E$12+1,1))</f>
        <v>534.99316143569899</v>
      </c>
      <c r="CE102" s="59">
        <f t="shared" si="94"/>
        <v>449.56965858934262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48.128980842476366</v>
      </c>
      <c r="CL102" s="21">
        <f>EXP(-LN(2)/25)*CL101+(1-EXP(-LN(2)/25))/(LN(2)/25)*Calculateur!CG102*Calculateur!CI102*VLOOKUP('Données projet'!$B$12,Paramètres!$A$1:$I$89,3,0)*0.475*44/12</f>
        <v>18.920654963477364</v>
      </c>
      <c r="CM102" s="21">
        <f>EXP(-LN(2)/2)*CM101+(1-EXP(-LN(2)/2))/(LN(2)/2)*CG102*CJ102*VLOOKUP('Données projet'!$B$12,Paramètres!$A$1:$I$89,3,0)*0.475*44/12</f>
        <v>3.7651452190423044E-3</v>
      </c>
      <c r="CN102" s="22">
        <f t="shared" si="66"/>
        <v>67.053400951172776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</v>
      </c>
      <c r="CT102" s="12">
        <f>IF('Données projet'!$A$140&gt;35,CT101+CS102-DB101,IF(A102&lt;'Données projet'!$A$140,$CQ$205^A102,IF(A102='Données projet'!$A$140,'Données projet'!$B$140,CT101+CS102-DB101)))</f>
        <v>235.99999999999994</v>
      </c>
      <c r="CU102" s="17">
        <f>CT102*VLOOKUP('Données projet'!$B$13,Paramètres!$A$1:$I$89,3,0)*VLOOKUP('Données projet'!$B$13,Paramètres!$A$1:$I$89,5,0)</f>
        <v>268.75679999999994</v>
      </c>
      <c r="CV102" s="13">
        <f t="shared" si="95"/>
        <v>64.585360047065777</v>
      </c>
      <c r="CW102" s="20">
        <f t="shared" si="67"/>
        <v>580.5709287486394</v>
      </c>
      <c r="CX102" s="59">
        <f t="shared" si="68"/>
        <v>873.90426208197277</v>
      </c>
      <c r="CY102" s="59">
        <f ca="1">AVERAGE(OFFSET($CX$3,0,0,'Données projet'!$E$13+1,1))-AVERAGE(OFFSET($H$3,0,0,'Données projet'!$E$13+1,1))</f>
        <v>389.89050053480827</v>
      </c>
      <c r="CZ102" s="59">
        <f t="shared" si="96"/>
        <v>216.40816051909616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9.4168987197233989</v>
      </c>
      <c r="DG102" s="21">
        <f>EXP(-LN(2)/25)*DG101+(1-EXP(-LN(2)/25))/(LN(2)/25)*Calculateur!DB102*Calculateur!DD102*VLOOKUP('Données projet'!$B$13,Paramètres!$A$1:$I$89,3,0)*0.475*44/12</f>
        <v>1.3193220453352943</v>
      </c>
      <c r="DH102" s="21">
        <f>EXP(-LN(2)/2)*DH101+(1-EXP(-LN(2)/2))/(LN(2)/2)*DB102*DE102*VLOOKUP('Données projet'!$B$13,Paramètres!$A$1:$I$89,3,0)*0.475*44/12</f>
        <v>0.17966643756234493</v>
      </c>
      <c r="DI102" s="22">
        <f t="shared" si="69"/>
        <v>10.915887202621038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255.15359999999987</v>
      </c>
      <c r="P103" s="13">
        <f t="shared" si="87"/>
        <v>61.688192762754376</v>
      </c>
      <c r="Q103" s="20">
        <f t="shared" si="107"/>
        <v>551.83278906179692</v>
      </c>
      <c r="R103" s="59">
        <f t="shared" si="55"/>
        <v>845.16612239513029</v>
      </c>
      <c r="S103" s="59">
        <f ca="1">AVERAGE(OFFSET($R$3,0,0,'Données projet'!$E$9+1,1))-AVERAGE(OFFSET($H$3,0,0,'Données projet'!$E$9+1,1))</f>
        <v>371.7282125501186</v>
      </c>
      <c r="T103" s="59">
        <f t="shared" si="88"/>
        <v>231.36959598460686</v>
      </c>
      <c r="U103" s="15">
        <f>IF(ISNA(VLOOKUP(A103,'Données projet'!$A$35:$I$55,3,0)),0,VLOOKUP(A103,'Données projet'!$A$35:$I$55,3,0))</f>
        <v>16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1.72E-2</v>
      </c>
      <c r="Y103" s="16">
        <f>IF(ISNA(VLOOKUP(A103,'Données projet'!$A$35:$I$55,7,0)),0%,VLOOKUP(A103,'Données projet'!$A$35:$I$55,7,0))</f>
        <v>0.06</v>
      </c>
      <c r="Z103" s="21">
        <f>EXP(-LN(2)/35)*Z102+(1-EXP(-LN(2)/35))/(LN(2)/35)*V103*W103*VLOOKUP('Données projet'!$B$9,Paramètres!$A$1:$I$89,3,0)*0.475*44/12</f>
        <v>54.10541000853145</v>
      </c>
      <c r="AA103" s="21">
        <f>EXP(-LN(2)/25)*AA102+(1-EXP(-LN(2)/25))/(LN(2)/25)*Calculateur!V103*Calculateur!X103*VLOOKUP('Données projet'!$B$9,Paramètres!$A$1:$I$89,3,0)*0.475*44/12</f>
        <v>2.5083033395184464</v>
      </c>
      <c r="AB103" s="21">
        <f>EXP(-LN(2)/2)*AB102+(1-EXP(-LN(2)/2))/(LN(2)/2)*V103*Y103*VLOOKUP('Données projet'!$B$9,Paramètres!$A$1:$I$89,3,0)*0.475*44/12</f>
        <v>1.3066515084492469</v>
      </c>
      <c r="AC103" s="22">
        <f t="shared" si="57"/>
        <v>57.920364856499148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1.7053025658242404E-13</v>
      </c>
      <c r="AJ103" s="13">
        <f>AI103*VLOOKUP('Données projet'!$B$10,Paramètres!$A$1:$I$89,3,0)*VLOOKUP('Données projet'!$B$10,Paramètres!$A$1:$I$89,5,0)</f>
        <v>7.9808160080574461E-14</v>
      </c>
      <c r="AK103" s="13">
        <f t="shared" si="89"/>
        <v>1.2308384591775343E-12</v>
      </c>
      <c r="AL103" s="20">
        <f t="shared" si="58"/>
        <v>2.282709528541206E-12</v>
      </c>
      <c r="AM103" s="59">
        <f t="shared" si="59"/>
        <v>293.33333333333559</v>
      </c>
      <c r="AN103" s="59">
        <f ca="1">AVERAGE(OFFSET($AM$3,0,0,'Données projet'!$E$10+1,1))-AVERAGE(OFFSET($H$3,0,0,'Données projet'!$E$10+1,1))</f>
        <v>218.32525311070435</v>
      </c>
      <c r="AO103" s="59">
        <f t="shared" si="90"/>
        <v>275.36315264099204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39.491818092743316</v>
      </c>
      <c r="AV103" s="21">
        <f>EXP(-LN(2)/25)*AV102+(1-EXP(-LN(2)/25))/(LN(2)/25)*Calculateur!AQ103*Calculateur!AS103*VLOOKUP('Données projet'!$B$10,Paramètres!$A$1:$I$89,3,0)*0.475*44/12</f>
        <v>12.417474008598383</v>
      </c>
      <c r="AW103" s="21">
        <f>EXP(-LN(2)/2)*AW102+(1-EXP(-LN(2)/2))/(LN(2)/2)*AQ103*AT103*VLOOKUP('Données projet'!$B$10,Paramètres!$A$1:$I$89,3,0)*0.475*44/12</f>
        <v>6.2235866374369384E-5</v>
      </c>
      <c r="AX103" s="21">
        <f t="shared" si="60"/>
        <v>51.909354337208072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343</v>
      </c>
      <c r="BE103" s="13">
        <f>BD103*VLOOKUP('Données projet'!$B$11,Paramètres!$A$1:$I$89,3,0)*VLOOKUP('Données projet'!$B$11,Paramètres!$A$1:$I$89,5,0)</f>
        <v>326.39879999999999</v>
      </c>
      <c r="BF103" s="13">
        <f t="shared" si="91"/>
        <v>76.683210401884097</v>
      </c>
      <c r="BG103" s="20">
        <f t="shared" si="61"/>
        <v>702.03450144994804</v>
      </c>
      <c r="BH103" s="59">
        <f t="shared" si="62"/>
        <v>995.3678347832813</v>
      </c>
      <c r="BI103" s="59">
        <f ca="1">AVERAGE(OFFSET($BH$3,0,0,'Données projet'!$E$11+1,1))-AVERAGE(OFFSET($H$3,0,0,'Données projet'!$E$11+1,1))</f>
        <v>446.62872871405051</v>
      </c>
      <c r="BJ103" s="59">
        <f t="shared" si="92"/>
        <v>471.28934889691658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32.848426169930988</v>
      </c>
      <c r="BQ103" s="21">
        <f>EXP(-LN(2)/25)*BQ102+(1-EXP(-LN(2)/25))/(LN(2)/25)*Calculateur!BL103*Calculateur!BN103*VLOOKUP('Données projet'!$B$11,Paramètres!$A$1:$I$89,3,0)*0.475*44/12</f>
        <v>1.4633651668030871</v>
      </c>
      <c r="BR103" s="21">
        <f>EXP(-LN(2)/2)*BR102+(1-EXP(-LN(2)/2))/(LN(2)/2)*BL103*BO103*VLOOKUP('Données projet'!$B$11,Paramètres!$A$1:$I$89,3,0)*0.475*44/12</f>
        <v>5.2289777913193057E-5</v>
      </c>
      <c r="BS103" s="22">
        <f t="shared" si="63"/>
        <v>34.311843626511987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991.00000000000011</v>
      </c>
      <c r="BZ103" s="13">
        <f>BY103*VLOOKUP('Données projet'!$B$12,Paramètres!$A$1:$I$89,3,0)*VLOOKUP('Données projet'!$B$12,Paramètres!$A$1:$I$89,5,0)</f>
        <v>438.02200000000011</v>
      </c>
      <c r="CA103" s="13">
        <f t="shared" si="93"/>
        <v>99.443834741543355</v>
      </c>
      <c r="CB103" s="20">
        <f t="shared" si="64"/>
        <v>936.08632884152132</v>
      </c>
      <c r="CC103" s="59">
        <f t="shared" si="65"/>
        <v>1229.4196621748547</v>
      </c>
      <c r="CD103" s="59">
        <f ca="1">AVERAGE(OFFSET($CC$3,0,0,'Données projet'!$E$12+1,1))-AVERAGE(OFFSET($H$3,0,0,'Données projet'!$E$12+1,1))</f>
        <v>534.99316143569899</v>
      </c>
      <c r="CE103" s="59">
        <f t="shared" si="94"/>
        <v>449.56965858934262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47.185200883935075</v>
      </c>
      <c r="CL103" s="21">
        <f>EXP(-LN(2)/25)*CL102+(1-EXP(-LN(2)/25))/(LN(2)/25)*Calculateur!CG103*Calculateur!CI103*VLOOKUP('Données projet'!$B$12,Paramètres!$A$1:$I$89,3,0)*0.475*44/12</f>
        <v>18.403268658507073</v>
      </c>
      <c r="CM103" s="21">
        <f>EXP(-LN(2)/2)*CM102+(1-EXP(-LN(2)/2))/(LN(2)/2)*CG103*CJ103*VLOOKUP('Données projet'!$B$12,Paramètres!$A$1:$I$89,3,0)*0.475*44/12</f>
        <v>2.6623597165369227E-3</v>
      </c>
      <c r="CN103" s="22">
        <f t="shared" si="66"/>
        <v>65.591131902158679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239</v>
      </c>
      <c r="CR103" s="12">
        <f>VLOOKUP(A103,'Données projet'!$A$139:$I$159,9,0)</f>
        <v>3</v>
      </c>
      <c r="CS103" s="12">
        <f t="array" ref="CS103">INDEX(CR:CR,MIN(IF(ISNUMBER(CR103:CR299),ROW(CR103:CR299),"")))</f>
        <v>3</v>
      </c>
      <c r="CT103" s="12">
        <f>IF('Données projet'!$A$140&gt;35,CT102+CS103-DB102,IF(A103&lt;'Données projet'!$A$140,$CQ$205^A103,IF(A103='Données projet'!$A$140,'Données projet'!$B$140,CT102+CS103-DB102)))</f>
        <v>238.99999999999994</v>
      </c>
      <c r="CU103" s="17">
        <f>CT103*VLOOKUP('Données projet'!$B$13,Paramètres!$A$1:$I$89,3,0)*VLOOKUP('Données projet'!$B$13,Paramètres!$A$1:$I$89,5,0)</f>
        <v>272.17319999999989</v>
      </c>
      <c r="CV103" s="13">
        <f t="shared" si="95"/>
        <v>65.310261769429218</v>
      </c>
      <c r="CW103" s="20">
        <f t="shared" si="67"/>
        <v>587.78369591508908</v>
      </c>
      <c r="CX103" s="59">
        <f t="shared" si="68"/>
        <v>881.11702924842234</v>
      </c>
      <c r="CY103" s="59">
        <f ca="1">AVERAGE(OFFSET($CX$3,0,0,'Données projet'!$E$13+1,1))-AVERAGE(OFFSET($H$3,0,0,'Données projet'!$E$13+1,1))</f>
        <v>389.89050053480827</v>
      </c>
      <c r="CZ103" s="59">
        <f t="shared" si="96"/>
        <v>216.40816051909616</v>
      </c>
      <c r="DA103" s="15">
        <f>IF(ISNA(VLOOKUP(A103,'Données projet'!$A$139:$I$159,3,0)),0,VLOOKUP(A103,'Données projet'!$A$139:$I$159,3,0))</f>
        <v>16</v>
      </c>
      <c r="DB103" s="15">
        <f>IF(ISNA(VLOOKUP(A103,'Données projet'!$A$139:$I$159,4,0)),0,VLOOKUP(A103,'Données projet'!$A$139:$I$159,4,0))</f>
        <v>9</v>
      </c>
      <c r="DC103" s="16">
        <f>IF(ISNA(VLOOKUP(A103,'Données projet'!$A$139:$I$159,5,0)),0%,VLOOKUP(A103,'Données projet'!$A$139:$I$159,5,0)*VLOOKUP('Données projet'!$B$13,Paramètres!$A$1:$I$89,7,0))</f>
        <v>0.17200000000000001</v>
      </c>
      <c r="DD103" s="16">
        <f>IF(ISNA(VLOOKUP(A103,'Données projet'!$A$139:$I$159,6,0)),0%,VLOOKUP(A103,'Données projet'!$A$139:$I$159,6,0)*VLOOKUP('Données projet'!$B$13,Paramètres!$A$1:$I$89,7,0))</f>
        <v>1.72E-2</v>
      </c>
      <c r="DE103" s="16">
        <f>IF(ISNA(VLOOKUP(A103,'Données projet'!$A$139:$I$159,7,0)),0%,VLOOKUP(A103,'Données projet'!$A$139:$I$159,7,0))</f>
        <v>0.06</v>
      </c>
      <c r="DF103" s="21">
        <f>EXP(-LN(2)/35)*DF102+(1-EXP(-LN(2)/35))/(LN(2)/35)*DB103*DC103*VLOOKUP('Données projet'!$B$13,Paramètres!$A$1:$I$89,3,0)*0.475*44/12</f>
        <v>11.181031245963062</v>
      </c>
      <c r="DG103" s="21">
        <f>EXP(-LN(2)/25)*DG102+(1-EXP(-LN(2)/25))/(LN(2)/25)*Calculateur!DB103*Calculateur!DD103*VLOOKUP('Données projet'!$B$13,Paramètres!$A$1:$I$89,3,0)*0.475*44/12</f>
        <v>1.4773570175339947</v>
      </c>
      <c r="DH103" s="21">
        <f>EXP(-LN(2)/2)*DH102+(1-EXP(-LN(2)/2))/(LN(2)/2)*DB103*DE103*VLOOKUP('Données projet'!$B$13,Paramètres!$A$1:$I$89,3,0)*0.475*44/12</f>
        <v>0.7072671195423762</v>
      </c>
      <c r="DI103" s="22">
        <f t="shared" si="69"/>
        <v>13.365655383039433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4.5999999999999996</v>
      </c>
      <c r="N104" s="13">
        <f>IF('Données projet'!$A$36&gt;35,N103+M104-V103,IF(A104&lt;'Données projet'!$A$36,$K$205^A104,IF(A104='Données projet'!$A$36,'Données projet'!$B$36,N103+M104-V103)))</f>
        <v>265.59999999999991</v>
      </c>
      <c r="O104" s="13">
        <f>N104*VLOOKUP('Données projet'!$B$9,Paramètres!$A$1:$I$89,3,0)*VLOOKUP('Données projet'!$B$9,Paramètres!$A$1:$I$89,5,0)</f>
        <v>240.31487999999993</v>
      </c>
      <c r="P104" s="13">
        <f t="shared" si="87"/>
        <v>58.50727327751612</v>
      </c>
      <c r="Q104" s="20">
        <f t="shared" si="107"/>
        <v>520.44858362500713</v>
      </c>
      <c r="R104" s="59">
        <f t="shared" si="55"/>
        <v>813.78191695834039</v>
      </c>
      <c r="S104" s="59">
        <f ca="1">AVERAGE(OFFSET($R$3,0,0,'Données projet'!$E$9+1,1))-AVERAGE(OFFSET($H$3,0,0,'Données projet'!$E$9+1,1))</f>
        <v>371.7282125501186</v>
      </c>
      <c r="T104" s="59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53.04443591930567</v>
      </c>
      <c r="AA104" s="21">
        <f>EXP(-LN(2)/25)*AA103+(1-EXP(-LN(2)/25))/(LN(2)/25)*Calculateur!V104*Calculateur!X104*VLOOKUP('Données projet'!$B$9,Paramètres!$A$1:$I$89,3,0)*0.475*44/12</f>
        <v>2.4397136527933747</v>
      </c>
      <c r="AB104" s="21">
        <f>EXP(-LN(2)/2)*AB103+(1-EXP(-LN(2)/2))/(LN(2)/2)*V104*Y104*VLOOKUP('Données projet'!$B$9,Paramètres!$A$1:$I$89,3,0)*0.475*44/12</f>
        <v>0.92394214227209392</v>
      </c>
      <c r="AC104" s="22">
        <f t="shared" si="57"/>
        <v>56.408091714371139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1.7053025658242404E-13</v>
      </c>
      <c r="AJ104" s="13">
        <f>AI104*VLOOKUP('Données projet'!$B$10,Paramètres!$A$1:$I$89,3,0)*VLOOKUP('Données projet'!$B$10,Paramètres!$A$1:$I$89,5,0)</f>
        <v>7.9808160080574461E-14</v>
      </c>
      <c r="AK104" s="13">
        <f t="shared" si="89"/>
        <v>1.2308384591775343E-12</v>
      </c>
      <c r="AL104" s="20">
        <f t="shared" si="58"/>
        <v>2.282709528541206E-12</v>
      </c>
      <c r="AM104" s="59">
        <f t="shared" si="59"/>
        <v>293.33333333333559</v>
      </c>
      <c r="AN104" s="59">
        <f ca="1">AVERAGE(OFFSET($AM$3,0,0,'Données projet'!$E$10+1,1))-AVERAGE(OFFSET($H$3,0,0,'Données projet'!$E$10+1,1))</f>
        <v>218.32525311070435</v>
      </c>
      <c r="AO104" s="59">
        <f t="shared" si="90"/>
        <v>275.36315264099204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38.717407627575199</v>
      </c>
      <c r="AV104" s="21">
        <f>EXP(-LN(2)/25)*AV103+(1-EXP(-LN(2)/25))/(LN(2)/25)*Calculateur!AQ104*Calculateur!AS104*VLOOKUP('Données projet'!$B$10,Paramètres!$A$1:$I$89,3,0)*0.475*44/12</f>
        <v>12.077917528826683</v>
      </c>
      <c r="AW104" s="21">
        <f>EXP(-LN(2)/2)*AW103+(1-EXP(-LN(2)/2))/(LN(2)/2)*AQ104*AT104*VLOOKUP('Données projet'!$B$10,Paramètres!$A$1:$I$89,3,0)*0.475*44/12</f>
        <v>4.4007403146336424E-5</v>
      </c>
      <c r="AX104" s="21">
        <f t="shared" si="60"/>
        <v>50.795369163805027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343</v>
      </c>
      <c r="BE104" s="13">
        <f>BD104*VLOOKUP('Données projet'!$B$11,Paramètres!$A$1:$I$89,3,0)*VLOOKUP('Données projet'!$B$11,Paramètres!$A$1:$I$89,5,0)</f>
        <v>326.39879999999999</v>
      </c>
      <c r="BF104" s="13">
        <f t="shared" si="91"/>
        <v>76.683210401884097</v>
      </c>
      <c r="BG104" s="20">
        <f t="shared" si="61"/>
        <v>702.03450144994804</v>
      </c>
      <c r="BH104" s="59">
        <f t="shared" si="62"/>
        <v>995.3678347832813</v>
      </c>
      <c r="BI104" s="59">
        <f ca="1">AVERAGE(OFFSET($BH$3,0,0,'Données projet'!$E$11+1,1))-AVERAGE(OFFSET($H$3,0,0,'Données projet'!$E$11+1,1))</f>
        <v>446.62872871405051</v>
      </c>
      <c r="BJ104" s="59">
        <f t="shared" si="92"/>
        <v>471.28934889691658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32.204288568300257</v>
      </c>
      <c r="BQ104" s="21">
        <f>EXP(-LN(2)/25)*BQ103+(1-EXP(-LN(2)/25))/(LN(2)/25)*Calculateur!BL104*Calculateur!BN104*VLOOKUP('Données projet'!$B$11,Paramètres!$A$1:$I$89,3,0)*0.475*44/12</f>
        <v>1.4233493693618271</v>
      </c>
      <c r="BR104" s="21">
        <f>EXP(-LN(2)/2)*BR103+(1-EXP(-LN(2)/2))/(LN(2)/2)*BL104*BO104*VLOOKUP('Données projet'!$B$11,Paramètres!$A$1:$I$89,3,0)*0.475*44/12</f>
        <v>3.6974456549157368E-5</v>
      </c>
      <c r="BS104" s="22">
        <f t="shared" si="63"/>
        <v>33.627674912118636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991.00000000000011</v>
      </c>
      <c r="BZ104" s="13">
        <f>BY104*VLOOKUP('Données projet'!$B$12,Paramètres!$A$1:$I$89,3,0)*VLOOKUP('Données projet'!$B$12,Paramètres!$A$1:$I$89,5,0)</f>
        <v>438.02200000000011</v>
      </c>
      <c r="CA104" s="13">
        <f t="shared" si="93"/>
        <v>99.443834741543355</v>
      </c>
      <c r="CB104" s="20">
        <f t="shared" si="64"/>
        <v>936.08632884152132</v>
      </c>
      <c r="CC104" s="59">
        <f t="shared" si="65"/>
        <v>1229.4196621748547</v>
      </c>
      <c r="CD104" s="59">
        <f ca="1">AVERAGE(OFFSET($CC$3,0,0,'Données projet'!$E$12+1,1))-AVERAGE(OFFSET($H$3,0,0,'Données projet'!$E$12+1,1))</f>
        <v>534.99316143569899</v>
      </c>
      <c r="CE104" s="59">
        <f t="shared" si="94"/>
        <v>449.56965858934262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46.259927874731844</v>
      </c>
      <c r="CL104" s="21">
        <f>EXP(-LN(2)/25)*CL103+(1-EXP(-LN(2)/25))/(LN(2)/25)*Calculateur!CG104*Calculateur!CI104*VLOOKUP('Données projet'!$B$12,Paramètres!$A$1:$I$89,3,0)*0.475*44/12</f>
        <v>17.900030309254362</v>
      </c>
      <c r="CM104" s="21">
        <f>EXP(-LN(2)/2)*CM103+(1-EXP(-LN(2)/2))/(LN(2)/2)*CG104*CJ104*VLOOKUP('Données projet'!$B$12,Paramètres!$A$1:$I$89,3,0)*0.475*44/12</f>
        <v>1.8825726095211526E-3</v>
      </c>
      <c r="CN104" s="22">
        <f t="shared" si="66"/>
        <v>64.161840756595723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2.8</v>
      </c>
      <c r="CT104" s="12">
        <f>IF('Données projet'!$A$140&gt;35,CT103+CS104-DB103,IF(A104&lt;'Données projet'!$A$140,$CQ$205^A104,IF(A104='Données projet'!$A$140,'Données projet'!$B$140,CT103+CS104-DB103)))</f>
        <v>232.79999999999995</v>
      </c>
      <c r="CU104" s="17">
        <f>CT104*VLOOKUP('Données projet'!$B$13,Paramètres!$A$1:$I$89,3,0)*VLOOKUP('Données projet'!$B$13,Paramètres!$A$1:$I$89,5,0)</f>
        <v>265.11263999999994</v>
      </c>
      <c r="CV104" s="13">
        <f t="shared" si="95"/>
        <v>63.810948005251909</v>
      </c>
      <c r="CW104" s="20">
        <f t="shared" si="67"/>
        <v>572.87524910914692</v>
      </c>
      <c r="CX104" s="59">
        <f t="shared" si="68"/>
        <v>866.20858244248029</v>
      </c>
      <c r="CY104" s="59">
        <f ca="1">AVERAGE(OFFSET($CX$3,0,0,'Données projet'!$E$13+1,1))-AVERAGE(OFFSET($H$3,0,0,'Données projet'!$E$13+1,1))</f>
        <v>389.89050053480827</v>
      </c>
      <c r="CZ104" s="59">
        <f t="shared" si="96"/>
        <v>216.40816051909616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10.961778042985392</v>
      </c>
      <c r="DG104" s="21">
        <f>EXP(-LN(2)/25)*DG103+(1-EXP(-LN(2)/25))/(LN(2)/25)*Calculateur!DB104*Calculateur!DD104*VLOOKUP('Données projet'!$B$13,Paramètres!$A$1:$I$89,3,0)*0.475*44/12</f>
        <v>1.4369586121986986</v>
      </c>
      <c r="DH104" s="21">
        <f>EXP(-LN(2)/2)*DH103+(1-EXP(-LN(2)/2))/(LN(2)/2)*DB104*DE104*VLOOKUP('Données projet'!$B$13,Paramètres!$A$1:$I$89,3,0)*0.475*44/12</f>
        <v>0.5001133763386908</v>
      </c>
      <c r="DI104" s="22">
        <f t="shared" si="69"/>
        <v>12.898850031522782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4.5999999999999996</v>
      </c>
      <c r="N105" s="13">
        <f>IF('Données projet'!$A$36&gt;35,N104+M105-V104,IF(A105&lt;'Données projet'!$A$36,$K$205^A105,IF(A105='Données projet'!$A$36,'Données projet'!$B$36,N104+M105-V104)))</f>
        <v>270.19999999999993</v>
      </c>
      <c r="O105" s="13">
        <f>N105*VLOOKUP('Données projet'!$B$9,Paramètres!$A$1:$I$89,3,0)*VLOOKUP('Données projet'!$B$9,Paramètres!$A$1:$I$89,5,0)</f>
        <v>244.47695999999993</v>
      </c>
      <c r="P105" s="13">
        <f t="shared" si="87"/>
        <v>59.401731670234192</v>
      </c>
      <c r="Q105" s="20">
        <f t="shared" si="107"/>
        <v>529.25538799232447</v>
      </c>
      <c r="R105" s="59">
        <f t="shared" si="55"/>
        <v>822.58872132565784</v>
      </c>
      <c r="S105" s="59">
        <f ca="1">AVERAGE(OFFSET($R$3,0,0,'Données projet'!$E$9+1,1))-AVERAGE(OFFSET($H$3,0,0,'Données projet'!$E$9+1,1))</f>
        <v>371.7282125501186</v>
      </c>
      <c r="T105" s="59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52.004266884839311</v>
      </c>
      <c r="AA105" s="21">
        <f>EXP(-LN(2)/25)*AA104+(1-EXP(-LN(2)/25))/(LN(2)/25)*Calculateur!V105*Calculateur!X105*VLOOKUP('Données projet'!$B$9,Paramètres!$A$1:$I$89,3,0)*0.475*44/12</f>
        <v>2.372999554658775</v>
      </c>
      <c r="AB105" s="21">
        <f>EXP(-LN(2)/2)*AB104+(1-EXP(-LN(2)/2))/(LN(2)/2)*V105*Y105*VLOOKUP('Données projet'!$B$9,Paramètres!$A$1:$I$89,3,0)*0.475*44/12</f>
        <v>0.65332575422462358</v>
      </c>
      <c r="AC105" s="22">
        <f t="shared" si="57"/>
        <v>55.030592193722711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1.7053025658242404E-13</v>
      </c>
      <c r="AJ105" s="13">
        <f>AI105*VLOOKUP('Données projet'!$B$10,Paramètres!$A$1:$I$89,3,0)*VLOOKUP('Données projet'!$B$10,Paramètres!$A$1:$I$89,5,0)</f>
        <v>7.9808160080574461E-14</v>
      </c>
      <c r="AK105" s="13">
        <f t="shared" si="89"/>
        <v>1.2308384591775343E-12</v>
      </c>
      <c r="AL105" s="20">
        <f t="shared" si="58"/>
        <v>2.282709528541206E-12</v>
      </c>
      <c r="AM105" s="59">
        <f t="shared" si="59"/>
        <v>293.33333333333559</v>
      </c>
      <c r="AN105" s="59">
        <f ca="1">AVERAGE(OFFSET($AM$3,0,0,'Données projet'!$E$10+1,1))-AVERAGE(OFFSET($H$3,0,0,'Données projet'!$E$10+1,1))</f>
        <v>218.32525311070435</v>
      </c>
      <c r="AO105" s="59">
        <f t="shared" si="90"/>
        <v>275.36315264099204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37.958182879285289</v>
      </c>
      <c r="AV105" s="21">
        <f>EXP(-LN(2)/25)*AV104+(1-EXP(-LN(2)/25))/(LN(2)/25)*Calculateur!AQ105*Calculateur!AS105*VLOOKUP('Données projet'!$B$10,Paramètres!$A$1:$I$89,3,0)*0.475*44/12</f>
        <v>11.747646238850839</v>
      </c>
      <c r="AW105" s="21">
        <f>EXP(-LN(2)/2)*AW104+(1-EXP(-LN(2)/2))/(LN(2)/2)*AQ105*AT105*VLOOKUP('Données projet'!$B$10,Paramètres!$A$1:$I$89,3,0)*0.475*44/12</f>
        <v>3.1117933187184692E-5</v>
      </c>
      <c r="AX105" s="21">
        <f t="shared" si="60"/>
        <v>49.70586023606932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343</v>
      </c>
      <c r="BE105" s="13">
        <f>BD105*VLOOKUP('Données projet'!$B$11,Paramètres!$A$1:$I$89,3,0)*VLOOKUP('Données projet'!$B$11,Paramètres!$A$1:$I$89,5,0)</f>
        <v>326.39879999999999</v>
      </c>
      <c r="BF105" s="13">
        <f t="shared" si="91"/>
        <v>76.683210401884097</v>
      </c>
      <c r="BG105" s="20">
        <f t="shared" si="61"/>
        <v>702.03450144994804</v>
      </c>
      <c r="BH105" s="59">
        <f t="shared" si="62"/>
        <v>995.3678347832813</v>
      </c>
      <c r="BI105" s="59">
        <f ca="1">AVERAGE(OFFSET($BH$3,0,0,'Données projet'!$E$11+1,1))-AVERAGE(OFFSET($H$3,0,0,'Données projet'!$E$11+1,1))</f>
        <v>446.62872871405051</v>
      </c>
      <c r="BJ105" s="59">
        <f t="shared" si="92"/>
        <v>471.28934889691658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31.57278211215236</v>
      </c>
      <c r="BQ105" s="21">
        <f>EXP(-LN(2)/25)*BQ104+(1-EXP(-LN(2)/25))/(LN(2)/25)*Calculateur!BL105*Calculateur!BN105*VLOOKUP('Données projet'!$B$11,Paramètres!$A$1:$I$89,3,0)*0.475*44/12</f>
        <v>1.3844278060059376</v>
      </c>
      <c r="BR105" s="21">
        <f>EXP(-LN(2)/2)*BR104+(1-EXP(-LN(2)/2))/(LN(2)/2)*BL105*BO105*VLOOKUP('Données projet'!$B$11,Paramètres!$A$1:$I$89,3,0)*0.475*44/12</f>
        <v>2.6144888956596528E-5</v>
      </c>
      <c r="BS105" s="22">
        <f t="shared" si="63"/>
        <v>32.957236063047255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991.00000000000011</v>
      </c>
      <c r="BZ105" s="13">
        <f>BY105*VLOOKUP('Données projet'!$B$12,Paramètres!$A$1:$I$89,3,0)*VLOOKUP('Données projet'!$B$12,Paramètres!$A$1:$I$89,5,0)</f>
        <v>438.02200000000011</v>
      </c>
      <c r="CA105" s="13">
        <f t="shared" si="93"/>
        <v>99.443834741543355</v>
      </c>
      <c r="CB105" s="20">
        <f t="shared" si="64"/>
        <v>936.08632884152132</v>
      </c>
      <c r="CC105" s="59">
        <f t="shared" si="65"/>
        <v>1229.4196621748547</v>
      </c>
      <c r="CD105" s="59">
        <f ca="1">AVERAGE(OFFSET($CC$3,0,0,'Données projet'!$E$12+1,1))-AVERAGE(OFFSET($H$3,0,0,'Données projet'!$E$12+1,1))</f>
        <v>534.99316143569899</v>
      </c>
      <c r="CE105" s="59">
        <f t="shared" si="94"/>
        <v>449.56965858934262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45.352798904878277</v>
      </c>
      <c r="CL105" s="21">
        <f>EXP(-LN(2)/25)*CL104+(1-EXP(-LN(2)/25))/(LN(2)/25)*Calculateur!CG105*Calculateur!CI105*VLOOKUP('Données projet'!$B$12,Paramètres!$A$1:$I$89,3,0)*0.475*44/12</f>
        <v>17.410553039126118</v>
      </c>
      <c r="CM105" s="21">
        <f>EXP(-LN(2)/2)*CM104+(1-EXP(-LN(2)/2))/(LN(2)/2)*CG105*CJ105*VLOOKUP('Données projet'!$B$12,Paramètres!$A$1:$I$89,3,0)*0.475*44/12</f>
        <v>1.3311798582684616E-3</v>
      </c>
      <c r="CN105" s="22">
        <f t="shared" si="66"/>
        <v>62.764683123862667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2.8</v>
      </c>
      <c r="CT105" s="12">
        <f>IF('Données projet'!$A$140&gt;35,CT104+CS105-DB104,IF(A105&lt;'Données projet'!$A$140,$CQ$205^A105,IF(A105='Données projet'!$A$140,'Données projet'!$B$140,CT104+CS105-DB104)))</f>
        <v>235.59999999999997</v>
      </c>
      <c r="CU105" s="17">
        <f>CT105*VLOOKUP('Données projet'!$B$13,Paramètres!$A$1:$I$89,3,0)*VLOOKUP('Données projet'!$B$13,Paramètres!$A$1:$I$89,5,0)</f>
        <v>268.30127999999996</v>
      </c>
      <c r="CV105" s="13">
        <f t="shared" si="95"/>
        <v>64.488625713042012</v>
      </c>
      <c r="CW105" s="20">
        <f t="shared" si="67"/>
        <v>579.60908578354815</v>
      </c>
      <c r="CX105" s="59">
        <f t="shared" si="68"/>
        <v>872.94241911688141</v>
      </c>
      <c r="CY105" s="59">
        <f ca="1">AVERAGE(OFFSET($CX$3,0,0,'Données projet'!$E$13+1,1))-AVERAGE(OFFSET($H$3,0,0,'Données projet'!$E$13+1,1))</f>
        <v>389.89050053480827</v>
      </c>
      <c r="CZ105" s="59">
        <f t="shared" si="96"/>
        <v>216.40816051909616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10.746824261586864</v>
      </c>
      <c r="DG105" s="21">
        <f>EXP(-LN(2)/25)*DG104+(1-EXP(-LN(2)/25))/(LN(2)/25)*Calculateur!DB105*Calculateur!DD105*VLOOKUP('Données projet'!$B$13,Paramètres!$A$1:$I$89,3,0)*0.475*44/12</f>
        <v>1.3976649033817559</v>
      </c>
      <c r="DH105" s="21">
        <f>EXP(-LN(2)/2)*DH104+(1-EXP(-LN(2)/2))/(LN(2)/2)*DB105*DE105*VLOOKUP('Données projet'!$B$13,Paramètres!$A$1:$I$89,3,0)*0.475*44/12</f>
        <v>0.35363355977118816</v>
      </c>
      <c r="DI105" s="22">
        <f t="shared" si="69"/>
        <v>12.498122724739808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4.5999999999999996</v>
      </c>
      <c r="N106" s="13">
        <f>IF('Données projet'!$A$36&gt;35,N105+M106-V105,IF(A106&lt;'Données projet'!$A$36,$K$205^A106,IF(A106='Données projet'!$A$36,'Données projet'!$B$36,N105+M106-V105)))</f>
        <v>274.79999999999995</v>
      </c>
      <c r="O106" s="13">
        <f>N106*VLOOKUP('Données projet'!$B$9,Paramètres!$A$1:$I$89,3,0)*VLOOKUP('Données projet'!$B$9,Paramètres!$A$1:$I$89,5,0)</f>
        <v>248.63903999999994</v>
      </c>
      <c r="P106" s="13">
        <f t="shared" si="87"/>
        <v>60.294419230169922</v>
      </c>
      <c r="Q106" s="20">
        <f t="shared" si="107"/>
        <v>538.05910815921254</v>
      </c>
      <c r="R106" s="59">
        <f t="shared" si="55"/>
        <v>831.39244149254591</v>
      </c>
      <c r="S106" s="59">
        <f ca="1">AVERAGE(OFFSET($R$3,0,0,'Données projet'!$E$9+1,1))-AVERAGE(OFFSET($H$3,0,0,'Données projet'!$E$9+1,1))</f>
        <v>371.7282125501186</v>
      </c>
      <c r="T106" s="59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50.984494930698375</v>
      </c>
      <c r="AA106" s="21">
        <f>EXP(-LN(2)/25)*AA105+(1-EXP(-LN(2)/25))/(LN(2)/25)*Calculateur!V106*Calculateur!X106*VLOOKUP('Données projet'!$B$9,Paramètres!$A$1:$I$89,3,0)*0.475*44/12</f>
        <v>2.3081097570460076</v>
      </c>
      <c r="AB106" s="21">
        <f>EXP(-LN(2)/2)*AB105+(1-EXP(-LN(2)/2))/(LN(2)/2)*V106*Y106*VLOOKUP('Données projet'!$B$9,Paramètres!$A$1:$I$89,3,0)*0.475*44/12</f>
        <v>0.46197107113604707</v>
      </c>
      <c r="AC106" s="22">
        <f t="shared" si="57"/>
        <v>53.754575758880428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1.7053025658242404E-13</v>
      </c>
      <c r="AJ106" s="13">
        <f>AI106*VLOOKUP('Données projet'!$B$10,Paramètres!$A$1:$I$89,3,0)*VLOOKUP('Données projet'!$B$10,Paramètres!$A$1:$I$89,5,0)</f>
        <v>7.9808160080574461E-14</v>
      </c>
      <c r="AK106" s="13">
        <f t="shared" si="89"/>
        <v>1.2308384591775343E-12</v>
      </c>
      <c r="AL106" s="20">
        <f t="shared" si="58"/>
        <v>2.282709528541206E-12</v>
      </c>
      <c r="AM106" s="59">
        <f t="shared" si="59"/>
        <v>293.33333333333559</v>
      </c>
      <c r="AN106" s="59">
        <f ca="1">AVERAGE(OFFSET($AM$3,0,0,'Données projet'!$E$10+1,1))-AVERAGE(OFFSET($H$3,0,0,'Données projet'!$E$10+1,1))</f>
        <v>218.32525311070435</v>
      </c>
      <c r="AO106" s="59">
        <f t="shared" si="90"/>
        <v>275.36315264099204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37.213846065227969</v>
      </c>
      <c r="AV106" s="21">
        <f>EXP(-LN(2)/25)*AV105+(1-EXP(-LN(2)/25))/(LN(2)/25)*Calculateur!AQ106*Calculateur!AS106*VLOOKUP('Données projet'!$B$10,Paramètres!$A$1:$I$89,3,0)*0.475*44/12</f>
        <v>11.426406234667597</v>
      </c>
      <c r="AW106" s="21">
        <f>EXP(-LN(2)/2)*AW105+(1-EXP(-LN(2)/2))/(LN(2)/2)*AQ106*AT106*VLOOKUP('Données projet'!$B$10,Paramètres!$A$1:$I$89,3,0)*0.475*44/12</f>
        <v>2.2003701573168212E-5</v>
      </c>
      <c r="AX106" s="21">
        <f t="shared" si="60"/>
        <v>48.640274303597138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343</v>
      </c>
      <c r="BE106" s="13">
        <f>BD106*VLOOKUP('Données projet'!$B$11,Paramètres!$A$1:$I$89,3,0)*VLOOKUP('Données projet'!$B$11,Paramètres!$A$1:$I$89,5,0)</f>
        <v>326.39879999999999</v>
      </c>
      <c r="BF106" s="13">
        <f t="shared" si="91"/>
        <v>76.683210401884097</v>
      </c>
      <c r="BG106" s="20">
        <f t="shared" si="61"/>
        <v>702.03450144994804</v>
      </c>
      <c r="BH106" s="59">
        <f t="shared" si="62"/>
        <v>995.3678347832813</v>
      </c>
      <c r="BI106" s="59">
        <f ca="1">AVERAGE(OFFSET($BH$3,0,0,'Données projet'!$E$11+1,1))-AVERAGE(OFFSET($H$3,0,0,'Données projet'!$E$11+1,1))</f>
        <v>446.62872871405051</v>
      </c>
      <c r="BJ106" s="59">
        <f t="shared" si="92"/>
        <v>471.28934889691658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30.953659112428621</v>
      </c>
      <c r="BQ106" s="21">
        <f>EXP(-LN(2)/25)*BQ105+(1-EXP(-LN(2)/25))/(LN(2)/25)*Calculateur!BL106*Calculateur!BN106*VLOOKUP('Données projet'!$B$11,Paramètres!$A$1:$I$89,3,0)*0.475*44/12</f>
        <v>1.346570554846811</v>
      </c>
      <c r="BR106" s="21">
        <f>EXP(-LN(2)/2)*BR105+(1-EXP(-LN(2)/2))/(LN(2)/2)*BL106*BO106*VLOOKUP('Données projet'!$B$11,Paramètres!$A$1:$I$89,3,0)*0.475*44/12</f>
        <v>1.8487228274578684E-5</v>
      </c>
      <c r="BS106" s="22">
        <f t="shared" si="63"/>
        <v>32.300248154503706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991.00000000000011</v>
      </c>
      <c r="BZ106" s="13">
        <f>BY106*VLOOKUP('Données projet'!$B$12,Paramètres!$A$1:$I$89,3,0)*VLOOKUP('Données projet'!$B$12,Paramètres!$A$1:$I$89,5,0)</f>
        <v>438.02200000000011</v>
      </c>
      <c r="CA106" s="13">
        <f t="shared" si="93"/>
        <v>99.443834741543355</v>
      </c>
      <c r="CB106" s="20">
        <f t="shared" si="64"/>
        <v>936.08632884152132</v>
      </c>
      <c r="CC106" s="59">
        <f t="shared" si="65"/>
        <v>1229.4196621748547</v>
      </c>
      <c r="CD106" s="59">
        <f ca="1">AVERAGE(OFFSET($CC$3,0,0,'Données projet'!$E$12+1,1))-AVERAGE(OFFSET($H$3,0,0,'Données projet'!$E$12+1,1))</f>
        <v>534.99316143569899</v>
      </c>
      <c r="CE106" s="59">
        <f t="shared" si="94"/>
        <v>449.56965858934262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44.463458180829505</v>
      </c>
      <c r="CL106" s="21">
        <f>EXP(-LN(2)/25)*CL105+(1-EXP(-LN(2)/25))/(LN(2)/25)*Calculateur!CG106*Calculateur!CI106*VLOOKUP('Données projet'!$B$12,Paramètres!$A$1:$I$89,3,0)*0.475*44/12</f>
        <v>16.934460550690023</v>
      </c>
      <c r="CM106" s="21">
        <f>EXP(-LN(2)/2)*CM105+(1-EXP(-LN(2)/2))/(LN(2)/2)*CG106*CJ106*VLOOKUP('Données projet'!$B$12,Paramètres!$A$1:$I$89,3,0)*0.475*44/12</f>
        <v>9.4128630476057642E-4</v>
      </c>
      <c r="CN106" s="22">
        <f t="shared" si="66"/>
        <v>61.398860017824283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2.8</v>
      </c>
      <c r="CT106" s="12">
        <f>IF('Données projet'!$A$140&gt;35,CT105+CS106-DB105,IF(A106&lt;'Données projet'!$A$140,$CQ$205^A106,IF(A106='Données projet'!$A$140,'Données projet'!$B$140,CT105+CS106-DB105)))</f>
        <v>238.39999999999998</v>
      </c>
      <c r="CU106" s="17">
        <f>CT106*VLOOKUP('Données projet'!$B$13,Paramètres!$A$1:$I$89,3,0)*VLOOKUP('Données projet'!$B$13,Paramètres!$A$1:$I$89,5,0)</f>
        <v>271.48991999999998</v>
      </c>
      <c r="CV106" s="13">
        <f t="shared" si="95"/>
        <v>65.165366572305189</v>
      </c>
      <c r="CW106" s="20">
        <f t="shared" si="67"/>
        <v>586.34129078009812</v>
      </c>
      <c r="CX106" s="59">
        <f t="shared" si="68"/>
        <v>879.67462411343149</v>
      </c>
      <c r="CY106" s="59">
        <f ca="1">AVERAGE(OFFSET($CX$3,0,0,'Données projet'!$E$13+1,1))-AVERAGE(OFFSET($H$3,0,0,'Données projet'!$E$13+1,1))</f>
        <v>389.89050053480827</v>
      </c>
      <c r="CZ106" s="59">
        <f t="shared" si="96"/>
        <v>216.40816051909616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10.536085592732702</v>
      </c>
      <c r="DG106" s="21">
        <f>EXP(-LN(2)/25)*DG105+(1-EXP(-LN(2)/25))/(LN(2)/25)*Calculateur!DB106*Calculateur!DD106*VLOOKUP('Données projet'!$B$13,Paramètres!$A$1:$I$89,3,0)*0.475*44/12</f>
        <v>1.3594456830987789</v>
      </c>
      <c r="DH106" s="21">
        <f>EXP(-LN(2)/2)*DH105+(1-EXP(-LN(2)/2))/(LN(2)/2)*DB106*DE106*VLOOKUP('Données projet'!$B$13,Paramètres!$A$1:$I$89,3,0)*0.475*44/12</f>
        <v>0.25005668816934545</v>
      </c>
      <c r="DI106" s="22">
        <f t="shared" si="69"/>
        <v>12.145587964000827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4.5999999999999996</v>
      </c>
      <c r="N107" s="13">
        <f>IF('Données projet'!$A$36&gt;35,N106+M107-V106,IF(A107&lt;'Données projet'!$A$36,$K$205^A107,IF(A107='Données projet'!$A$36,'Données projet'!$B$36,N106+M107-V106)))</f>
        <v>279.39999999999998</v>
      </c>
      <c r="O107" s="13">
        <f>N107*VLOOKUP('Données projet'!$B$9,Paramètres!$A$1:$I$89,3,0)*VLOOKUP('Données projet'!$B$9,Paramètres!$A$1:$I$89,5,0)</f>
        <v>252.80111999999994</v>
      </c>
      <c r="P107" s="13">
        <f t="shared" si="87"/>
        <v>61.185369021394209</v>
      </c>
      <c r="Q107" s="20">
        <f t="shared" si="107"/>
        <v>546.8598017122614</v>
      </c>
      <c r="R107" s="59">
        <f t="shared" si="55"/>
        <v>840.19313504559477</v>
      </c>
      <c r="S107" s="59">
        <f ca="1">AVERAGE(OFFSET($R$3,0,0,'Données projet'!$E$9+1,1))-AVERAGE(OFFSET($H$3,0,0,'Données projet'!$E$9+1,1))</f>
        <v>371.7282125501186</v>
      </c>
      <c r="T107" s="59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49.984720082578669</v>
      </c>
      <c r="AA107" s="21">
        <f>EXP(-LN(2)/25)*AA106+(1-EXP(-LN(2)/25))/(LN(2)/25)*Calculateur!V107*Calculateur!X107*VLOOKUP('Données projet'!$B$9,Paramètres!$A$1:$I$89,3,0)*0.475*44/12</f>
        <v>2.2449943743613678</v>
      </c>
      <c r="AB107" s="21">
        <f>EXP(-LN(2)/2)*AB106+(1-EXP(-LN(2)/2))/(LN(2)/2)*V107*Y107*VLOOKUP('Données projet'!$B$9,Paramètres!$A$1:$I$89,3,0)*0.475*44/12</f>
        <v>0.32666287711231184</v>
      </c>
      <c r="AC107" s="22">
        <f t="shared" si="57"/>
        <v>52.55637733405235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1.7053025658242404E-13</v>
      </c>
      <c r="AJ107" s="13">
        <f>AI107*VLOOKUP('Données projet'!$B$10,Paramètres!$A$1:$I$89,3,0)*VLOOKUP('Données projet'!$B$10,Paramètres!$A$1:$I$89,5,0)</f>
        <v>7.9808160080574461E-14</v>
      </c>
      <c r="AK107" s="13">
        <f t="shared" si="89"/>
        <v>1.2308384591775343E-12</v>
      </c>
      <c r="AL107" s="20">
        <f t="shared" si="58"/>
        <v>2.282709528541206E-12</v>
      </c>
      <c r="AM107" s="59">
        <f t="shared" si="59"/>
        <v>293.33333333333559</v>
      </c>
      <c r="AN107" s="59">
        <f ca="1">AVERAGE(OFFSET($AM$3,0,0,'Données projet'!$E$10+1,1))-AVERAGE(OFFSET($H$3,0,0,'Données projet'!$E$10+1,1))</f>
        <v>218.32525311070435</v>
      </c>
      <c r="AO107" s="59">
        <f t="shared" si="90"/>
        <v>275.36315264099204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36.484105242093683</v>
      </c>
      <c r="AV107" s="21">
        <f>EXP(-LN(2)/25)*AV106+(1-EXP(-LN(2)/25))/(LN(2)/25)*Calculateur!AQ107*Calculateur!AS107*VLOOKUP('Données projet'!$B$10,Paramètres!$A$1:$I$89,3,0)*0.475*44/12</f>
        <v>11.113950555292023</v>
      </c>
      <c r="AW107" s="21">
        <f>EXP(-LN(2)/2)*AW106+(1-EXP(-LN(2)/2))/(LN(2)/2)*AQ107*AT107*VLOOKUP('Données projet'!$B$10,Paramètres!$A$1:$I$89,3,0)*0.475*44/12</f>
        <v>1.5558966593592346E-5</v>
      </c>
      <c r="AX107" s="21">
        <f t="shared" si="60"/>
        <v>47.5980713563523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343</v>
      </c>
      <c r="BE107" s="13">
        <f>BD107*VLOOKUP('Données projet'!$B$11,Paramètres!$A$1:$I$89,3,0)*VLOOKUP('Données projet'!$B$11,Paramètres!$A$1:$I$89,5,0)</f>
        <v>326.39879999999999</v>
      </c>
      <c r="BF107" s="13">
        <f t="shared" si="91"/>
        <v>76.683210401884097</v>
      </c>
      <c r="BG107" s="20">
        <f t="shared" si="61"/>
        <v>702.03450144994804</v>
      </c>
      <c r="BH107" s="59">
        <f t="shared" si="62"/>
        <v>995.3678347832813</v>
      </c>
      <c r="BI107" s="59">
        <f ca="1">AVERAGE(OFFSET($BH$3,0,0,'Données projet'!$E$11+1,1))-AVERAGE(OFFSET($H$3,0,0,'Données projet'!$E$11+1,1))</f>
        <v>446.62872871405051</v>
      </c>
      <c r="BJ107" s="59">
        <f t="shared" si="92"/>
        <v>471.28934889691658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30.346676737101724</v>
      </c>
      <c r="BQ107" s="21">
        <f>EXP(-LN(2)/25)*BQ106+(1-EXP(-LN(2)/25))/(LN(2)/25)*Calculateur!BL107*Calculateur!BN107*VLOOKUP('Données projet'!$B$11,Paramètres!$A$1:$I$89,3,0)*0.475*44/12</f>
        <v>1.3097485122114572</v>
      </c>
      <c r="BR107" s="21">
        <f>EXP(-LN(2)/2)*BR106+(1-EXP(-LN(2)/2))/(LN(2)/2)*BL107*BO107*VLOOKUP('Données projet'!$B$11,Paramètres!$A$1:$I$89,3,0)*0.475*44/12</f>
        <v>1.3072444478298264E-5</v>
      </c>
      <c r="BS107" s="22">
        <f t="shared" si="63"/>
        <v>31.656438321757658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991.00000000000011</v>
      </c>
      <c r="BZ107" s="13">
        <f>BY107*VLOOKUP('Données projet'!$B$12,Paramètres!$A$1:$I$89,3,0)*VLOOKUP('Données projet'!$B$12,Paramètres!$A$1:$I$89,5,0)</f>
        <v>438.02200000000011</v>
      </c>
      <c r="CA107" s="13">
        <f t="shared" si="93"/>
        <v>99.443834741543355</v>
      </c>
      <c r="CB107" s="20">
        <f t="shared" si="64"/>
        <v>936.08632884152132</v>
      </c>
      <c r="CC107" s="59">
        <f t="shared" si="65"/>
        <v>1229.4196621748547</v>
      </c>
      <c r="CD107" s="59">
        <f ca="1">AVERAGE(OFFSET($CC$3,0,0,'Données projet'!$E$12+1,1))-AVERAGE(OFFSET($H$3,0,0,'Données projet'!$E$12+1,1))</f>
        <v>534.99316143569899</v>
      </c>
      <c r="CE107" s="59">
        <f t="shared" si="94"/>
        <v>449.56965858934262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43.591556885935049</v>
      </c>
      <c r="CL107" s="21">
        <f>EXP(-LN(2)/25)*CL106+(1-EXP(-LN(2)/25))/(LN(2)/25)*Calculateur!CG107*Calculateur!CI107*VLOOKUP('Données projet'!$B$12,Paramètres!$A$1:$I$89,3,0)*0.475*44/12</f>
        <v>16.471386836386827</v>
      </c>
      <c r="CM107" s="21">
        <f>EXP(-LN(2)/2)*CM106+(1-EXP(-LN(2)/2))/(LN(2)/2)*CG107*CJ107*VLOOKUP('Données projet'!$B$12,Paramètres!$A$1:$I$89,3,0)*0.475*44/12</f>
        <v>6.6558992913423088E-4</v>
      </c>
      <c r="CN107" s="22">
        <f t="shared" si="66"/>
        <v>60.06360931225101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2.8</v>
      </c>
      <c r="CT107" s="12">
        <f>IF('Données projet'!$A$140&gt;35,CT106+CS107-DB106,IF(A107&lt;'Données projet'!$A$140,$CQ$205^A107,IF(A107='Données projet'!$A$140,'Données projet'!$B$140,CT106+CS107-DB106)))</f>
        <v>241.2</v>
      </c>
      <c r="CU107" s="17">
        <f>CT107*VLOOKUP('Données projet'!$B$13,Paramètres!$A$1:$I$89,3,0)*VLOOKUP('Données projet'!$B$13,Paramètres!$A$1:$I$89,5,0)</f>
        <v>274.67856</v>
      </c>
      <c r="CV107" s="13">
        <f t="shared" si="95"/>
        <v>65.841182859249173</v>
      </c>
      <c r="CW107" s="20">
        <f t="shared" si="67"/>
        <v>593.07188547985891</v>
      </c>
      <c r="CX107" s="59">
        <f t="shared" si="68"/>
        <v>886.40521881319228</v>
      </c>
      <c r="CY107" s="59">
        <f ca="1">AVERAGE(OFFSET($CX$3,0,0,'Données projet'!$E$13+1,1))-AVERAGE(OFFSET($H$3,0,0,'Données projet'!$E$13+1,1))</f>
        <v>389.89050053480827</v>
      </c>
      <c r="CZ107" s="59">
        <f t="shared" si="96"/>
        <v>216.40816051909616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10.329479380636872</v>
      </c>
      <c r="DG107" s="21">
        <f>EXP(-LN(2)/25)*DG106+(1-EXP(-LN(2)/25))/(LN(2)/25)*Calculateur!DB107*Calculateur!DD107*VLOOKUP('Données projet'!$B$13,Paramètres!$A$1:$I$89,3,0)*0.475*44/12</f>
        <v>1.3222715694043015</v>
      </c>
      <c r="DH107" s="21">
        <f>EXP(-LN(2)/2)*DH106+(1-EXP(-LN(2)/2))/(LN(2)/2)*DB107*DE107*VLOOKUP('Données projet'!$B$13,Paramètres!$A$1:$I$89,3,0)*0.475*44/12</f>
        <v>0.17681677988559411</v>
      </c>
      <c r="DI107" s="22">
        <f t="shared" si="69"/>
        <v>11.828567729926769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284</v>
      </c>
      <c r="L108" s="12">
        <f>VLOOKUP(A108,'Données projet'!$A$35:$I$55,9,0)</f>
        <v>4.5999999999999996</v>
      </c>
      <c r="M108" s="12">
        <f t="array" ref="M108">INDEX(L:L,MIN(IF(ISNUMBER(L108:L304),ROW(L108:L304),"")))</f>
        <v>4.5999999999999996</v>
      </c>
      <c r="N108" s="13">
        <f>IF('Données projet'!$A$36&gt;35,N107+M108-V107,IF(A108&lt;'Données projet'!$A$36,$K$205^A108,IF(A108='Données projet'!$A$36,'Données projet'!$B$36,N107+M108-V107)))</f>
        <v>284</v>
      </c>
      <c r="O108" s="13">
        <f>N108*VLOOKUP('Données projet'!$B$9,Paramètres!$A$1:$I$89,3,0)*VLOOKUP('Données projet'!$B$9,Paramètres!$A$1:$I$89,5,0)</f>
        <v>256.96320000000003</v>
      </c>
      <c r="P108" s="13">
        <f t="shared" si="87"/>
        <v>62.074612956838024</v>
      </c>
      <c r="Q108" s="20">
        <f t="shared" si="107"/>
        <v>555.65752423315951</v>
      </c>
      <c r="R108" s="59">
        <f t="shared" si="55"/>
        <v>848.99085756649288</v>
      </c>
      <c r="S108" s="59">
        <f ca="1">AVERAGE(OFFSET($R$3,0,0,'Données projet'!$E$9+1,1))-AVERAGE(OFFSET($H$3,0,0,'Données projet'!$E$9+1,1))</f>
        <v>371.7282125501186</v>
      </c>
      <c r="T108" s="59">
        <f t="shared" si="88"/>
        <v>231.36959598460686</v>
      </c>
      <c r="U108" s="15">
        <f>IF(ISNA(VLOOKUP(A108,'Données projet'!$A$35:$I$55,3,0)),0,VLOOKUP(A108,'Données projet'!$A$35:$I$55,3,0))</f>
        <v>17</v>
      </c>
      <c r="V108" s="15">
        <f>IF(ISNA(VLOOKUP(A108,'Données projet'!$A$35:$I$55,4,0)),0,VLOOKUP(A108,'Données projet'!$A$35:$I$55,4,0))</f>
        <v>20</v>
      </c>
      <c r="W108" s="16">
        <f>IF(ISNA(VLOOKUP(A108,'Données projet'!$A$35:$I$55,5,0)),0%,VLOOKUP(A108,'Données projet'!$A$35:$I$55,5,0)*VLOOKUP('Données projet'!$B$9,Paramètres!$A$1:$I$89,7,0))</f>
        <v>0.34400000000000003</v>
      </c>
      <c r="X108" s="16">
        <f>IF(ISNA(VLOOKUP(A108,'Données projet'!$A$35:$I$55,6,0)),0%,VLOOKUP(A108,'Données projet'!$A$35:$I$55,6,0)*VLOOKUP('Données projet'!$B$9,Paramètres!$A$1:$I$89,7,0))</f>
        <v>1.72E-2</v>
      </c>
      <c r="Y108" s="16">
        <f>IF(ISNA(VLOOKUP(A108,'Données projet'!$A$35:$I$55,7,0)),0%,VLOOKUP(A108,'Données projet'!$A$35:$I$55,7,0))</f>
        <v>0.06</v>
      </c>
      <c r="Z108" s="21">
        <f>EXP(-LN(2)/35)*Z107+(1-EXP(-LN(2)/35))/(LN(2)/35)*V108*W108*VLOOKUP('Données projet'!$B$9,Paramètres!$A$1:$I$89,3,0)*0.475*44/12</f>
        <v>55.886129853309868</v>
      </c>
      <c r="AA108" s="21">
        <f>EXP(-LN(2)/25)*AA107+(1-EXP(-LN(2)/25))/(LN(2)/25)*Calculateur!V108*Calculateur!X108*VLOOKUP('Données projet'!$B$9,Paramètres!$A$1:$I$89,3,0)*0.475*44/12</f>
        <v>2.5263290972721504</v>
      </c>
      <c r="AB108" s="21">
        <f>EXP(-LN(2)/2)*AB107+(1-EXP(-LN(2)/2))/(LN(2)/2)*V108*Y108*VLOOKUP('Données projet'!$B$9,Paramètres!$A$1:$I$89,3,0)*0.475*44/12</f>
        <v>1.2554293183699698</v>
      </c>
      <c r="AC108" s="22">
        <f t="shared" si="57"/>
        <v>59.667888268951991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1.7053025658242404E-13</v>
      </c>
      <c r="AJ108" s="13">
        <f>AI108*VLOOKUP('Données projet'!$B$10,Paramètres!$A$1:$I$89,3,0)*VLOOKUP('Données projet'!$B$10,Paramètres!$A$1:$I$89,5,0)</f>
        <v>7.9808160080574461E-14</v>
      </c>
      <c r="AK108" s="13">
        <f t="shared" si="89"/>
        <v>1.2308384591775343E-12</v>
      </c>
      <c r="AL108" s="20">
        <f t="shared" si="58"/>
        <v>2.282709528541206E-12</v>
      </c>
      <c r="AM108" s="59">
        <f t="shared" si="59"/>
        <v>293.33333333333559</v>
      </c>
      <c r="AN108" s="59">
        <f ca="1">AVERAGE(OFFSET($AM$3,0,0,'Données projet'!$E$10+1,1))-AVERAGE(OFFSET($H$3,0,0,'Données projet'!$E$10+1,1))</f>
        <v>218.32525311070435</v>
      </c>
      <c r="AO108" s="59">
        <f t="shared" si="90"/>
        <v>275.36315264099204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35.768674191403115</v>
      </c>
      <c r="AV108" s="21">
        <f>EXP(-LN(2)/25)*AV107+(1-EXP(-LN(2)/25))/(LN(2)/25)*Calculateur!AQ108*Calculateur!AS108*VLOOKUP('Données projet'!$B$10,Paramètres!$A$1:$I$89,3,0)*0.475*44/12</f>
        <v>10.810038992900305</v>
      </c>
      <c r="AW108" s="21">
        <f>EXP(-LN(2)/2)*AW107+(1-EXP(-LN(2)/2))/(LN(2)/2)*AQ108*AT108*VLOOKUP('Données projet'!$B$10,Paramètres!$A$1:$I$89,3,0)*0.475*44/12</f>
        <v>1.1001850786584106E-5</v>
      </c>
      <c r="AX108" s="21">
        <f t="shared" si="60"/>
        <v>46.578724186154204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343</v>
      </c>
      <c r="BE108" s="13">
        <f>BD108*VLOOKUP('Données projet'!$B$11,Paramètres!$A$1:$I$89,3,0)*VLOOKUP('Données projet'!$B$11,Paramètres!$A$1:$I$89,5,0)</f>
        <v>326.39879999999999</v>
      </c>
      <c r="BF108" s="13">
        <f t="shared" si="91"/>
        <v>76.683210401884097</v>
      </c>
      <c r="BG108" s="20">
        <f t="shared" si="61"/>
        <v>702.03450144994804</v>
      </c>
      <c r="BH108" s="59">
        <f t="shared" si="62"/>
        <v>995.3678347832813</v>
      </c>
      <c r="BI108" s="59">
        <f ca="1">AVERAGE(OFFSET($BH$3,0,0,'Données projet'!$E$11+1,1))-AVERAGE(OFFSET($H$3,0,0,'Données projet'!$E$11+1,1))</f>
        <v>446.62872871405051</v>
      </c>
      <c r="BJ108" s="59">
        <f t="shared" si="92"/>
        <v>471.28934889691658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29.751596915932293</v>
      </c>
      <c r="BQ108" s="21">
        <f>EXP(-LN(2)/25)*BQ107+(1-EXP(-LN(2)/25))/(LN(2)/25)*Calculateur!BL108*Calculateur!BN108*VLOOKUP('Données projet'!$B$11,Paramètres!$A$1:$I$89,3,0)*0.475*44/12</f>
        <v>1.2739333702683542</v>
      </c>
      <c r="BR108" s="21">
        <f>EXP(-LN(2)/2)*BR107+(1-EXP(-LN(2)/2))/(LN(2)/2)*BL108*BO108*VLOOKUP('Données projet'!$B$11,Paramètres!$A$1:$I$89,3,0)*0.475*44/12</f>
        <v>9.243614137289342E-6</v>
      </c>
      <c r="BS108" s="22">
        <f t="shared" si="63"/>
        <v>31.025539529814786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991.00000000000011</v>
      </c>
      <c r="BZ108" s="13">
        <f>BY108*VLOOKUP('Données projet'!$B$12,Paramètres!$A$1:$I$89,3,0)*VLOOKUP('Données projet'!$B$12,Paramètres!$A$1:$I$89,5,0)</f>
        <v>438.02200000000011</v>
      </c>
      <c r="CA108" s="13">
        <f t="shared" si="93"/>
        <v>99.443834741543355</v>
      </c>
      <c r="CB108" s="20">
        <f t="shared" si="64"/>
        <v>936.08632884152132</v>
      </c>
      <c r="CC108" s="59">
        <f t="shared" si="65"/>
        <v>1229.4196621748547</v>
      </c>
      <c r="CD108" s="59">
        <f ca="1">AVERAGE(OFFSET($CC$3,0,0,'Données projet'!$E$12+1,1))-AVERAGE(OFFSET($H$3,0,0,'Données projet'!$E$12+1,1))</f>
        <v>534.99316143569899</v>
      </c>
      <c r="CE108" s="59">
        <f t="shared" si="94"/>
        <v>449.56965858934262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42.736753043626194</v>
      </c>
      <c r="CL108" s="21">
        <f>EXP(-LN(2)/25)*CL107+(1-EXP(-LN(2)/25))/(LN(2)/25)*Calculateur!CG108*Calculateur!CI108*VLOOKUP('Données projet'!$B$12,Paramètres!$A$1:$I$89,3,0)*0.475*44/12</f>
        <v>16.020975897153242</v>
      </c>
      <c r="CM108" s="21">
        <f>EXP(-LN(2)/2)*CM107+(1-EXP(-LN(2)/2))/(LN(2)/2)*CG108*CJ108*VLOOKUP('Données projet'!$B$12,Paramètres!$A$1:$I$89,3,0)*0.475*44/12</f>
        <v>4.7064315238028832E-4</v>
      </c>
      <c r="CN108" s="22">
        <f t="shared" si="66"/>
        <v>58.75819958393182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244</v>
      </c>
      <c r="CR108" s="12">
        <f>VLOOKUP(A108,'Données projet'!$A$139:$I$159,9,0)</f>
        <v>2.8</v>
      </c>
      <c r="CS108" s="12">
        <f t="array" ref="CS108">INDEX(CR:CR,MIN(IF(ISNUMBER(CR108:CR304),ROW(CR108:CR304),"")))</f>
        <v>2.8</v>
      </c>
      <c r="CT108" s="12">
        <f>IF('Données projet'!$A$140&gt;35,CT107+CS108-DB107,IF(A108&lt;'Données projet'!$A$140,$CQ$205^A108,IF(A108='Données projet'!$A$140,'Données projet'!$B$140,CT107+CS108-DB107)))</f>
        <v>244</v>
      </c>
      <c r="CU108" s="17">
        <f>CT108*VLOOKUP('Données projet'!$B$13,Paramètres!$A$1:$I$89,3,0)*VLOOKUP('Données projet'!$B$13,Paramètres!$A$1:$I$89,5,0)</f>
        <v>277.86720000000003</v>
      </c>
      <c r="CV108" s="13">
        <f t="shared" si="95"/>
        <v>66.516086548657384</v>
      </c>
      <c r="CW108" s="20">
        <f t="shared" si="67"/>
        <v>599.80089073891156</v>
      </c>
      <c r="CX108" s="59">
        <f t="shared" si="68"/>
        <v>893.13422407224493</v>
      </c>
      <c r="CY108" s="59">
        <f ca="1">AVERAGE(OFFSET($CX$3,0,0,'Données projet'!$E$13+1,1))-AVERAGE(OFFSET($H$3,0,0,'Données projet'!$E$13+1,1))</f>
        <v>389.89050053480827</v>
      </c>
      <c r="CZ108" s="59">
        <f t="shared" si="96"/>
        <v>216.40816051909616</v>
      </c>
      <c r="DA108" s="15">
        <f>IF(ISNA(VLOOKUP(A108,'Données projet'!$A$139:$I$159,3,0)),0,VLOOKUP(A108,'Données projet'!$A$139:$I$159,3,0))</f>
        <v>17</v>
      </c>
      <c r="DB108" s="15">
        <f>IF(ISNA(VLOOKUP(A108,'Données projet'!$A$139:$I$159,4,0)),0,VLOOKUP(A108,'Données projet'!$A$139:$I$159,4,0))</f>
        <v>9</v>
      </c>
      <c r="DC108" s="16">
        <f>IF(ISNA(VLOOKUP(A108,'Données projet'!$A$139:$I$159,5,0)),0%,VLOOKUP(A108,'Données projet'!$A$139:$I$159,5,0)*VLOOKUP('Données projet'!$B$13,Paramètres!$A$1:$I$89,7,0))</f>
        <v>0.17200000000000001</v>
      </c>
      <c r="DD108" s="16">
        <f>IF(ISNA(VLOOKUP(A108,'Données projet'!$A$139:$I$159,6,0)),0%,VLOOKUP(A108,'Données projet'!$A$139:$I$159,6,0)*VLOOKUP('Données projet'!$B$13,Paramètres!$A$1:$I$89,7,0))</f>
        <v>1.72E-2</v>
      </c>
      <c r="DE108" s="16">
        <f>IF(ISNA(VLOOKUP(A108,'Données projet'!$A$139:$I$159,7,0)),0%,VLOOKUP(A108,'Données projet'!$A$139:$I$159,7,0))</f>
        <v>0.06</v>
      </c>
      <c r="DF108" s="21">
        <f>EXP(-LN(2)/35)*DF107+(1-EXP(-LN(2)/35))/(LN(2)/35)*DB108*DC108*VLOOKUP('Données projet'!$B$13,Paramètres!$A$1:$I$89,3,0)*0.475*44/12</f>
        <v>12.075716756735265</v>
      </c>
      <c r="DG108" s="21">
        <f>EXP(-LN(2)/25)*DG107+(1-EXP(-LN(2)/25))/(LN(2)/25)*Calculateur!DB108*Calculateur!DD108*VLOOKUP('Données projet'!$B$13,Paramètres!$A$1:$I$89,3,0)*0.475*44/12</f>
        <v>1.480225886712226</v>
      </c>
      <c r="DH108" s="21">
        <f>EXP(-LN(2)/2)*DH107+(1-EXP(-LN(2)/2))/(LN(2)/2)*DB108*DE108*VLOOKUP('Données projet'!$B$13,Paramètres!$A$1:$I$89,3,0)*0.475*44/12</f>
        <v>0.70525210727508547</v>
      </c>
      <c r="DI108" s="22">
        <f t="shared" si="69"/>
        <v>14.261194750722577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4.2</v>
      </c>
      <c r="N109" s="13">
        <f>IF('Données projet'!$A$36&gt;35,N108+M109-V108,IF(A109&lt;'Données projet'!$A$36,$K$205^A109,IF(A109='Données projet'!$A$36,'Données projet'!$B$36,N108+M109-V108)))</f>
        <v>268.2</v>
      </c>
      <c r="O109" s="13">
        <f>N109*VLOOKUP('Données projet'!$B$9,Paramètres!$A$1:$I$89,3,0)*VLOOKUP('Données projet'!$B$9,Paramètres!$A$1:$I$89,5,0)</f>
        <v>242.66735999999997</v>
      </c>
      <c r="P109" s="13">
        <f t="shared" si="87"/>
        <v>59.013056290731797</v>
      </c>
      <c r="Q109" s="20">
        <f t="shared" si="107"/>
        <v>525.42672503969118</v>
      </c>
      <c r="R109" s="59">
        <f t="shared" si="55"/>
        <v>818.76005837302455</v>
      </c>
      <c r="S109" s="59">
        <f ca="1">AVERAGE(OFFSET($R$3,0,0,'Données projet'!$E$9+1,1))-AVERAGE(OFFSET($H$3,0,0,'Données projet'!$E$9+1,1))</f>
        <v>371.7282125501186</v>
      </c>
      <c r="T109" s="59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54.790236934059841</v>
      </c>
      <c r="AA109" s="21">
        <f>EXP(-LN(2)/25)*AA108+(1-EXP(-LN(2)/25))/(LN(2)/25)*Calculateur!V109*Calculateur!X109*VLOOKUP('Données projet'!$B$9,Paramètres!$A$1:$I$89,3,0)*0.475*44/12</f>
        <v>2.4572464952533704</v>
      </c>
      <c r="AB109" s="21">
        <f>EXP(-LN(2)/2)*AB108+(1-EXP(-LN(2)/2))/(LN(2)/2)*V109*Y109*VLOOKUP('Données projet'!$B$9,Paramètres!$A$1:$I$89,3,0)*0.475*44/12</f>
        <v>0.88772258431981088</v>
      </c>
      <c r="AC109" s="22">
        <f t="shared" si="57"/>
        <v>58.135206013633024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1.7053025658242404E-13</v>
      </c>
      <c r="AJ109" s="13">
        <f>AI109*VLOOKUP('Données projet'!$B$10,Paramètres!$A$1:$I$89,3,0)*VLOOKUP('Données projet'!$B$10,Paramètres!$A$1:$I$89,5,0)</f>
        <v>7.9808160080574461E-14</v>
      </c>
      <c r="AK109" s="13">
        <f t="shared" si="89"/>
        <v>1.2308384591775343E-12</v>
      </c>
      <c r="AL109" s="20">
        <f t="shared" si="58"/>
        <v>2.282709528541206E-12</v>
      </c>
      <c r="AM109" s="59">
        <f t="shared" si="59"/>
        <v>293.33333333333559</v>
      </c>
      <c r="AN109" s="59">
        <f ca="1">AVERAGE(OFFSET($AM$3,0,0,'Données projet'!$E$10+1,1))-AVERAGE(OFFSET($H$3,0,0,'Données projet'!$E$10+1,1))</f>
        <v>218.32525311070435</v>
      </c>
      <c r="AO109" s="59">
        <f t="shared" si="90"/>
        <v>275.36315264099204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35.067272307246732</v>
      </c>
      <c r="AV109" s="21">
        <f>EXP(-LN(2)/25)*AV108+(1-EXP(-LN(2)/25))/(LN(2)/25)*Calculateur!AQ109*Calculateur!AS109*VLOOKUP('Données projet'!$B$10,Paramètres!$A$1:$I$89,3,0)*0.475*44/12</f>
        <v>10.514437908164203</v>
      </c>
      <c r="AW109" s="21">
        <f>EXP(-LN(2)/2)*AW108+(1-EXP(-LN(2)/2))/(LN(2)/2)*AQ109*AT109*VLOOKUP('Données projet'!$B$10,Paramètres!$A$1:$I$89,3,0)*0.475*44/12</f>
        <v>7.779483296796173E-6</v>
      </c>
      <c r="AX109" s="21">
        <f t="shared" si="60"/>
        <v>45.581717994894234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343</v>
      </c>
      <c r="BE109" s="13">
        <f>BD109*VLOOKUP('Données projet'!$B$11,Paramètres!$A$1:$I$89,3,0)*VLOOKUP('Données projet'!$B$11,Paramètres!$A$1:$I$89,5,0)</f>
        <v>326.39879999999999</v>
      </c>
      <c r="BF109" s="13">
        <f t="shared" si="91"/>
        <v>76.683210401884097</v>
      </c>
      <c r="BG109" s="20">
        <f t="shared" si="61"/>
        <v>702.03450144994804</v>
      </c>
      <c r="BH109" s="59">
        <f t="shared" si="62"/>
        <v>995.3678347832813</v>
      </c>
      <c r="BI109" s="59">
        <f ca="1">AVERAGE(OFFSET($BH$3,0,0,'Données projet'!$E$11+1,1))-AVERAGE(OFFSET($H$3,0,0,'Données projet'!$E$11+1,1))</f>
        <v>446.62872871405051</v>
      </c>
      <c r="BJ109" s="59">
        <f t="shared" si="92"/>
        <v>471.28934889691658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29.168186247093143</v>
      </c>
      <c r="BQ109" s="21">
        <f>EXP(-LN(2)/25)*BQ108+(1-EXP(-LN(2)/25))/(LN(2)/25)*Calculateur!BL109*Calculateur!BN109*VLOOKUP('Données projet'!$B$11,Paramètres!$A$1:$I$89,3,0)*0.475*44/12</f>
        <v>1.2390975952651218</v>
      </c>
      <c r="BR109" s="21">
        <f>EXP(-LN(2)/2)*BR108+(1-EXP(-LN(2)/2))/(LN(2)/2)*BL109*BO109*VLOOKUP('Données projet'!$B$11,Paramètres!$A$1:$I$89,3,0)*0.475*44/12</f>
        <v>6.5362222391491321E-6</v>
      </c>
      <c r="BS109" s="22">
        <f t="shared" si="63"/>
        <v>30.407290378580505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991.00000000000011</v>
      </c>
      <c r="BZ109" s="13">
        <f>BY109*VLOOKUP('Données projet'!$B$12,Paramètres!$A$1:$I$89,3,0)*VLOOKUP('Données projet'!$B$12,Paramètres!$A$1:$I$89,5,0)</f>
        <v>438.02200000000011</v>
      </c>
      <c r="CA109" s="13">
        <f t="shared" si="93"/>
        <v>99.443834741543355</v>
      </c>
      <c r="CB109" s="20">
        <f t="shared" si="64"/>
        <v>936.08632884152132</v>
      </c>
      <c r="CC109" s="59">
        <f t="shared" si="65"/>
        <v>1229.4196621748547</v>
      </c>
      <c r="CD109" s="59">
        <f ca="1">AVERAGE(OFFSET($CC$3,0,0,'Données projet'!$E$12+1,1))-AVERAGE(OFFSET($H$3,0,0,'Données projet'!$E$12+1,1))</f>
        <v>534.99316143569899</v>
      </c>
      <c r="CE109" s="59">
        <f t="shared" si="94"/>
        <v>449.56965858934262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41.898711383286155</v>
      </c>
      <c r="CL109" s="21">
        <f>EXP(-LN(2)/25)*CL108+(1-EXP(-LN(2)/25))/(LN(2)/25)*Calculateur!CG109*Calculateur!CI109*VLOOKUP('Données projet'!$B$12,Paramètres!$A$1:$I$89,3,0)*0.475*44/12</f>
        <v>15.582881468739082</v>
      </c>
      <c r="CM109" s="21">
        <f>EXP(-LN(2)/2)*CM108+(1-EXP(-LN(2)/2))/(LN(2)/2)*CG109*CJ109*VLOOKUP('Données projet'!$B$12,Paramètres!$A$1:$I$89,3,0)*0.475*44/12</f>
        <v>3.327949645671155E-4</v>
      </c>
      <c r="CN109" s="22">
        <f t="shared" si="66"/>
        <v>57.481925646989801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</v>
      </c>
      <c r="CT109" s="12">
        <f>IF('Données projet'!$A$140&gt;35,CT108+CS109-DB108,IF(A109&lt;'Données projet'!$A$140,$CQ$205^A109,IF(A109='Données projet'!$A$140,'Données projet'!$B$140,CT108+CS109-DB108)))</f>
        <v>238</v>
      </c>
      <c r="CU109" s="17">
        <f>CT109*VLOOKUP('Données projet'!$B$13,Paramètres!$A$1:$I$89,3,0)*VLOOKUP('Données projet'!$B$13,Paramètres!$A$1:$I$89,5,0)</f>
        <v>271.03440000000001</v>
      </c>
      <c r="CV109" s="13">
        <f t="shared" si="95"/>
        <v>65.068746196174914</v>
      </c>
      <c r="CW109" s="20">
        <f t="shared" si="67"/>
        <v>585.37964629167129</v>
      </c>
      <c r="CX109" s="59">
        <f t="shared" si="68"/>
        <v>878.71297962500466</v>
      </c>
      <c r="CY109" s="59">
        <f ca="1">AVERAGE(OFFSET($CX$3,0,0,'Données projet'!$E$13+1,1))-AVERAGE(OFFSET($H$3,0,0,'Données projet'!$E$13+1,1))</f>
        <v>389.89050053480827</v>
      </c>
      <c r="CZ109" s="59">
        <f t="shared" si="96"/>
        <v>216.40816051909616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11.838919316595629</v>
      </c>
      <c r="DG109" s="21">
        <f>EXP(-LN(2)/25)*DG108+(1-EXP(-LN(2)/25))/(LN(2)/25)*Calculateur!DB109*Calculateur!DD109*VLOOKUP('Données projet'!$B$13,Paramètres!$A$1:$I$89,3,0)*0.475*44/12</f>
        <v>1.4397490319983839</v>
      </c>
      <c r="DH109" s="21">
        <f>EXP(-LN(2)/2)*DH108+(1-EXP(-LN(2)/2))/(LN(2)/2)*DB109*DE109*VLOOKUP('Données projet'!$B$13,Paramètres!$A$1:$I$89,3,0)*0.475*44/12</f>
        <v>0.49868854750031544</v>
      </c>
      <c r="DI109" s="22">
        <f t="shared" si="69"/>
        <v>13.777356896094327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4.2</v>
      </c>
      <c r="N110" s="13">
        <f>IF('Données projet'!$A$36&gt;35,N109+M110-V109,IF(A110&lt;'Données projet'!$A$36,$K$205^A110,IF(A110='Données projet'!$A$36,'Données projet'!$B$36,N109+M110-V109)))</f>
        <v>272.39999999999998</v>
      </c>
      <c r="O110" s="13">
        <f>N110*VLOOKUP('Données projet'!$B$9,Paramètres!$A$1:$I$89,3,0)*VLOOKUP('Données projet'!$B$9,Paramètres!$A$1:$I$89,5,0)</f>
        <v>246.46751999999995</v>
      </c>
      <c r="P110" s="13">
        <f t="shared" si="87"/>
        <v>59.828888074216977</v>
      </c>
      <c r="Q110" s="20">
        <f t="shared" si="107"/>
        <v>533.46624406259446</v>
      </c>
      <c r="R110" s="59">
        <f t="shared" si="55"/>
        <v>826.79957739592783</v>
      </c>
      <c r="S110" s="59">
        <f ca="1">AVERAGE(OFFSET($R$3,0,0,'Données projet'!$E$9+1,1))-AVERAGE(OFFSET($H$3,0,0,'Données projet'!$E$9+1,1))</f>
        <v>371.7282125501186</v>
      </c>
      <c r="T110" s="59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53.715833806527634</v>
      </c>
      <c r="AA110" s="21">
        <f>EXP(-LN(2)/25)*AA109+(1-EXP(-LN(2)/25))/(LN(2)/25)*Calculateur!V110*Calculateur!X110*VLOOKUP('Données projet'!$B$9,Paramètres!$A$1:$I$89,3,0)*0.475*44/12</f>
        <v>2.3900529606196899</v>
      </c>
      <c r="AB110" s="21">
        <f>EXP(-LN(2)/2)*AB109+(1-EXP(-LN(2)/2))/(LN(2)/2)*V110*Y110*VLOOKUP('Données projet'!$B$9,Paramètres!$A$1:$I$89,3,0)*0.475*44/12</f>
        <v>0.62771465918498504</v>
      </c>
      <c r="AC110" s="22">
        <f t="shared" si="57"/>
        <v>56.733601426332314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1.7053025658242404E-13</v>
      </c>
      <c r="AJ110" s="13">
        <f>AI110*VLOOKUP('Données projet'!$B$10,Paramètres!$A$1:$I$89,3,0)*VLOOKUP('Données projet'!$B$10,Paramètres!$A$1:$I$89,5,0)</f>
        <v>7.9808160080574461E-14</v>
      </c>
      <c r="AK110" s="13">
        <f t="shared" si="89"/>
        <v>1.2308384591775343E-12</v>
      </c>
      <c r="AL110" s="20">
        <f t="shared" si="58"/>
        <v>2.282709528541206E-12</v>
      </c>
      <c r="AM110" s="59">
        <f t="shared" si="59"/>
        <v>293.33333333333559</v>
      </c>
      <c r="AN110" s="59">
        <f ca="1">AVERAGE(OFFSET($AM$3,0,0,'Données projet'!$E$10+1,1))-AVERAGE(OFFSET($H$3,0,0,'Données projet'!$E$10+1,1))</f>
        <v>218.32525311070435</v>
      </c>
      <c r="AO110" s="59">
        <f t="shared" si="90"/>
        <v>275.36315264099204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34.379624486225751</v>
      </c>
      <c r="AV110" s="21">
        <f>EXP(-LN(2)/25)*AV109+(1-EXP(-LN(2)/25))/(LN(2)/25)*Calculateur!AQ110*Calculateur!AS110*VLOOKUP('Données projet'!$B$10,Paramètres!$A$1:$I$89,3,0)*0.475*44/12</f>
        <v>10.226920050635194</v>
      </c>
      <c r="AW110" s="21">
        <f>EXP(-LN(2)/2)*AW109+(1-EXP(-LN(2)/2))/(LN(2)/2)*AQ110*AT110*VLOOKUP('Données projet'!$B$10,Paramètres!$A$1:$I$89,3,0)*0.475*44/12</f>
        <v>5.500925393292053E-6</v>
      </c>
      <c r="AX110" s="21">
        <f t="shared" si="60"/>
        <v>44.606550037786334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343</v>
      </c>
      <c r="BE110" s="13">
        <f>BD110*VLOOKUP('Données projet'!$B$11,Paramètres!$A$1:$I$89,3,0)*VLOOKUP('Données projet'!$B$11,Paramètres!$A$1:$I$89,5,0)</f>
        <v>326.39879999999999</v>
      </c>
      <c r="BF110" s="13">
        <f t="shared" si="91"/>
        <v>76.683210401884097</v>
      </c>
      <c r="BG110" s="20">
        <f t="shared" si="61"/>
        <v>702.03450144994804</v>
      </c>
      <c r="BH110" s="59">
        <f t="shared" si="62"/>
        <v>995.3678347832813</v>
      </c>
      <c r="BI110" s="59">
        <f ca="1">AVERAGE(OFFSET($BH$3,0,0,'Données projet'!$E$11+1,1))-AVERAGE(OFFSET($H$3,0,0,'Données projet'!$E$11+1,1))</f>
        <v>446.62872871405051</v>
      </c>
      <c r="BJ110" s="59">
        <f t="shared" si="92"/>
        <v>471.28934889691658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28.596215905624558</v>
      </c>
      <c r="BQ110" s="21">
        <f>EXP(-LN(2)/25)*BQ109+(1-EXP(-LN(2)/25))/(LN(2)/25)*Calculateur!BL110*Calculateur!BN110*VLOOKUP('Données projet'!$B$11,Paramètres!$A$1:$I$89,3,0)*0.475*44/12</f>
        <v>1.2052144063612864</v>
      </c>
      <c r="BR110" s="21">
        <f>EXP(-LN(2)/2)*BR109+(1-EXP(-LN(2)/2))/(LN(2)/2)*BL110*BO110*VLOOKUP('Données projet'!$B$11,Paramètres!$A$1:$I$89,3,0)*0.475*44/12</f>
        <v>4.621807068644671E-6</v>
      </c>
      <c r="BS110" s="22">
        <f t="shared" si="63"/>
        <v>29.801434933792912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991.00000000000011</v>
      </c>
      <c r="BZ110" s="13">
        <f>BY110*VLOOKUP('Données projet'!$B$12,Paramètres!$A$1:$I$89,3,0)*VLOOKUP('Données projet'!$B$12,Paramètres!$A$1:$I$89,5,0)</f>
        <v>438.02200000000011</v>
      </c>
      <c r="CA110" s="13">
        <f t="shared" si="93"/>
        <v>99.443834741543355</v>
      </c>
      <c r="CB110" s="20">
        <f t="shared" si="64"/>
        <v>936.08632884152132</v>
      </c>
      <c r="CC110" s="59">
        <f t="shared" si="65"/>
        <v>1229.4196621748547</v>
      </c>
      <c r="CD110" s="59">
        <f ca="1">AVERAGE(OFFSET($CC$3,0,0,'Données projet'!$E$12+1,1))-AVERAGE(OFFSET($H$3,0,0,'Données projet'!$E$12+1,1))</f>
        <v>534.99316143569899</v>
      </c>
      <c r="CE110" s="59">
        <f t="shared" si="94"/>
        <v>449.56965858934262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41.077103208750444</v>
      </c>
      <c r="CL110" s="21">
        <f>EXP(-LN(2)/25)*CL109+(1-EXP(-LN(2)/25))/(LN(2)/25)*Calculateur!CG110*Calculateur!CI110*VLOOKUP('Données projet'!$B$12,Paramètres!$A$1:$I$89,3,0)*0.475*44/12</f>
        <v>15.15676675550829</v>
      </c>
      <c r="CM110" s="21">
        <f>EXP(-LN(2)/2)*CM109+(1-EXP(-LN(2)/2))/(LN(2)/2)*CG110*CJ110*VLOOKUP('Données projet'!$B$12,Paramètres!$A$1:$I$89,3,0)*0.475*44/12</f>
        <v>2.3532157619014419E-4</v>
      </c>
      <c r="CN110" s="22">
        <f t="shared" si="66"/>
        <v>56.234105285834922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</v>
      </c>
      <c r="CT110" s="12">
        <f>IF('Données projet'!$A$140&gt;35,CT109+CS110-DB109,IF(A110&lt;'Données projet'!$A$140,$CQ$205^A110,IF(A110='Données projet'!$A$140,'Données projet'!$B$140,CT109+CS110-DB109)))</f>
        <v>241</v>
      </c>
      <c r="CU110" s="17">
        <f>CT110*VLOOKUP('Données projet'!$B$13,Paramètres!$A$1:$I$89,3,0)*VLOOKUP('Données projet'!$B$13,Paramètres!$A$1:$I$89,5,0)</f>
        <v>274.45080000000002</v>
      </c>
      <c r="CV110" s="13">
        <f t="shared" si="95"/>
        <v>65.792940672183761</v>
      </c>
      <c r="CW110" s="20">
        <f t="shared" si="67"/>
        <v>592.59118167071995</v>
      </c>
      <c r="CX110" s="59">
        <f t="shared" si="68"/>
        <v>885.92451500405332</v>
      </c>
      <c r="CY110" s="59">
        <f ca="1">AVERAGE(OFFSET($CX$3,0,0,'Données projet'!$E$13+1,1))-AVERAGE(OFFSET($H$3,0,0,'Données projet'!$E$13+1,1))</f>
        <v>389.89050053480827</v>
      </c>
      <c r="CZ110" s="59">
        <f t="shared" si="96"/>
        <v>216.40816051909616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11.606765329824954</v>
      </c>
      <c r="DG110" s="21">
        <f>EXP(-LN(2)/25)*DG109+(1-EXP(-LN(2)/25))/(LN(2)/25)*Calculateur!DB110*Calculateur!DD110*VLOOKUP('Données projet'!$B$13,Paramètres!$A$1:$I$89,3,0)*0.475*44/12</f>
        <v>1.4003790190052772</v>
      </c>
      <c r="DH110" s="21">
        <f>EXP(-LN(2)/2)*DH109+(1-EXP(-LN(2)/2))/(LN(2)/2)*DB110*DE110*VLOOKUP('Données projet'!$B$13,Paramètres!$A$1:$I$89,3,0)*0.475*44/12</f>
        <v>0.35262605363754279</v>
      </c>
      <c r="DI110" s="22">
        <f t="shared" si="69"/>
        <v>13.359770402467774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4.2</v>
      </c>
      <c r="N111" s="13">
        <f>IF('Données projet'!$A$36&gt;35,N110+M111-V110,IF(A111&lt;'Données projet'!$A$36,$K$205^A111,IF(A111='Données projet'!$A$36,'Données projet'!$B$36,N110+M111-V110)))</f>
        <v>276.59999999999997</v>
      </c>
      <c r="O111" s="13">
        <f>N111*VLOOKUP('Données projet'!$B$9,Paramètres!$A$1:$I$89,3,0)*VLOOKUP('Données projet'!$B$9,Paramètres!$A$1:$I$89,5,0)</f>
        <v>250.26767999999996</v>
      </c>
      <c r="P111" s="13">
        <f t="shared" si="87"/>
        <v>60.643256925083442</v>
      </c>
      <c r="Q111" s="20">
        <f t="shared" si="107"/>
        <v>541.50321514452014</v>
      </c>
      <c r="R111" s="59">
        <f t="shared" si="55"/>
        <v>834.83654847785351</v>
      </c>
      <c r="S111" s="59">
        <f ca="1">AVERAGE(OFFSET($R$3,0,0,'Données projet'!$E$9+1,1))-AVERAGE(OFFSET($H$3,0,0,'Données projet'!$E$9+1,1))</f>
        <v>371.7282125501186</v>
      </c>
      <c r="T111" s="59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52.662499069005129</v>
      </c>
      <c r="AA111" s="21">
        <f>EXP(-LN(2)/25)*AA110+(1-EXP(-LN(2)/25))/(LN(2)/25)*Calculateur!V111*Calculateur!X111*VLOOKUP('Données projet'!$B$9,Paramètres!$A$1:$I$89,3,0)*0.475*44/12</f>
        <v>2.3246968367241219</v>
      </c>
      <c r="AB111" s="21">
        <f>EXP(-LN(2)/2)*AB110+(1-EXP(-LN(2)/2))/(LN(2)/2)*V111*Y111*VLOOKUP('Données projet'!$B$9,Paramètres!$A$1:$I$89,3,0)*0.475*44/12</f>
        <v>0.4438612921599055</v>
      </c>
      <c r="AC111" s="22">
        <f t="shared" si="57"/>
        <v>55.43105719788916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1.7053025658242404E-13</v>
      </c>
      <c r="AJ111" s="13">
        <f>AI111*VLOOKUP('Données projet'!$B$10,Paramètres!$A$1:$I$89,3,0)*VLOOKUP('Données projet'!$B$10,Paramètres!$A$1:$I$89,5,0)</f>
        <v>7.9808160080574461E-14</v>
      </c>
      <c r="AK111" s="13">
        <f t="shared" si="89"/>
        <v>1.2308384591775343E-12</v>
      </c>
      <c r="AL111" s="20">
        <f t="shared" si="58"/>
        <v>2.282709528541206E-12</v>
      </c>
      <c r="AM111" s="59">
        <f t="shared" si="59"/>
        <v>293.33333333333559</v>
      </c>
      <c r="AN111" s="59">
        <f ca="1">AVERAGE(OFFSET($AM$3,0,0,'Données projet'!$E$10+1,1))-AVERAGE(OFFSET($H$3,0,0,'Données projet'!$E$10+1,1))</f>
        <v>218.32525311070435</v>
      </c>
      <c r="AO111" s="59">
        <f t="shared" si="90"/>
        <v>275.36315264099204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33.705461019551237</v>
      </c>
      <c r="AV111" s="21">
        <f>EXP(-LN(2)/25)*AV110+(1-EXP(-LN(2)/25))/(LN(2)/25)*Calculateur!AQ111*Calculateur!AS111*VLOOKUP('Données projet'!$B$10,Paramètres!$A$1:$I$89,3,0)*0.475*44/12</f>
        <v>9.9472643840402224</v>
      </c>
      <c r="AW111" s="21">
        <f>EXP(-LN(2)/2)*AW110+(1-EXP(-LN(2)/2))/(LN(2)/2)*AQ111*AT111*VLOOKUP('Données projet'!$B$10,Paramètres!$A$1:$I$89,3,0)*0.475*44/12</f>
        <v>3.8897416483980865E-6</v>
      </c>
      <c r="AX111" s="21">
        <f t="shared" si="60"/>
        <v>43.65272929333311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343</v>
      </c>
      <c r="BE111" s="13">
        <f>BD111*VLOOKUP('Données projet'!$B$11,Paramètres!$A$1:$I$89,3,0)*VLOOKUP('Données projet'!$B$11,Paramètres!$A$1:$I$89,5,0)</f>
        <v>326.39879999999999</v>
      </c>
      <c r="BF111" s="13">
        <f t="shared" si="91"/>
        <v>76.683210401884097</v>
      </c>
      <c r="BG111" s="20">
        <f t="shared" si="61"/>
        <v>702.03450144994804</v>
      </c>
      <c r="BH111" s="59">
        <f t="shared" si="62"/>
        <v>995.3678347832813</v>
      </c>
      <c r="BI111" s="59">
        <f ca="1">AVERAGE(OFFSET($BH$3,0,0,'Données projet'!$E$11+1,1))-AVERAGE(OFFSET($H$3,0,0,'Données projet'!$E$11+1,1))</f>
        <v>446.62872871405051</v>
      </c>
      <c r="BJ111" s="59">
        <f t="shared" si="92"/>
        <v>471.28934889691658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28.035461553684712</v>
      </c>
      <c r="BQ111" s="21">
        <f>EXP(-LN(2)/25)*BQ110+(1-EXP(-LN(2)/25))/(LN(2)/25)*Calculateur!BL111*Calculateur!BN111*VLOOKUP('Données projet'!$B$11,Paramètres!$A$1:$I$89,3,0)*0.475*44/12</f>
        <v>1.1722577550398658</v>
      </c>
      <c r="BR111" s="21">
        <f>EXP(-LN(2)/2)*BR110+(1-EXP(-LN(2)/2))/(LN(2)/2)*BL111*BO111*VLOOKUP('Données projet'!$B$11,Paramètres!$A$1:$I$89,3,0)*0.475*44/12</f>
        <v>3.268111119574566E-6</v>
      </c>
      <c r="BS111" s="22">
        <f t="shared" si="63"/>
        <v>29.207722576835696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991.00000000000011</v>
      </c>
      <c r="BZ111" s="13">
        <f>BY111*VLOOKUP('Données projet'!$B$12,Paramètres!$A$1:$I$89,3,0)*VLOOKUP('Données projet'!$B$12,Paramètres!$A$1:$I$89,5,0)</f>
        <v>438.02200000000011</v>
      </c>
      <c r="CA111" s="13">
        <f t="shared" si="93"/>
        <v>99.443834741543355</v>
      </c>
      <c r="CB111" s="20">
        <f t="shared" si="64"/>
        <v>936.08632884152132</v>
      </c>
      <c r="CC111" s="59">
        <f t="shared" si="65"/>
        <v>1229.4196621748547</v>
      </c>
      <c r="CD111" s="59">
        <f ca="1">AVERAGE(OFFSET($CC$3,0,0,'Données projet'!$E$12+1,1))-AVERAGE(OFFSET($H$3,0,0,'Données projet'!$E$12+1,1))</f>
        <v>534.99316143569899</v>
      </c>
      <c r="CE111" s="59">
        <f t="shared" si="94"/>
        <v>449.56965858934262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40.27160626938587</v>
      </c>
      <c r="CL111" s="21">
        <f>EXP(-LN(2)/25)*CL110+(1-EXP(-LN(2)/25))/(LN(2)/25)*Calculateur!CG111*Calculateur!CI111*VLOOKUP('Données projet'!$B$12,Paramètres!$A$1:$I$89,3,0)*0.475*44/12</f>
        <v>14.742304171519192</v>
      </c>
      <c r="CM111" s="21">
        <f>EXP(-LN(2)/2)*CM110+(1-EXP(-LN(2)/2))/(LN(2)/2)*CG111*CJ111*VLOOKUP('Données projet'!$B$12,Paramètres!$A$1:$I$89,3,0)*0.475*44/12</f>
        <v>1.6639748228355778E-4</v>
      </c>
      <c r="CN111" s="22">
        <f t="shared" si="66"/>
        <v>55.014076838387346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</v>
      </c>
      <c r="CT111" s="12">
        <f>IF('Données projet'!$A$140&gt;35,CT110+CS111-DB110,IF(A111&lt;'Données projet'!$A$140,$CQ$205^A111,IF(A111='Données projet'!$A$140,'Données projet'!$B$140,CT110+CS111-DB110)))</f>
        <v>244</v>
      </c>
      <c r="CU111" s="17">
        <f>CT111*VLOOKUP('Données projet'!$B$13,Paramètres!$A$1:$I$89,3,0)*VLOOKUP('Données projet'!$B$13,Paramètres!$A$1:$I$89,5,0)</f>
        <v>277.86720000000003</v>
      </c>
      <c r="CV111" s="13">
        <f t="shared" si="95"/>
        <v>66.516086548657384</v>
      </c>
      <c r="CW111" s="20">
        <f t="shared" si="67"/>
        <v>599.80089073891156</v>
      </c>
      <c r="CX111" s="59">
        <f t="shared" si="68"/>
        <v>893.13422407224493</v>
      </c>
      <c r="CY111" s="59">
        <f ca="1">AVERAGE(OFFSET($CX$3,0,0,'Données projet'!$E$13+1,1))-AVERAGE(OFFSET($H$3,0,0,'Données projet'!$E$13+1,1))</f>
        <v>389.89050053480827</v>
      </c>
      <c r="CZ111" s="59">
        <f t="shared" si="96"/>
        <v>216.40816051909616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11.379163741134903</v>
      </c>
      <c r="DG111" s="21">
        <f>EXP(-LN(2)/25)*DG110+(1-EXP(-LN(2)/25))/(LN(2)/25)*Calculateur!DB111*Calculateur!DD111*VLOOKUP('Données projet'!$B$13,Paramètres!$A$1:$I$89,3,0)*0.475*44/12</f>
        <v>1.3620855810878458</v>
      </c>
      <c r="DH111" s="21">
        <f>EXP(-LN(2)/2)*DH110+(1-EXP(-LN(2)/2))/(LN(2)/2)*DB111*DE111*VLOOKUP('Données projet'!$B$13,Paramètres!$A$1:$I$89,3,0)*0.475*44/12</f>
        <v>0.24934427375015775</v>
      </c>
      <c r="DI111" s="22">
        <f t="shared" si="69"/>
        <v>12.990593595972907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4.2</v>
      </c>
      <c r="N112" s="13">
        <f>IF('Données projet'!$A$36&gt;35,N111+M112-V111,IF(A112&lt;'Données projet'!$A$36,$K$205^A112,IF(A112='Données projet'!$A$36,'Données projet'!$B$36,N111+M112-V111)))</f>
        <v>280.79999999999995</v>
      </c>
      <c r="O112" s="13">
        <f>N112*VLOOKUP('Données projet'!$B$9,Paramètres!$A$1:$I$89,3,0)*VLOOKUP('Données projet'!$B$9,Paramètres!$A$1:$I$89,5,0)</f>
        <v>254.06783999999996</v>
      </c>
      <c r="P112" s="13">
        <f t="shared" si="87"/>
        <v>61.456187622750718</v>
      </c>
      <c r="Q112" s="20">
        <f t="shared" si="107"/>
        <v>549.53768144295748</v>
      </c>
      <c r="R112" s="59">
        <f t="shared" si="55"/>
        <v>842.87101477629085</v>
      </c>
      <c r="S112" s="59">
        <f ca="1">AVERAGE(OFFSET($R$3,0,0,'Données projet'!$E$9+1,1))-AVERAGE(OFFSET($H$3,0,0,'Données projet'!$E$9+1,1))</f>
        <v>371.7282125501186</v>
      </c>
      <c r="T112" s="59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51.62981958321469</v>
      </c>
      <c r="AA112" s="21">
        <f>EXP(-LN(2)/25)*AA111+(1-EXP(-LN(2)/25))/(LN(2)/25)*Calculateur!V112*Calculateur!X112*VLOOKUP('Données projet'!$B$9,Paramètres!$A$1:$I$89,3,0)*0.475*44/12</f>
        <v>2.2611278794734071</v>
      </c>
      <c r="AB112" s="21">
        <f>EXP(-LN(2)/2)*AB111+(1-EXP(-LN(2)/2))/(LN(2)/2)*V112*Y112*VLOOKUP('Données projet'!$B$9,Paramètres!$A$1:$I$89,3,0)*0.475*44/12</f>
        <v>0.31385732959249257</v>
      </c>
      <c r="AC112" s="22">
        <f t="shared" si="57"/>
        <v>54.204804792280591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1.7053025658242404E-13</v>
      </c>
      <c r="AJ112" s="13">
        <f>AI112*VLOOKUP('Données projet'!$B$10,Paramètres!$A$1:$I$89,3,0)*VLOOKUP('Données projet'!$B$10,Paramètres!$A$1:$I$89,5,0)</f>
        <v>7.9808160080574461E-14</v>
      </c>
      <c r="AK112" s="13">
        <f t="shared" si="89"/>
        <v>1.2308384591775343E-12</v>
      </c>
      <c r="AL112" s="20">
        <f t="shared" si="58"/>
        <v>2.282709528541206E-12</v>
      </c>
      <c r="AM112" s="59">
        <f t="shared" si="59"/>
        <v>293.33333333333559</v>
      </c>
      <c r="AN112" s="59">
        <f ca="1">AVERAGE(OFFSET($AM$3,0,0,'Données projet'!$E$10+1,1))-AVERAGE(OFFSET($H$3,0,0,'Données projet'!$E$10+1,1))</f>
        <v>218.32525311070435</v>
      </c>
      <c r="AO112" s="59">
        <f t="shared" si="90"/>
        <v>275.36315264099204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33.044517487259093</v>
      </c>
      <c r="AV112" s="21">
        <f>EXP(-LN(2)/25)*AV111+(1-EXP(-LN(2)/25))/(LN(2)/25)*Calculateur!AQ112*Calculateur!AS112*VLOOKUP('Données projet'!$B$10,Paramètres!$A$1:$I$89,3,0)*0.475*44/12</f>
        <v>9.6752559163547431</v>
      </c>
      <c r="AW112" s="21">
        <f>EXP(-LN(2)/2)*AW111+(1-EXP(-LN(2)/2))/(LN(2)/2)*AQ112*AT112*VLOOKUP('Données projet'!$B$10,Paramètres!$A$1:$I$89,3,0)*0.475*44/12</f>
        <v>2.7504626966460265E-6</v>
      </c>
      <c r="AX112" s="21">
        <f t="shared" si="60"/>
        <v>42.719776154076534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343</v>
      </c>
      <c r="BE112" s="13">
        <f>BD112*VLOOKUP('Données projet'!$B$11,Paramètres!$A$1:$I$89,3,0)*VLOOKUP('Données projet'!$B$11,Paramètres!$A$1:$I$89,5,0)</f>
        <v>326.39879999999999</v>
      </c>
      <c r="BF112" s="13">
        <f t="shared" si="91"/>
        <v>76.683210401884097</v>
      </c>
      <c r="BG112" s="20">
        <f t="shared" si="61"/>
        <v>702.03450144994804</v>
      </c>
      <c r="BH112" s="59">
        <f t="shared" si="62"/>
        <v>995.3678347832813</v>
      </c>
      <c r="BI112" s="59">
        <f ca="1">AVERAGE(OFFSET($BH$3,0,0,'Données projet'!$E$11+1,1))-AVERAGE(OFFSET($H$3,0,0,'Données projet'!$E$11+1,1))</f>
        <v>446.62872871405051</v>
      </c>
      <c r="BJ112" s="59">
        <f t="shared" si="92"/>
        <v>471.28934889691658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27.485703252560022</v>
      </c>
      <c r="BQ112" s="21">
        <f>EXP(-LN(2)/25)*BQ111+(1-EXP(-LN(2)/25))/(LN(2)/25)*Calculateur!BL112*Calculateur!BN112*VLOOKUP('Données projet'!$B$11,Paramètres!$A$1:$I$89,3,0)*0.475*44/12</f>
        <v>1.1402023050819445</v>
      </c>
      <c r="BR112" s="21">
        <f>EXP(-LN(2)/2)*BR111+(1-EXP(-LN(2)/2))/(LN(2)/2)*BL112*BO112*VLOOKUP('Données projet'!$B$11,Paramètres!$A$1:$I$89,3,0)*0.475*44/12</f>
        <v>2.3109035343223355E-6</v>
      </c>
      <c r="BS112" s="22">
        <f t="shared" si="63"/>
        <v>28.625907868545504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991.00000000000011</v>
      </c>
      <c r="BZ112" s="13">
        <f>BY112*VLOOKUP('Données projet'!$B$12,Paramètres!$A$1:$I$89,3,0)*VLOOKUP('Données projet'!$B$12,Paramètres!$A$1:$I$89,5,0)</f>
        <v>438.02200000000011</v>
      </c>
      <c r="CA112" s="13">
        <f t="shared" si="93"/>
        <v>99.443834741543355</v>
      </c>
      <c r="CB112" s="20">
        <f t="shared" si="64"/>
        <v>936.08632884152132</v>
      </c>
      <c r="CC112" s="59">
        <f t="shared" si="65"/>
        <v>1229.4196621748547</v>
      </c>
      <c r="CD112" s="59">
        <f ca="1">AVERAGE(OFFSET($CC$3,0,0,'Données projet'!$E$12+1,1))-AVERAGE(OFFSET($H$3,0,0,'Données projet'!$E$12+1,1))</f>
        <v>534.99316143569899</v>
      </c>
      <c r="CE112" s="59">
        <f t="shared" si="94"/>
        <v>449.56965858934262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39.481904633697617</v>
      </c>
      <c r="CL112" s="21">
        <f>EXP(-LN(2)/25)*CL111+(1-EXP(-LN(2)/25))/(LN(2)/25)*Calculateur!CG112*Calculateur!CI112*VLOOKUP('Données projet'!$B$12,Paramètres!$A$1:$I$89,3,0)*0.475*44/12</f>
        <v>14.339175088684918</v>
      </c>
      <c r="CM112" s="21">
        <f>EXP(-LN(2)/2)*CM111+(1-EXP(-LN(2)/2))/(LN(2)/2)*CG112*CJ112*VLOOKUP('Données projet'!$B$12,Paramètres!$A$1:$I$89,3,0)*0.475*44/12</f>
        <v>1.1766078809507212E-4</v>
      </c>
      <c r="CN112" s="22">
        <f t="shared" si="66"/>
        <v>53.821197383170627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</v>
      </c>
      <c r="CT112" s="12">
        <f>IF('Données projet'!$A$140&gt;35,CT111+CS112-DB111,IF(A112&lt;'Données projet'!$A$140,$CQ$205^A112,IF(A112='Données projet'!$A$140,'Données projet'!$B$140,CT111+CS112-DB111)))</f>
        <v>247</v>
      </c>
      <c r="CU112" s="17">
        <f>CT112*VLOOKUP('Données projet'!$B$13,Paramètres!$A$1:$I$89,3,0)*VLOOKUP('Données projet'!$B$13,Paramètres!$A$1:$I$89,5,0)</f>
        <v>281.28360000000004</v>
      </c>
      <c r="CV112" s="13">
        <f t="shared" si="95"/>
        <v>67.238198209347928</v>
      </c>
      <c r="CW112" s="20">
        <f t="shared" si="67"/>
        <v>607.00879854794766</v>
      </c>
      <c r="CX112" s="59">
        <f t="shared" si="68"/>
        <v>900.34213188128092</v>
      </c>
      <c r="CY112" s="59">
        <f ca="1">AVERAGE(OFFSET($CX$3,0,0,'Données projet'!$E$13+1,1))-AVERAGE(OFFSET($H$3,0,0,'Données projet'!$E$13+1,1))</f>
        <v>389.89050053480827</v>
      </c>
      <c r="CZ112" s="59">
        <f t="shared" si="96"/>
        <v>216.40816051909616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11.156025280775802</v>
      </c>
      <c r="DG112" s="21">
        <f>EXP(-LN(2)/25)*DG111+(1-EXP(-LN(2)/25))/(LN(2)/25)*Calculateur!DB112*Calculateur!DD112*VLOOKUP('Données projet'!$B$13,Paramètres!$A$1:$I$89,3,0)*0.475*44/12</f>
        <v>1.3248392792440311</v>
      </c>
      <c r="DH112" s="21">
        <f>EXP(-LN(2)/2)*DH111+(1-EXP(-LN(2)/2))/(LN(2)/2)*DB112*DE112*VLOOKUP('Données projet'!$B$13,Paramètres!$A$1:$I$89,3,0)*0.475*44/12</f>
        <v>0.17631302681877142</v>
      </c>
      <c r="DI112" s="22">
        <f t="shared" si="69"/>
        <v>12.657177586838605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4.2</v>
      </c>
      <c r="M113" s="12">
        <f t="array" ref="M113">INDEX(L:L,MIN(IF(ISNUMBER(L113:L309),ROW(L113:L309),"")))</f>
        <v>4.2</v>
      </c>
      <c r="N113" s="13">
        <f>IF('Données projet'!$A$36&gt;35,N112+M113-V112,IF(A113&lt;'Données projet'!$A$36,$K$205^A113,IF(A113='Données projet'!$A$36,'Données projet'!$B$36,N112+M113-V112)))</f>
        <v>284.99999999999994</v>
      </c>
      <c r="O113" s="13">
        <f>N113*VLOOKUP('Données projet'!$B$9,Paramètres!$A$1:$I$89,3,0)*VLOOKUP('Données projet'!$B$9,Paramètres!$A$1:$I$89,5,0)</f>
        <v>257.86799999999994</v>
      </c>
      <c r="P113" s="13">
        <f t="shared" si="87"/>
        <v>62.267704162827528</v>
      </c>
      <c r="Q113" s="20">
        <f t="shared" si="107"/>
        <v>557.56968475025781</v>
      </c>
      <c r="R113" s="59">
        <f t="shared" si="55"/>
        <v>850.90301808359118</v>
      </c>
      <c r="S113" s="59">
        <f ca="1">AVERAGE(OFFSET($R$3,0,0,'Données projet'!$E$9+1,1))-AVERAGE(OFFSET($H$3,0,0,'Données projet'!$E$9+1,1))</f>
        <v>371.7282125501186</v>
      </c>
      <c r="T113" s="59">
        <f t="shared" si="88"/>
        <v>231.36959598460686</v>
      </c>
      <c r="U113" s="15">
        <f>IF(ISNA(VLOOKUP(A113,'Données projet'!$A$35:$I$55,3,0)),0,VLOOKUP(A113,'Données projet'!$A$35:$I$55,3,0))</f>
        <v>18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1.72E-2</v>
      </c>
      <c r="Y113" s="16">
        <f>IF(ISNA(VLOOKUP(A113,'Données projet'!$A$35:$I$55,7,0)),0%,VLOOKUP(A113,'Données projet'!$A$35:$I$55,7,0))</f>
        <v>0.06</v>
      </c>
      <c r="Z113" s="21">
        <f>EXP(-LN(2)/35)*Z112+(1-EXP(-LN(2)/35))/(LN(2)/35)*V113*W113*VLOOKUP('Données projet'!$B$9,Paramètres!$A$1:$I$89,3,0)*0.475*44/12</f>
        <v>57.154890973955951</v>
      </c>
      <c r="AA113" s="21">
        <f>EXP(-LN(2)/25)*AA112+(1-EXP(-LN(2)/25))/(LN(2)/25)*Calculateur!V113*Calculateur!X113*VLOOKUP('Données projet'!$B$9,Paramètres!$A$1:$I$89,3,0)*0.475*44/12</f>
        <v>2.5248852202316359</v>
      </c>
      <c r="AB113" s="21">
        <f>EXP(-LN(2)/2)*AB112+(1-EXP(-LN(2)/2))/(LN(2)/2)*V113*Y113*VLOOKUP('Données projet'!$B$9,Paramètres!$A$1:$I$89,3,0)*0.475*44/12</f>
        <v>1.1951522397418015</v>
      </c>
      <c r="AC113" s="22">
        <f t="shared" si="57"/>
        <v>60.874928433929391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1.7053025658242404E-13</v>
      </c>
      <c r="AJ113" s="13">
        <f>AI113*VLOOKUP('Données projet'!$B$10,Paramètres!$A$1:$I$89,3,0)*VLOOKUP('Données projet'!$B$10,Paramètres!$A$1:$I$89,5,0)</f>
        <v>7.9808160080574461E-14</v>
      </c>
      <c r="AK113" s="13">
        <f t="shared" si="89"/>
        <v>1.2308384591775343E-12</v>
      </c>
      <c r="AL113" s="20">
        <f t="shared" si="58"/>
        <v>2.282709528541206E-12</v>
      </c>
      <c r="AM113" s="59">
        <f t="shared" si="59"/>
        <v>293.33333333333559</v>
      </c>
      <c r="AN113" s="59">
        <f ca="1">AVERAGE(OFFSET($AM$3,0,0,'Données projet'!$E$10+1,1))-AVERAGE(OFFSET($H$3,0,0,'Données projet'!$E$10+1,1))</f>
        <v>218.32525311070435</v>
      </c>
      <c r="AO113" s="59">
        <f t="shared" si="90"/>
        <v>275.36315264099204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32.396534654499455</v>
      </c>
      <c r="AV113" s="21">
        <f>EXP(-LN(2)/25)*AV112+(1-EXP(-LN(2)/25))/(LN(2)/25)*Calculateur!AQ113*Calculateur!AS113*VLOOKUP('Données projet'!$B$10,Paramètres!$A$1:$I$89,3,0)*0.475*44/12</f>
        <v>9.4106855345224272</v>
      </c>
      <c r="AW113" s="21">
        <f>EXP(-LN(2)/2)*AW112+(1-EXP(-LN(2)/2))/(LN(2)/2)*AQ113*AT113*VLOOKUP('Données projet'!$B$10,Paramètres!$A$1:$I$89,3,0)*0.475*44/12</f>
        <v>1.9448708241990433E-6</v>
      </c>
      <c r="AX113" s="21">
        <f t="shared" si="60"/>
        <v>41.807222133892708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343</v>
      </c>
      <c r="BE113" s="13">
        <f>BD113*VLOOKUP('Données projet'!$B$11,Paramètres!$A$1:$I$89,3,0)*VLOOKUP('Données projet'!$B$11,Paramètres!$A$1:$I$89,5,0)</f>
        <v>326.39879999999999</v>
      </c>
      <c r="BF113" s="13">
        <f t="shared" si="91"/>
        <v>76.683210401884097</v>
      </c>
      <c r="BG113" s="20">
        <f t="shared" si="61"/>
        <v>702.03450144994804</v>
      </c>
      <c r="BH113" s="59">
        <f t="shared" si="62"/>
        <v>995.3678347832813</v>
      </c>
      <c r="BI113" s="59">
        <f ca="1">AVERAGE(OFFSET($BH$3,0,0,'Données projet'!$E$11+1,1))-AVERAGE(OFFSET($H$3,0,0,'Données projet'!$E$11+1,1))</f>
        <v>446.62872871405051</v>
      </c>
      <c r="BJ113" s="59">
        <f t="shared" si="92"/>
        <v>471.28934889691658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26.946725376400934</v>
      </c>
      <c r="BQ113" s="21">
        <f>EXP(-LN(2)/25)*BQ112+(1-EXP(-LN(2)/25))/(LN(2)/25)*Calculateur!BL113*Calculateur!BN113*VLOOKUP('Données projet'!$B$11,Paramètres!$A$1:$I$89,3,0)*0.475*44/12</f>
        <v>1.1090234130888454</v>
      </c>
      <c r="BR113" s="21">
        <f>EXP(-LN(2)/2)*BR112+(1-EXP(-LN(2)/2))/(LN(2)/2)*BL113*BO113*VLOOKUP('Données projet'!$B$11,Paramètres!$A$1:$I$89,3,0)*0.475*44/12</f>
        <v>1.634055559787283E-6</v>
      </c>
      <c r="BS113" s="22">
        <f t="shared" si="63"/>
        <v>28.055750423545341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991.00000000000011</v>
      </c>
      <c r="BZ113" s="13">
        <f>BY113*VLOOKUP('Données projet'!$B$12,Paramètres!$A$1:$I$89,3,0)*VLOOKUP('Données projet'!$B$12,Paramètres!$A$1:$I$89,5,0)</f>
        <v>438.02200000000011</v>
      </c>
      <c r="CA113" s="13">
        <f t="shared" si="93"/>
        <v>99.443834741543355</v>
      </c>
      <c r="CB113" s="20">
        <f t="shared" si="64"/>
        <v>936.08632884152132</v>
      </c>
      <c r="CC113" s="59">
        <f t="shared" si="65"/>
        <v>1229.4196621748547</v>
      </c>
      <c r="CD113" s="59">
        <f ca="1">AVERAGE(OFFSET($CC$3,0,0,'Données projet'!$E$12+1,1))-AVERAGE(OFFSET($H$3,0,0,'Données projet'!$E$12+1,1))</f>
        <v>534.99316143569899</v>
      </c>
      <c r="CE113" s="59">
        <f t="shared" si="94"/>
        <v>449.56965858934262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38.707688565414777</v>
      </c>
      <c r="CL113" s="21">
        <f>EXP(-LN(2)/25)*CL112+(1-EXP(-LN(2)/25))/(LN(2)/25)*Calculateur!CG113*Calculateur!CI113*VLOOKUP('Données projet'!$B$12,Paramètres!$A$1:$I$89,3,0)*0.475*44/12</f>
        <v>13.947069591820384</v>
      </c>
      <c r="CM113" s="21">
        <f>EXP(-LN(2)/2)*CM112+(1-EXP(-LN(2)/2))/(LN(2)/2)*CG113*CJ113*VLOOKUP('Données projet'!$B$12,Paramètres!$A$1:$I$89,3,0)*0.475*44/12</f>
        <v>8.3198741141778901E-5</v>
      </c>
      <c r="CN113" s="22">
        <f t="shared" si="66"/>
        <v>52.654841355976309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250</v>
      </c>
      <c r="CR113" s="12">
        <f>VLOOKUP(A113,'Données projet'!$A$139:$I$159,9,0)</f>
        <v>3</v>
      </c>
      <c r="CS113" s="12">
        <f t="array" ref="CS113">INDEX(CR:CR,MIN(IF(ISNUMBER(CR113:CR309),ROW(CR113:CR309),"")))</f>
        <v>3</v>
      </c>
      <c r="CT113" s="12">
        <f>IF('Données projet'!$A$140&gt;35,CT112+CS113-DB112,IF(A113&lt;'Données projet'!$A$140,$CQ$205^A113,IF(A113='Données projet'!$A$140,'Données projet'!$B$140,CT112+CS113-DB112)))</f>
        <v>250</v>
      </c>
      <c r="CU113" s="17">
        <f>CT113*VLOOKUP('Données projet'!$B$13,Paramètres!$A$1:$I$89,3,0)*VLOOKUP('Données projet'!$B$13,Paramètres!$A$1:$I$89,5,0)</f>
        <v>284.7</v>
      </c>
      <c r="CV113" s="13">
        <f t="shared" si="95"/>
        <v>67.95928966850353</v>
      </c>
      <c r="CW113" s="20">
        <f t="shared" si="67"/>
        <v>614.2149295059769</v>
      </c>
      <c r="CX113" s="59">
        <f t="shared" si="68"/>
        <v>907.54826283931015</v>
      </c>
      <c r="CY113" s="59">
        <f ca="1">AVERAGE(OFFSET($CX$3,0,0,'Données projet'!$E$13+1,1))-AVERAGE(OFFSET($H$3,0,0,'Données projet'!$E$13+1,1))</f>
        <v>389.89050053480827</v>
      </c>
      <c r="CZ113" s="59">
        <f t="shared" si="96"/>
        <v>216.40816051909616</v>
      </c>
      <c r="DA113" s="15">
        <f>IF(ISNA(VLOOKUP(A113,'Données projet'!$A$139:$I$159,3,0)),0,VLOOKUP(A113,'Données projet'!$A$139:$I$159,3,0))</f>
        <v>18</v>
      </c>
      <c r="DB113" s="15">
        <f>IF(ISNA(VLOOKUP(A113,'Données projet'!$A$139:$I$159,4,0)),0,VLOOKUP(A113,'Données projet'!$A$139:$I$159,4,0))</f>
        <v>8</v>
      </c>
      <c r="DC113" s="16">
        <f>IF(ISNA(VLOOKUP(A113,'Données projet'!$A$139:$I$159,5,0)),0%,VLOOKUP(A113,'Données projet'!$A$139:$I$159,5,0)*VLOOKUP('Données projet'!$B$13,Paramètres!$A$1:$I$89,7,0))</f>
        <v>0.17200000000000001</v>
      </c>
      <c r="DD113" s="16">
        <f>IF(ISNA(VLOOKUP(A113,'Données projet'!$A$139:$I$159,6,0)),0%,VLOOKUP(A113,'Données projet'!$A$139:$I$159,6,0)*VLOOKUP('Données projet'!$B$13,Paramètres!$A$1:$I$89,7,0))</f>
        <v>1.72E-2</v>
      </c>
      <c r="DE113" s="16">
        <f>IF(ISNA(VLOOKUP(A113,'Données projet'!$A$139:$I$159,7,0)),0%,VLOOKUP(A113,'Données projet'!$A$139:$I$159,7,0))</f>
        <v>0.06</v>
      </c>
      <c r="DF113" s="21">
        <f>EXP(-LN(2)/35)*DF112+(1-EXP(-LN(2)/35))/(LN(2)/35)*DB113*DC113*VLOOKUP('Données projet'!$B$13,Paramètres!$A$1:$I$89,3,0)*0.475*44/12</f>
        <v>12.669522132983204</v>
      </c>
      <c r="DG113" s="21">
        <f>EXP(-LN(2)/25)*DG112+(1-EXP(-LN(2)/25))/(LN(2)/25)*Calculateur!DB113*Calculateur!DD113*VLOOKUP('Données projet'!$B$13,Paramètres!$A$1:$I$89,3,0)*0.475*44/12</f>
        <v>1.4611553931793</v>
      </c>
      <c r="DH113" s="21">
        <f>EXP(-LN(2)/2)*DH112+(1-EXP(-LN(2)/2))/(LN(2)/2)*DB113*DE113*VLOOKUP('Données projet'!$B$13,Paramètres!$A$1:$I$89,3,0)*0.475*44/12</f>
        <v>0.64042659304433458</v>
      </c>
      <c r="DI113" s="22">
        <f t="shared" si="69"/>
        <v>14.771104119206839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3.8</v>
      </c>
      <c r="N114" s="13">
        <f>IF('Données projet'!$A$36&gt;35,N113+M114-V113,IF(A114&lt;'Données projet'!$A$36,$K$205^A114,IF(A114='Données projet'!$A$36,'Données projet'!$B$36,N113+M114-V113)))</f>
        <v>269.79999999999995</v>
      </c>
      <c r="O114" s="13">
        <f>N114*VLOOKUP('Données projet'!$B$9,Paramètres!$A$1:$I$89,3,0)*VLOOKUP('Données projet'!$B$9,Paramètres!$A$1:$I$89,5,0)</f>
        <v>244.11503999999994</v>
      </c>
      <c r="P114" s="13">
        <f t="shared" si="87"/>
        <v>59.324023461759012</v>
      </c>
      <c r="Q114" s="20">
        <f t="shared" si="107"/>
        <v>528.48970219589683</v>
      </c>
      <c r="R114" s="59">
        <f t="shared" si="55"/>
        <v>821.82303552923008</v>
      </c>
      <c r="S114" s="59">
        <f ca="1">AVERAGE(OFFSET($R$3,0,0,'Données projet'!$E$9+1,1))-AVERAGE(OFFSET($H$3,0,0,'Données projet'!$E$9+1,1))</f>
        <v>371.7282125501186</v>
      </c>
      <c r="T114" s="59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56.034118422997928</v>
      </c>
      <c r="AA114" s="21">
        <f>EXP(-LN(2)/25)*AA113+(1-EXP(-LN(2)/25))/(LN(2)/25)*Calculateur!V114*Calculateur!X114*VLOOKUP('Données projet'!$B$9,Paramètres!$A$1:$I$89,3,0)*0.475*44/12</f>
        <v>2.4558421011064588</v>
      </c>
      <c r="AB114" s="21">
        <f>EXP(-LN(2)/2)*AB113+(1-EXP(-LN(2)/2))/(LN(2)/2)*V114*Y114*VLOOKUP('Données projet'!$B$9,Paramètres!$A$1:$I$89,3,0)*0.475*44/12</f>
        <v>0.84510025327171834</v>
      </c>
      <c r="AC114" s="22">
        <f t="shared" si="57"/>
        <v>59.335060777376107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1.7053025658242404E-13</v>
      </c>
      <c r="AJ114" s="13">
        <f>AI114*VLOOKUP('Données projet'!$B$10,Paramètres!$A$1:$I$89,3,0)*VLOOKUP('Données projet'!$B$10,Paramètres!$A$1:$I$89,5,0)</f>
        <v>7.9808160080574461E-14</v>
      </c>
      <c r="AK114" s="13">
        <f t="shared" si="89"/>
        <v>1.2308384591775343E-12</v>
      </c>
      <c r="AL114" s="20">
        <f t="shared" si="58"/>
        <v>2.282709528541206E-12</v>
      </c>
      <c r="AM114" s="59">
        <f t="shared" si="59"/>
        <v>293.33333333333559</v>
      </c>
      <c r="AN114" s="59">
        <f ca="1">AVERAGE(OFFSET($AM$3,0,0,'Données projet'!$E$10+1,1))-AVERAGE(OFFSET($H$3,0,0,'Données projet'!$E$10+1,1))</f>
        <v>218.32525311070435</v>
      </c>
      <c r="AO114" s="59">
        <f t="shared" si="90"/>
        <v>275.36315264099204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31.761258369859728</v>
      </c>
      <c r="AV114" s="21">
        <f>EXP(-LN(2)/25)*AV113+(1-EXP(-LN(2)/25))/(LN(2)/25)*Calculateur!AQ114*Calculateur!AS114*VLOOKUP('Données projet'!$B$10,Paramètres!$A$1:$I$89,3,0)*0.475*44/12</f>
        <v>9.1533498436944676</v>
      </c>
      <c r="AW114" s="21">
        <f>EXP(-LN(2)/2)*AW113+(1-EXP(-LN(2)/2))/(LN(2)/2)*AQ114*AT114*VLOOKUP('Données projet'!$B$10,Paramètres!$A$1:$I$89,3,0)*0.475*44/12</f>
        <v>1.3752313483230132E-6</v>
      </c>
      <c r="AX114" s="21">
        <f t="shared" si="60"/>
        <v>40.914609588785545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343</v>
      </c>
      <c r="BE114" s="13">
        <f>BD114*VLOOKUP('Données projet'!$B$11,Paramètres!$A$1:$I$89,3,0)*VLOOKUP('Données projet'!$B$11,Paramètres!$A$1:$I$89,5,0)</f>
        <v>326.39879999999999</v>
      </c>
      <c r="BF114" s="13">
        <f t="shared" si="91"/>
        <v>76.683210401884097</v>
      </c>
      <c r="BG114" s="20">
        <f t="shared" si="61"/>
        <v>702.03450144994804</v>
      </c>
      <c r="BH114" s="59">
        <f t="shared" si="62"/>
        <v>995.3678347832813</v>
      </c>
      <c r="BI114" s="59">
        <f ca="1">AVERAGE(OFFSET($BH$3,0,0,'Données projet'!$E$11+1,1))-AVERAGE(OFFSET($H$3,0,0,'Données projet'!$E$11+1,1))</f>
        <v>446.62872871405051</v>
      </c>
      <c r="BJ114" s="59">
        <f t="shared" si="92"/>
        <v>471.28934889691658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26.418316527649282</v>
      </c>
      <c r="BQ114" s="21">
        <f>EXP(-LN(2)/25)*BQ113+(1-EXP(-LN(2)/25))/(LN(2)/25)*Calculateur!BL114*Calculateur!BN114*VLOOKUP('Données projet'!$B$11,Paramètres!$A$1:$I$89,3,0)*0.475*44/12</f>
        <v>1.0786971095369244</v>
      </c>
      <c r="BR114" s="21">
        <f>EXP(-LN(2)/2)*BR113+(1-EXP(-LN(2)/2))/(LN(2)/2)*BL114*BO114*VLOOKUP('Données projet'!$B$11,Paramètres!$A$1:$I$89,3,0)*0.475*44/12</f>
        <v>1.1554517671611678E-6</v>
      </c>
      <c r="BS114" s="22">
        <f t="shared" si="63"/>
        <v>27.497014792637973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991.00000000000011</v>
      </c>
      <c r="BZ114" s="13">
        <f>BY114*VLOOKUP('Données projet'!$B$12,Paramètres!$A$1:$I$89,3,0)*VLOOKUP('Données projet'!$B$12,Paramètres!$A$1:$I$89,5,0)</f>
        <v>438.02200000000011</v>
      </c>
      <c r="CA114" s="13">
        <f t="shared" si="93"/>
        <v>99.443834741543355</v>
      </c>
      <c r="CB114" s="20">
        <f t="shared" si="64"/>
        <v>936.08632884152132</v>
      </c>
      <c r="CC114" s="59">
        <f t="shared" si="65"/>
        <v>1229.4196621748547</v>
      </c>
      <c r="CD114" s="59">
        <f ca="1">AVERAGE(OFFSET($CC$3,0,0,'Données projet'!$E$12+1,1))-AVERAGE(OFFSET($H$3,0,0,'Données projet'!$E$12+1,1))</f>
        <v>534.99316143569899</v>
      </c>
      <c r="CE114" s="59">
        <f t="shared" si="94"/>
        <v>449.56965858934262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37.948654402005786</v>
      </c>
      <c r="CL114" s="21">
        <f>EXP(-LN(2)/25)*CL113+(1-EXP(-LN(2)/25))/(LN(2)/25)*Calculateur!CG114*Calculateur!CI114*VLOOKUP('Données projet'!$B$12,Paramètres!$A$1:$I$89,3,0)*0.475*44/12</f>
        <v>13.565686240387542</v>
      </c>
      <c r="CM114" s="21">
        <f>EXP(-LN(2)/2)*CM113+(1-EXP(-LN(2)/2))/(LN(2)/2)*CG114*CJ114*VLOOKUP('Données projet'!$B$12,Paramètres!$A$1:$I$89,3,0)*0.475*44/12</f>
        <v>5.8830394047536067E-5</v>
      </c>
      <c r="CN114" s="22">
        <f t="shared" si="66"/>
        <v>51.514399472787375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2.4</v>
      </c>
      <c r="CT114" s="12">
        <f>IF('Données projet'!$A$140&gt;35,CT113+CS114-DB113,IF(A114&lt;'Données projet'!$A$140,$CQ$205^A114,IF(A114='Données projet'!$A$140,'Données projet'!$B$140,CT113+CS114-DB113)))</f>
        <v>244.4</v>
      </c>
      <c r="CU114" s="17">
        <f>CT114*VLOOKUP('Données projet'!$B$13,Paramètres!$A$1:$I$89,3,0)*VLOOKUP('Données projet'!$B$13,Paramètres!$A$1:$I$89,5,0)</f>
        <v>278.32272</v>
      </c>
      <c r="CV114" s="13">
        <f t="shared" si="95"/>
        <v>66.612427548512287</v>
      </c>
      <c r="CW114" s="20">
        <f t="shared" si="67"/>
        <v>600.76204864699218</v>
      </c>
      <c r="CX114" s="59">
        <f t="shared" si="68"/>
        <v>894.09538198032556</v>
      </c>
      <c r="CY114" s="59">
        <f ca="1">AVERAGE(OFFSET($CX$3,0,0,'Données projet'!$E$13+1,1))-AVERAGE(OFFSET($H$3,0,0,'Données projet'!$E$13+1,1))</f>
        <v>389.89050053480827</v>
      </c>
      <c r="CZ114" s="59">
        <f t="shared" si="96"/>
        <v>216.40816051909616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12.421080531600863</v>
      </c>
      <c r="DG114" s="21">
        <f>EXP(-LN(2)/25)*DG113+(1-EXP(-LN(2)/25))/(LN(2)/25)*Calculateur!DB114*Calculateur!DD114*VLOOKUP('Données projet'!$B$13,Paramètres!$A$1:$I$89,3,0)*0.475*44/12</f>
        <v>1.4212000221139893</v>
      </c>
      <c r="DH114" s="21">
        <f>EXP(-LN(2)/2)*DH113+(1-EXP(-LN(2)/2))/(LN(2)/2)*DB114*DE114*VLOOKUP('Données projet'!$B$13,Paramètres!$A$1:$I$89,3,0)*0.475*44/12</f>
        <v>0.45284998679384642</v>
      </c>
      <c r="DI114" s="22">
        <f t="shared" si="69"/>
        <v>14.295130540508699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3.8</v>
      </c>
      <c r="N115" s="13">
        <f>IF('Données projet'!$A$36&gt;35,N114+M115-V114,IF(A115&lt;'Données projet'!$A$36,$K$205^A115,IF(A115='Données projet'!$A$36,'Données projet'!$B$36,N114+M115-V114)))</f>
        <v>273.59999999999997</v>
      </c>
      <c r="O115" s="13">
        <f>N115*VLOOKUP('Données projet'!$B$9,Paramètres!$A$1:$I$89,3,0)*VLOOKUP('Données projet'!$B$9,Paramètres!$A$1:$I$89,5,0)</f>
        <v>247.55327999999994</v>
      </c>
      <c r="P115" s="13">
        <f t="shared" si="87"/>
        <v>60.061713068870255</v>
      </c>
      <c r="Q115" s="20">
        <f t="shared" si="107"/>
        <v>535.76277959494894</v>
      </c>
      <c r="R115" s="59">
        <f t="shared" si="55"/>
        <v>829.09611292828231</v>
      </c>
      <c r="S115" s="59">
        <f ca="1">AVERAGE(OFFSET($R$3,0,0,'Données projet'!$E$9+1,1))-AVERAGE(OFFSET($H$3,0,0,'Données projet'!$E$9+1,1))</f>
        <v>371.7282125501186</v>
      </c>
      <c r="T115" s="59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54.935323538160432</v>
      </c>
      <c r="AA115" s="21">
        <f>EXP(-LN(2)/25)*AA114+(1-EXP(-LN(2)/25))/(LN(2)/25)*Calculateur!V115*Calculateur!X115*VLOOKUP('Données projet'!$B$9,Paramètres!$A$1:$I$89,3,0)*0.475*44/12</f>
        <v>2.3886869697045796</v>
      </c>
      <c r="AB115" s="21">
        <f>EXP(-LN(2)/2)*AB114+(1-EXP(-LN(2)/2))/(LN(2)/2)*V115*Y115*VLOOKUP('Données projet'!$B$9,Paramètres!$A$1:$I$89,3,0)*0.475*44/12</f>
        <v>0.59757611987090087</v>
      </c>
      <c r="AC115" s="22">
        <f t="shared" si="57"/>
        <v>57.921586627735913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1.7053025658242404E-13</v>
      </c>
      <c r="AJ115" s="13">
        <f>AI115*VLOOKUP('Données projet'!$B$10,Paramètres!$A$1:$I$89,3,0)*VLOOKUP('Données projet'!$B$10,Paramètres!$A$1:$I$89,5,0)</f>
        <v>7.9808160080574461E-14</v>
      </c>
      <c r="AK115" s="13">
        <f t="shared" si="89"/>
        <v>1.2308384591775343E-12</v>
      </c>
      <c r="AL115" s="20">
        <f t="shared" si="58"/>
        <v>2.282709528541206E-12</v>
      </c>
      <c r="AM115" s="59">
        <f t="shared" si="59"/>
        <v>293.33333333333559</v>
      </c>
      <c r="AN115" s="59">
        <f ca="1">AVERAGE(OFFSET($AM$3,0,0,'Données projet'!$E$10+1,1))-AVERAGE(OFFSET($H$3,0,0,'Données projet'!$E$10+1,1))</f>
        <v>218.32525311070435</v>
      </c>
      <c r="AO115" s="59">
        <f t="shared" si="90"/>
        <v>275.36315264099204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31.138439465681515</v>
      </c>
      <c r="AV115" s="21">
        <f>EXP(-LN(2)/25)*AV114+(1-EXP(-LN(2)/25))/(LN(2)/25)*Calculateur!AQ115*Calculateur!AS115*VLOOKUP('Données projet'!$B$10,Paramètres!$A$1:$I$89,3,0)*0.475*44/12</f>
        <v>8.9030510108648944</v>
      </c>
      <c r="AW115" s="21">
        <f>EXP(-LN(2)/2)*AW114+(1-EXP(-LN(2)/2))/(LN(2)/2)*AQ115*AT115*VLOOKUP('Données projet'!$B$10,Paramètres!$A$1:$I$89,3,0)*0.475*44/12</f>
        <v>9.7243541209952163E-7</v>
      </c>
      <c r="AX115" s="21">
        <f t="shared" si="60"/>
        <v>40.041491448981816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343</v>
      </c>
      <c r="BE115" s="13">
        <f>BD115*VLOOKUP('Données projet'!$B$11,Paramètres!$A$1:$I$89,3,0)*VLOOKUP('Données projet'!$B$11,Paramètres!$A$1:$I$89,5,0)</f>
        <v>326.39879999999999</v>
      </c>
      <c r="BF115" s="13">
        <f t="shared" si="91"/>
        <v>76.683210401884097</v>
      </c>
      <c r="BG115" s="20">
        <f t="shared" si="61"/>
        <v>702.03450144994804</v>
      </c>
      <c r="BH115" s="59">
        <f t="shared" si="62"/>
        <v>995.3678347832813</v>
      </c>
      <c r="BI115" s="59">
        <f ca="1">AVERAGE(OFFSET($BH$3,0,0,'Données projet'!$E$11+1,1))-AVERAGE(OFFSET($H$3,0,0,'Données projet'!$E$11+1,1))</f>
        <v>446.62872871405051</v>
      </c>
      <c r="BJ115" s="59">
        <f t="shared" si="92"/>
        <v>471.28934889691658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25.900269454124079</v>
      </c>
      <c r="BQ115" s="21">
        <f>EXP(-LN(2)/25)*BQ114+(1-EXP(-LN(2)/25))/(LN(2)/25)*Calculateur!BL115*Calculateur!BN115*VLOOKUP('Données projet'!$B$11,Paramètres!$A$1:$I$89,3,0)*0.475*44/12</f>
        <v>1.0492000803504216</v>
      </c>
      <c r="BR115" s="21">
        <f>EXP(-LN(2)/2)*BR114+(1-EXP(-LN(2)/2))/(LN(2)/2)*BL115*BO115*VLOOKUP('Données projet'!$B$11,Paramètres!$A$1:$I$89,3,0)*0.475*44/12</f>
        <v>8.1702777989364151E-7</v>
      </c>
      <c r="BS115" s="22">
        <f t="shared" si="63"/>
        <v>26.949470351502278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991.00000000000011</v>
      </c>
      <c r="BZ115" s="13">
        <f>BY115*VLOOKUP('Données projet'!$B$12,Paramètres!$A$1:$I$89,3,0)*VLOOKUP('Données projet'!$B$12,Paramètres!$A$1:$I$89,5,0)</f>
        <v>438.02200000000011</v>
      </c>
      <c r="CA115" s="13">
        <f t="shared" si="93"/>
        <v>99.443834741543355</v>
      </c>
      <c r="CB115" s="20">
        <f t="shared" si="64"/>
        <v>936.08632884152132</v>
      </c>
      <c r="CC115" s="59">
        <f t="shared" si="65"/>
        <v>1229.4196621748547</v>
      </c>
      <c r="CD115" s="59">
        <f ca="1">AVERAGE(OFFSET($CC$3,0,0,'Données projet'!$E$12+1,1))-AVERAGE(OFFSET($H$3,0,0,'Données projet'!$E$12+1,1))</f>
        <v>534.99316143569899</v>
      </c>
      <c r="CE115" s="59">
        <f t="shared" si="94"/>
        <v>449.56965858934262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37.204504435576119</v>
      </c>
      <c r="CL115" s="21">
        <f>EXP(-LN(2)/25)*CL114+(1-EXP(-LN(2)/25))/(LN(2)/25)*Calculateur!CG115*Calculateur!CI115*VLOOKUP('Données projet'!$B$12,Paramètres!$A$1:$I$89,3,0)*0.475*44/12</f>
        <v>13.194731836755711</v>
      </c>
      <c r="CM115" s="21">
        <f>EXP(-LN(2)/2)*CM114+(1-EXP(-LN(2)/2))/(LN(2)/2)*CG115*CJ115*VLOOKUP('Données projet'!$B$12,Paramètres!$A$1:$I$89,3,0)*0.475*44/12</f>
        <v>4.1599370570889457E-5</v>
      </c>
      <c r="CN115" s="22">
        <f t="shared" si="66"/>
        <v>50.399277871702402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2.4</v>
      </c>
      <c r="CT115" s="12">
        <f>IF('Données projet'!$A$140&gt;35,CT114+CS115-DB114,IF(A115&lt;'Données projet'!$A$140,$CQ$205^A115,IF(A115='Données projet'!$A$140,'Données projet'!$B$140,CT114+CS115-DB114)))</f>
        <v>246.8</v>
      </c>
      <c r="CU115" s="17">
        <f>CT115*VLOOKUP('Données projet'!$B$13,Paramètres!$A$1:$I$89,3,0)*VLOOKUP('Données projet'!$B$13,Paramètres!$A$1:$I$89,5,0)</f>
        <v>281.05584000000005</v>
      </c>
      <c r="CV115" s="13">
        <f t="shared" si="95"/>
        <v>67.190089324662196</v>
      </c>
      <c r="CW115" s="20">
        <f t="shared" si="67"/>
        <v>606.52832690712012</v>
      </c>
      <c r="CX115" s="59">
        <f t="shared" si="68"/>
        <v>899.86166024045338</v>
      </c>
      <c r="CY115" s="59">
        <f ca="1">AVERAGE(OFFSET($CX$3,0,0,'Données projet'!$E$13+1,1))-AVERAGE(OFFSET($H$3,0,0,'Données projet'!$E$13+1,1))</f>
        <v>389.89050053480827</v>
      </c>
      <c r="CZ115" s="59">
        <f t="shared" si="96"/>
        <v>216.40816051909616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12.177510718487214</v>
      </c>
      <c r="DG115" s="21">
        <f>EXP(-LN(2)/25)*DG114+(1-EXP(-LN(2)/25))/(LN(2)/25)*Calculateur!DB115*Calculateur!DD115*VLOOKUP('Données projet'!$B$13,Paramètres!$A$1:$I$89,3,0)*0.475*44/12</f>
        <v>1.3823372327716212</v>
      </c>
      <c r="DH115" s="21">
        <f>EXP(-LN(2)/2)*DH114+(1-EXP(-LN(2)/2))/(LN(2)/2)*DB115*DE115*VLOOKUP('Données projet'!$B$13,Paramètres!$A$1:$I$89,3,0)*0.475*44/12</f>
        <v>0.32021329652216729</v>
      </c>
      <c r="DI115" s="22">
        <f t="shared" si="69"/>
        <v>13.880061247781002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3.8</v>
      </c>
      <c r="N116" s="13">
        <f>IF('Données projet'!$A$36&gt;35,N115+M116-V115,IF(A116&lt;'Données projet'!$A$36,$K$205^A116,IF(A116='Données projet'!$A$36,'Données projet'!$B$36,N115+M116-V115)))</f>
        <v>277.39999999999998</v>
      </c>
      <c r="O116" s="13">
        <f>N116*VLOOKUP('Données projet'!$B$9,Paramètres!$A$1:$I$89,3,0)*VLOOKUP('Données projet'!$B$9,Paramètres!$A$1:$I$89,5,0)</f>
        <v>250.99151999999995</v>
      </c>
      <c r="P116" s="13">
        <f t="shared" si="87"/>
        <v>60.798211000769406</v>
      </c>
      <c r="Q116" s="20">
        <f t="shared" si="107"/>
        <v>543.03378149300659</v>
      </c>
      <c r="R116" s="59">
        <f t="shared" si="55"/>
        <v>836.36711482633996</v>
      </c>
      <c r="S116" s="59">
        <f ca="1">AVERAGE(OFFSET($R$3,0,0,'Données projet'!$E$9+1,1))-AVERAGE(OFFSET($H$3,0,0,'Données projet'!$E$9+1,1))</f>
        <v>371.7282125501186</v>
      </c>
      <c r="T116" s="59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53.858075350815902</v>
      </c>
      <c r="AA116" s="21">
        <f>EXP(-LN(2)/25)*AA115+(1-EXP(-LN(2)/25))/(LN(2)/25)*Calculateur!V116*Calculateur!X116*VLOOKUP('Données projet'!$B$9,Paramètres!$A$1:$I$89,3,0)*0.475*44/12</f>
        <v>2.3233681989024197</v>
      </c>
      <c r="AB116" s="21">
        <f>EXP(-LN(2)/2)*AB115+(1-EXP(-LN(2)/2))/(LN(2)/2)*V116*Y116*VLOOKUP('Données projet'!$B$9,Paramètres!$A$1:$I$89,3,0)*0.475*44/12</f>
        <v>0.42255012663585922</v>
      </c>
      <c r="AC116" s="22">
        <f t="shared" si="57"/>
        <v>56.603993676354186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1.7053025658242404E-13</v>
      </c>
      <c r="AJ116" s="13">
        <f>AI116*VLOOKUP('Données projet'!$B$10,Paramètres!$A$1:$I$89,3,0)*VLOOKUP('Données projet'!$B$10,Paramètres!$A$1:$I$89,5,0)</f>
        <v>7.9808160080574461E-14</v>
      </c>
      <c r="AK116" s="13">
        <f t="shared" si="89"/>
        <v>1.2308384591775343E-12</v>
      </c>
      <c r="AL116" s="20">
        <f t="shared" si="58"/>
        <v>2.282709528541206E-12</v>
      </c>
      <c r="AM116" s="59">
        <f t="shared" si="59"/>
        <v>293.33333333333559</v>
      </c>
      <c r="AN116" s="59">
        <f ca="1">AVERAGE(OFFSET($AM$3,0,0,'Données projet'!$E$10+1,1))-AVERAGE(OFFSET($H$3,0,0,'Données projet'!$E$10+1,1))</f>
        <v>218.32525311070435</v>
      </c>
      <c r="AO116" s="59">
        <f t="shared" si="90"/>
        <v>275.36315264099204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30.527833660332213</v>
      </c>
      <c r="AV116" s="21">
        <f>EXP(-LN(2)/25)*AV115+(1-EXP(-LN(2)/25))/(LN(2)/25)*Calculateur!AQ116*Calculateur!AS116*VLOOKUP('Données projet'!$B$10,Paramètres!$A$1:$I$89,3,0)*0.475*44/12</f>
        <v>8.659596612781689</v>
      </c>
      <c r="AW116" s="21">
        <f>EXP(-LN(2)/2)*AW115+(1-EXP(-LN(2)/2))/(LN(2)/2)*AQ116*AT116*VLOOKUP('Données projet'!$B$10,Paramètres!$A$1:$I$89,3,0)*0.475*44/12</f>
        <v>6.8761567416150662E-7</v>
      </c>
      <c r="AX116" s="21">
        <f t="shared" si="60"/>
        <v>39.187430960729579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343</v>
      </c>
      <c r="BE116" s="13">
        <f>BD116*VLOOKUP('Données projet'!$B$11,Paramètres!$A$1:$I$89,3,0)*VLOOKUP('Données projet'!$B$11,Paramètres!$A$1:$I$89,5,0)</f>
        <v>326.39879999999999</v>
      </c>
      <c r="BF116" s="13">
        <f t="shared" si="91"/>
        <v>76.683210401884097</v>
      </c>
      <c r="BG116" s="20">
        <f t="shared" si="61"/>
        <v>702.03450144994804</v>
      </c>
      <c r="BH116" s="59">
        <f t="shared" si="62"/>
        <v>995.3678347832813</v>
      </c>
      <c r="BI116" s="59">
        <f ca="1">AVERAGE(OFFSET($BH$3,0,0,'Données projet'!$E$11+1,1))-AVERAGE(OFFSET($H$3,0,0,'Données projet'!$E$11+1,1))</f>
        <v>446.62872871405051</v>
      </c>
      <c r="BJ116" s="59">
        <f t="shared" si="92"/>
        <v>471.28934889691658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25.392380967733189</v>
      </c>
      <c r="BQ116" s="21">
        <f>EXP(-LN(2)/25)*BQ115+(1-EXP(-LN(2)/25))/(LN(2)/25)*Calculateur!BL116*Calculateur!BN116*VLOOKUP('Données projet'!$B$11,Paramètres!$A$1:$I$89,3,0)*0.475*44/12</f>
        <v>1.0205096489782051</v>
      </c>
      <c r="BR116" s="21">
        <f>EXP(-LN(2)/2)*BR115+(1-EXP(-LN(2)/2))/(LN(2)/2)*BL116*BO116*VLOOKUP('Données projet'!$B$11,Paramètres!$A$1:$I$89,3,0)*0.475*44/12</f>
        <v>5.7772588358058388E-7</v>
      </c>
      <c r="BS116" s="22">
        <f t="shared" si="63"/>
        <v>26.412891194437279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991.00000000000011</v>
      </c>
      <c r="BZ116" s="13">
        <f>BY116*VLOOKUP('Données projet'!$B$12,Paramètres!$A$1:$I$89,3,0)*VLOOKUP('Données projet'!$B$12,Paramètres!$A$1:$I$89,5,0)</f>
        <v>438.02200000000011</v>
      </c>
      <c r="CA116" s="13">
        <f t="shared" si="93"/>
        <v>99.443834741543355</v>
      </c>
      <c r="CB116" s="20">
        <f t="shared" si="64"/>
        <v>936.08632884152132</v>
      </c>
      <c r="CC116" s="59">
        <f t="shared" si="65"/>
        <v>1229.4196621748547</v>
      </c>
      <c r="CD116" s="59">
        <f ca="1">AVERAGE(OFFSET($CC$3,0,0,'Données projet'!$E$12+1,1))-AVERAGE(OFFSET($H$3,0,0,'Données projet'!$E$12+1,1))</f>
        <v>534.99316143569899</v>
      </c>
      <c r="CE116" s="59">
        <f t="shared" si="94"/>
        <v>449.56965858934262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36.474946796101477</v>
      </c>
      <c r="CL116" s="21">
        <f>EXP(-LN(2)/25)*CL115+(1-EXP(-LN(2)/25))/(LN(2)/25)*Calculateur!CG116*Calculateur!CI116*VLOOKUP('Données projet'!$B$12,Paramètres!$A$1:$I$89,3,0)*0.475*44/12</f>
        <v>12.833921200798835</v>
      </c>
      <c r="CM116" s="21">
        <f>EXP(-LN(2)/2)*CM115+(1-EXP(-LN(2)/2))/(LN(2)/2)*CG116*CJ116*VLOOKUP('Données projet'!$B$12,Paramètres!$A$1:$I$89,3,0)*0.475*44/12</f>
        <v>2.9415197023768037E-5</v>
      </c>
      <c r="CN116" s="22">
        <f t="shared" si="66"/>
        <v>49.308897412097338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2.4</v>
      </c>
      <c r="CT116" s="12">
        <f>IF('Données projet'!$A$140&gt;35,CT115+CS116-DB115,IF(A116&lt;'Données projet'!$A$140,$CQ$205^A116,IF(A116='Données projet'!$A$140,'Données projet'!$B$140,CT115+CS116-DB115)))</f>
        <v>249.20000000000002</v>
      </c>
      <c r="CU116" s="17">
        <f>CT116*VLOOKUP('Données projet'!$B$13,Paramètres!$A$1:$I$89,3,0)*VLOOKUP('Données projet'!$B$13,Paramètres!$A$1:$I$89,5,0)</f>
        <v>283.78896000000003</v>
      </c>
      <c r="CV116" s="13">
        <f t="shared" si="95"/>
        <v>67.767097587911294</v>
      </c>
      <c r="CW116" s="20">
        <f t="shared" si="67"/>
        <v>612.2934669656122</v>
      </c>
      <c r="CX116" s="59">
        <f t="shared" si="68"/>
        <v>905.62680029894545</v>
      </c>
      <c r="CY116" s="59">
        <f ca="1">AVERAGE(OFFSET($CX$3,0,0,'Données projet'!$E$13+1,1))-AVERAGE(OFFSET($H$3,0,0,'Données projet'!$E$13+1,1))</f>
        <v>389.89050053480827</v>
      </c>
      <c r="CZ116" s="59">
        <f t="shared" si="96"/>
        <v>216.40816051909616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11.938717160845808</v>
      </c>
      <c r="DG116" s="21">
        <f>EXP(-LN(2)/25)*DG115+(1-EXP(-LN(2)/25))/(LN(2)/25)*Calculateur!DB116*Calculateur!DD116*VLOOKUP('Données projet'!$B$13,Paramètres!$A$1:$I$89,3,0)*0.475*44/12</f>
        <v>1.3445371484475255</v>
      </c>
      <c r="DH116" s="21">
        <f>EXP(-LN(2)/2)*DH115+(1-EXP(-LN(2)/2))/(LN(2)/2)*DB116*DE116*VLOOKUP('Données projet'!$B$13,Paramètres!$A$1:$I$89,3,0)*0.475*44/12</f>
        <v>0.22642499339692321</v>
      </c>
      <c r="DI116" s="22">
        <f t="shared" si="69"/>
        <v>13.509679302690257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3.8</v>
      </c>
      <c r="N117" s="13">
        <f>IF('Données projet'!$A$36&gt;35,N116+M117-V116,IF(A117&lt;'Données projet'!$A$36,$K$205^A117,IF(A117='Données projet'!$A$36,'Données projet'!$B$36,N116+M117-V116)))</f>
        <v>281.2</v>
      </c>
      <c r="O117" s="13">
        <f>N117*VLOOKUP('Données projet'!$B$9,Paramètres!$A$1:$I$89,3,0)*VLOOKUP('Données projet'!$B$9,Paramètres!$A$1:$I$89,5,0)</f>
        <v>254.42975999999996</v>
      </c>
      <c r="P117" s="13">
        <f t="shared" si="87"/>
        <v>61.533535468549189</v>
      </c>
      <c r="Q117" s="20">
        <f t="shared" si="107"/>
        <v>550.30273960772308</v>
      </c>
      <c r="R117" s="59">
        <f t="shared" si="55"/>
        <v>843.63607294105645</v>
      </c>
      <c r="S117" s="59">
        <f ca="1">AVERAGE(OFFSET($R$3,0,0,'Données projet'!$E$9+1,1))-AVERAGE(OFFSET($H$3,0,0,'Données projet'!$E$9+1,1))</f>
        <v>371.7282125501186</v>
      </c>
      <c r="T117" s="59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52.801951343368678</v>
      </c>
      <c r="AA117" s="21">
        <f>EXP(-LN(2)/25)*AA116+(1-EXP(-LN(2)/25))/(LN(2)/25)*Calculateur!V117*Calculateur!X117*VLOOKUP('Données projet'!$B$9,Paramètres!$A$1:$I$89,3,0)*0.475*44/12</f>
        <v>2.2598355733228095</v>
      </c>
      <c r="AB117" s="21">
        <f>EXP(-LN(2)/2)*AB116+(1-EXP(-LN(2)/2))/(LN(2)/2)*V117*Y117*VLOOKUP('Données projet'!$B$9,Paramètres!$A$1:$I$89,3,0)*0.475*44/12</f>
        <v>0.29878805993545049</v>
      </c>
      <c r="AC117" s="22">
        <f t="shared" si="57"/>
        <v>55.360574976626943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1.7053025658242404E-13</v>
      </c>
      <c r="AJ117" s="13">
        <f>AI117*VLOOKUP('Données projet'!$B$10,Paramètres!$A$1:$I$89,3,0)*VLOOKUP('Données projet'!$B$10,Paramètres!$A$1:$I$89,5,0)</f>
        <v>7.9808160080574461E-14</v>
      </c>
      <c r="AK117" s="13">
        <f t="shared" si="89"/>
        <v>1.2308384591775343E-12</v>
      </c>
      <c r="AL117" s="20">
        <f t="shared" si="58"/>
        <v>2.282709528541206E-12</v>
      </c>
      <c r="AM117" s="59">
        <f t="shared" si="59"/>
        <v>293.33333333333559</v>
      </c>
      <c r="AN117" s="59">
        <f ca="1">AVERAGE(OFFSET($AM$3,0,0,'Données projet'!$E$10+1,1))-AVERAGE(OFFSET($H$3,0,0,'Données projet'!$E$10+1,1))</f>
        <v>218.32525311070435</v>
      </c>
      <c r="AO117" s="59">
        <f t="shared" si="90"/>
        <v>275.36315264099204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29.929201462393046</v>
      </c>
      <c r="AV117" s="21">
        <f>EXP(-LN(2)/25)*AV116+(1-EXP(-LN(2)/25))/(LN(2)/25)*Calculateur!AQ117*Calculateur!AS117*VLOOKUP('Données projet'!$B$10,Paramètres!$A$1:$I$89,3,0)*0.475*44/12</f>
        <v>8.4227994880167802</v>
      </c>
      <c r="AW117" s="21">
        <f>EXP(-LN(2)/2)*AW116+(1-EXP(-LN(2)/2))/(LN(2)/2)*AQ117*AT117*VLOOKUP('Données projet'!$B$10,Paramètres!$A$1:$I$89,3,0)*0.475*44/12</f>
        <v>4.8621770604976082E-7</v>
      </c>
      <c r="AX117" s="21">
        <f t="shared" si="60"/>
        <v>38.352001436627532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343</v>
      </c>
      <c r="BE117" s="13">
        <f>BD117*VLOOKUP('Données projet'!$B$11,Paramètres!$A$1:$I$89,3,0)*VLOOKUP('Données projet'!$B$11,Paramètres!$A$1:$I$89,5,0)</f>
        <v>326.39879999999999</v>
      </c>
      <c r="BF117" s="13">
        <f t="shared" si="91"/>
        <v>76.683210401884097</v>
      </c>
      <c r="BG117" s="20">
        <f t="shared" si="61"/>
        <v>702.03450144994804</v>
      </c>
      <c r="BH117" s="59">
        <f t="shared" si="62"/>
        <v>995.3678347832813</v>
      </c>
      <c r="BI117" s="59">
        <f ca="1">AVERAGE(OFFSET($BH$3,0,0,'Données projet'!$E$11+1,1))-AVERAGE(OFFSET($H$3,0,0,'Données projet'!$E$11+1,1))</f>
        <v>446.62872871405051</v>
      </c>
      <c r="BJ117" s="59">
        <f t="shared" si="92"/>
        <v>471.28934889691658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24.894451864779036</v>
      </c>
      <c r="BQ117" s="21">
        <f>EXP(-LN(2)/25)*BQ116+(1-EXP(-LN(2)/25))/(LN(2)/25)*Calculateur!BL117*Calculateur!BN117*VLOOKUP('Données projet'!$B$11,Paramètres!$A$1:$I$89,3,0)*0.475*44/12</f>
        <v>0.99260375896062603</v>
      </c>
      <c r="BR117" s="21">
        <f>EXP(-LN(2)/2)*BR116+(1-EXP(-LN(2)/2))/(LN(2)/2)*BL117*BO117*VLOOKUP('Données projet'!$B$11,Paramètres!$A$1:$I$89,3,0)*0.475*44/12</f>
        <v>4.0851388994682076E-7</v>
      </c>
      <c r="BS117" s="22">
        <f t="shared" si="63"/>
        <v>25.887056032253554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991.00000000000011</v>
      </c>
      <c r="BZ117" s="13">
        <f>BY117*VLOOKUP('Données projet'!$B$12,Paramètres!$A$1:$I$89,3,0)*VLOOKUP('Données projet'!$B$12,Paramètres!$A$1:$I$89,5,0)</f>
        <v>438.02200000000011</v>
      </c>
      <c r="CA117" s="13">
        <f t="shared" si="93"/>
        <v>99.443834741543355</v>
      </c>
      <c r="CB117" s="20">
        <f t="shared" si="64"/>
        <v>936.08632884152132</v>
      </c>
      <c r="CC117" s="59">
        <f t="shared" si="65"/>
        <v>1229.4196621748547</v>
      </c>
      <c r="CD117" s="59">
        <f ca="1">AVERAGE(OFFSET($CC$3,0,0,'Données projet'!$E$12+1,1))-AVERAGE(OFFSET($H$3,0,0,'Données projet'!$E$12+1,1))</f>
        <v>534.99316143569899</v>
      </c>
      <c r="CE117" s="59">
        <f t="shared" si="94"/>
        <v>449.56965858934262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35.759695336950713</v>
      </c>
      <c r="CL117" s="21">
        <f>EXP(-LN(2)/25)*CL116+(1-EXP(-LN(2)/25))/(LN(2)/25)*Calculateur!CG117*Calculateur!CI117*VLOOKUP('Données projet'!$B$12,Paramètres!$A$1:$I$89,3,0)*0.475*44/12</f>
        <v>12.482976950656408</v>
      </c>
      <c r="CM117" s="21">
        <f>EXP(-LN(2)/2)*CM116+(1-EXP(-LN(2)/2))/(LN(2)/2)*CG117*CJ117*VLOOKUP('Données projet'!$B$12,Paramètres!$A$1:$I$89,3,0)*0.475*44/12</f>
        <v>2.0799685285444732E-5</v>
      </c>
      <c r="CN117" s="22">
        <f t="shared" si="66"/>
        <v>48.242693087292409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2.4</v>
      </c>
      <c r="CT117" s="12">
        <f>IF('Données projet'!$A$140&gt;35,CT116+CS117-DB116,IF(A117&lt;'Données projet'!$A$140,$CQ$205^A117,IF(A117='Données projet'!$A$140,'Données projet'!$B$140,CT116+CS117-DB116)))</f>
        <v>251.60000000000002</v>
      </c>
      <c r="CU117" s="17">
        <f>CT117*VLOOKUP('Données projet'!$B$13,Paramètres!$A$1:$I$89,3,0)*VLOOKUP('Données projet'!$B$13,Paramètres!$A$1:$I$89,5,0)</f>
        <v>286.52208000000002</v>
      </c>
      <c r="CV117" s="13">
        <f t="shared" si="95"/>
        <v>68.343459361010702</v>
      </c>
      <c r="CW117" s="20">
        <f t="shared" si="67"/>
        <v>618.0574810537604</v>
      </c>
      <c r="CX117" s="59">
        <f t="shared" si="68"/>
        <v>911.39081438709377</v>
      </c>
      <c r="CY117" s="59">
        <f ca="1">AVERAGE(OFFSET($CX$3,0,0,'Données projet'!$E$13+1,1))-AVERAGE(OFFSET($H$3,0,0,'Données projet'!$E$13+1,1))</f>
        <v>389.89050053480827</v>
      </c>
      <c r="CZ117" s="59">
        <f t="shared" si="96"/>
        <v>216.40816051909616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11.704606199220063</v>
      </c>
      <c r="DG117" s="21">
        <f>EXP(-LN(2)/25)*DG116+(1-EXP(-LN(2)/25))/(LN(2)/25)*Calculateur!DB117*Calculateur!DD117*VLOOKUP('Données projet'!$B$13,Paramètres!$A$1:$I$89,3,0)*0.475*44/12</f>
        <v>1.3077707094170923</v>
      </c>
      <c r="DH117" s="21">
        <f>EXP(-LN(2)/2)*DH116+(1-EXP(-LN(2)/2))/(LN(2)/2)*DB117*DE117*VLOOKUP('Données projet'!$B$13,Paramètres!$A$1:$I$89,3,0)*0.475*44/12</f>
        <v>0.16010664826108365</v>
      </c>
      <c r="DI117" s="22">
        <f t="shared" si="69"/>
        <v>13.172483556898237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285</v>
      </c>
      <c r="L118" s="12">
        <f>VLOOKUP(A118,'Données projet'!$A$35:$I$55,9,0)</f>
        <v>3.8</v>
      </c>
      <c r="M118" s="12">
        <f t="array" ref="M118">INDEX(L:L,MIN(IF(ISNUMBER(L118:L314),ROW(L118:L314),"")))</f>
        <v>3.8</v>
      </c>
      <c r="N118" s="13">
        <f>IF('Données projet'!$A$36&gt;35,N117+M118-V117,IF(A118&lt;'Données projet'!$A$36,$K$205^A118,IF(A118='Données projet'!$A$36,'Données projet'!$B$36,N117+M118-V117)))</f>
        <v>285</v>
      </c>
      <c r="O118" s="13">
        <f>N118*VLOOKUP('Données projet'!$B$9,Paramètres!$A$1:$I$89,3,0)*VLOOKUP('Données projet'!$B$9,Paramètres!$A$1:$I$89,5,0)</f>
        <v>257.86799999999999</v>
      </c>
      <c r="P118" s="13">
        <f t="shared" si="87"/>
        <v>62.267704162827528</v>
      </c>
      <c r="Q118" s="20">
        <f t="shared" si="107"/>
        <v>557.56968475025803</v>
      </c>
      <c r="R118" s="59">
        <f t="shared" si="55"/>
        <v>850.90301808359141</v>
      </c>
      <c r="S118" s="59">
        <f ca="1">AVERAGE(OFFSET($R$3,0,0,'Données projet'!$E$9+1,1))-AVERAGE(OFFSET($H$3,0,0,'Données projet'!$E$9+1,1))</f>
        <v>371.7282125501186</v>
      </c>
      <c r="T118" s="59">
        <f t="shared" si="88"/>
        <v>231.36959598460686</v>
      </c>
      <c r="U118" s="15">
        <f>IF(ISNA(VLOOKUP(A118,'Données projet'!$A$35:$I$55,3,0)),0,VLOOKUP(A118,'Données projet'!$A$35:$I$55,3,0))</f>
        <v>19</v>
      </c>
      <c r="V118" s="15">
        <f>IF(ISNA(VLOOKUP(A118,'Données projet'!$A$35:$I$55,4,0)),0,VLOOKUP(A118,'Données projet'!$A$35:$I$55,4,0))</f>
        <v>18</v>
      </c>
      <c r="W118" s="16">
        <f>IF(ISNA(VLOOKUP(A118,'Données projet'!$A$35:$I$55,5,0)),0%,VLOOKUP(A118,'Données projet'!$A$35:$I$55,5,0)*VLOOKUP('Données projet'!$B$9,Paramètres!$A$1:$I$89,7,0))</f>
        <v>0.34400000000000003</v>
      </c>
      <c r="X118" s="16">
        <f>IF(ISNA(VLOOKUP(A118,'Données projet'!$A$35:$I$55,6,0)),0%,VLOOKUP(A118,'Données projet'!$A$35:$I$55,6,0)*VLOOKUP('Données projet'!$B$9,Paramètres!$A$1:$I$89,7,0))</f>
        <v>1.72E-2</v>
      </c>
      <c r="Y118" s="16">
        <f>IF(ISNA(VLOOKUP(A118,'Données projet'!$A$35:$I$55,7,0)),0%,VLOOKUP(A118,'Données projet'!$A$35:$I$55,7,0))</f>
        <v>0.06</v>
      </c>
      <c r="Z118" s="21">
        <f>EXP(-LN(2)/35)*Z117+(1-EXP(-LN(2)/35))/(LN(2)/35)*V118*W118*VLOOKUP('Données projet'!$B$9,Paramètres!$A$1:$I$89,3,0)*0.475*44/12</f>
        <v>57.95995896302901</v>
      </c>
      <c r="AA118" s="21">
        <f>EXP(-LN(2)/25)*AA117+(1-EXP(-LN(2)/25))/(LN(2)/25)*Calculateur!V118*Calculateur!X118*VLOOKUP('Données projet'!$B$9,Paramètres!$A$1:$I$89,3,0)*0.475*44/12</f>
        <v>2.506492041653845</v>
      </c>
      <c r="AB118" s="21">
        <f>EXP(-LN(2)/2)*AB117+(1-EXP(-LN(2)/2))/(LN(2)/2)*V118*Y118*VLOOKUP('Données projet'!$B$9,Paramètres!$A$1:$I$89,3,0)*0.475*44/12</f>
        <v>1.1332744678396809</v>
      </c>
      <c r="AC118" s="22">
        <f t="shared" si="57"/>
        <v>61.599725472522536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1.7053025658242404E-13</v>
      </c>
      <c r="AJ118" s="13">
        <f>AI118*VLOOKUP('Données projet'!$B$10,Paramètres!$A$1:$I$89,3,0)*VLOOKUP('Données projet'!$B$10,Paramètres!$A$1:$I$89,5,0)</f>
        <v>7.9808160080574461E-14</v>
      </c>
      <c r="AK118" s="13">
        <f t="shared" si="89"/>
        <v>1.2308384591775343E-12</v>
      </c>
      <c r="AL118" s="20">
        <f t="shared" si="58"/>
        <v>2.282709528541206E-12</v>
      </c>
      <c r="AM118" s="59">
        <f t="shared" si="59"/>
        <v>293.33333333333559</v>
      </c>
      <c r="AN118" s="59">
        <f ca="1">AVERAGE(OFFSET($AM$3,0,0,'Données projet'!$E$10+1,1))-AVERAGE(OFFSET($H$3,0,0,'Données projet'!$E$10+1,1))</f>
        <v>218.32525311070435</v>
      </c>
      <c r="AO118" s="59">
        <f t="shared" si="90"/>
        <v>275.36315264099204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29.342308076725878</v>
      </c>
      <c r="AV118" s="21">
        <f>EXP(-LN(2)/25)*AV117+(1-EXP(-LN(2)/25))/(LN(2)/25)*Calculateur!AQ118*Calculateur!AS118*VLOOKUP('Données projet'!$B$10,Paramètres!$A$1:$I$89,3,0)*0.475*44/12</f>
        <v>8.1924775930811862</v>
      </c>
      <c r="AW118" s="21">
        <f>EXP(-LN(2)/2)*AW117+(1-EXP(-LN(2)/2))/(LN(2)/2)*AQ118*AT118*VLOOKUP('Données projet'!$B$10,Paramètres!$A$1:$I$89,3,0)*0.475*44/12</f>
        <v>3.4380783708075331E-7</v>
      </c>
      <c r="AX118" s="21">
        <f t="shared" si="60"/>
        <v>37.534786013614898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343</v>
      </c>
      <c r="BE118" s="13">
        <f>BD118*VLOOKUP('Données projet'!$B$11,Paramètres!$A$1:$I$89,3,0)*VLOOKUP('Données projet'!$B$11,Paramètres!$A$1:$I$89,5,0)</f>
        <v>326.39879999999999</v>
      </c>
      <c r="BF118" s="13">
        <f t="shared" si="91"/>
        <v>76.683210401884097</v>
      </c>
      <c r="BG118" s="20">
        <f t="shared" si="61"/>
        <v>702.03450144994804</v>
      </c>
      <c r="BH118" s="59">
        <f t="shared" si="62"/>
        <v>995.3678347832813</v>
      </c>
      <c r="BI118" s="59">
        <f ca="1">AVERAGE(OFFSET($BH$3,0,0,'Données projet'!$E$11+1,1))-AVERAGE(OFFSET($H$3,0,0,'Données projet'!$E$11+1,1))</f>
        <v>446.62872871405051</v>
      </c>
      <c r="BJ118" s="59">
        <f t="shared" si="92"/>
        <v>471.28934889691658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24.406286847827051</v>
      </c>
      <c r="BQ118" s="21">
        <f>EXP(-LN(2)/25)*BQ117+(1-EXP(-LN(2)/25))/(LN(2)/25)*Calculateur!BL118*Calculateur!BN118*VLOOKUP('Données projet'!$B$11,Paramètres!$A$1:$I$89,3,0)*0.475*44/12</f>
        <v>0.96546095697308465</v>
      </c>
      <c r="BR118" s="21">
        <f>EXP(-LN(2)/2)*BR117+(1-EXP(-LN(2)/2))/(LN(2)/2)*BL118*BO118*VLOOKUP('Données projet'!$B$11,Paramètres!$A$1:$I$89,3,0)*0.475*44/12</f>
        <v>2.8886294179029194E-7</v>
      </c>
      <c r="BS118" s="22">
        <f t="shared" si="63"/>
        <v>25.371748093663079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991.00000000000011</v>
      </c>
      <c r="BZ118" s="13">
        <f>BY118*VLOOKUP('Données projet'!$B$12,Paramètres!$A$1:$I$89,3,0)*VLOOKUP('Données projet'!$B$12,Paramètres!$A$1:$I$89,5,0)</f>
        <v>438.02200000000011</v>
      </c>
      <c r="CA118" s="13">
        <f t="shared" si="93"/>
        <v>99.443834741543355</v>
      </c>
      <c r="CB118" s="20">
        <f t="shared" si="64"/>
        <v>936.08632884152132</v>
      </c>
      <c r="CC118" s="59">
        <f t="shared" si="65"/>
        <v>1229.4196621748547</v>
      </c>
      <c r="CD118" s="59">
        <f ca="1">AVERAGE(OFFSET($CC$3,0,0,'Données projet'!$E$12+1,1))-AVERAGE(OFFSET($H$3,0,0,'Données projet'!$E$12+1,1))</f>
        <v>534.99316143569899</v>
      </c>
      <c r="CE118" s="59">
        <f t="shared" si="94"/>
        <v>449.56965858934262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35.058469522653581</v>
      </c>
      <c r="CL118" s="21">
        <f>EXP(-LN(2)/25)*CL117+(1-EXP(-LN(2)/25))/(LN(2)/25)*Calculateur!CG118*Calculateur!CI118*VLOOKUP('Données projet'!$B$12,Paramètres!$A$1:$I$89,3,0)*0.475*44/12</f>
        <v>12.141629289489481</v>
      </c>
      <c r="CM118" s="21">
        <f>EXP(-LN(2)/2)*CM117+(1-EXP(-LN(2)/2))/(LN(2)/2)*CG118*CJ118*VLOOKUP('Données projet'!$B$12,Paramètres!$A$1:$I$89,3,0)*0.475*44/12</f>
        <v>1.4707598511884022E-5</v>
      </c>
      <c r="CN118" s="22">
        <f t="shared" si="66"/>
        <v>47.200113519741571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254</v>
      </c>
      <c r="CR118" s="12">
        <f>VLOOKUP(A118,'Données projet'!$A$139:$I$159,9,0)</f>
        <v>2.4</v>
      </c>
      <c r="CS118" s="12">
        <f t="array" ref="CS118">INDEX(CR:CR,MIN(IF(ISNUMBER(CR118:CR314),ROW(CR118:CR314),"")))</f>
        <v>2.4</v>
      </c>
      <c r="CT118" s="12">
        <f>IF('Données projet'!$A$140&gt;35,CT117+CS118-DB117,IF(A118&lt;'Données projet'!$A$140,$CQ$205^A118,IF(A118='Données projet'!$A$140,'Données projet'!$B$140,CT117+CS118-DB117)))</f>
        <v>254.00000000000003</v>
      </c>
      <c r="CU118" s="17">
        <f>CT118*VLOOKUP('Données projet'!$B$13,Paramètres!$A$1:$I$89,3,0)*VLOOKUP('Données projet'!$B$13,Paramètres!$A$1:$I$89,5,0)</f>
        <v>289.25520000000006</v>
      </c>
      <c r="CV118" s="13">
        <f t="shared" si="95"/>
        <v>68.91918152500692</v>
      </c>
      <c r="CW118" s="20">
        <f t="shared" si="67"/>
        <v>623.82038115605383</v>
      </c>
      <c r="CX118" s="59">
        <f t="shared" si="68"/>
        <v>917.15371448938708</v>
      </c>
      <c r="CY118" s="59">
        <f ca="1">AVERAGE(OFFSET($CX$3,0,0,'Données projet'!$E$13+1,1))-AVERAGE(OFFSET($H$3,0,0,'Données projet'!$E$13+1,1))</f>
        <v>389.89050053480827</v>
      </c>
      <c r="CZ118" s="59">
        <f t="shared" si="96"/>
        <v>216.40816051909616</v>
      </c>
      <c r="DA118" s="15">
        <f>IF(ISNA(VLOOKUP(A118,'Données projet'!$A$139:$I$159,3,0)),0,VLOOKUP(A118,'Données projet'!$A$139:$I$159,3,0))</f>
        <v>19</v>
      </c>
      <c r="DB118" s="15">
        <f>IF(ISNA(VLOOKUP(A118,'Données projet'!$A$139:$I$159,4,0)),0,VLOOKUP(A118,'Données projet'!$A$139:$I$159,4,0))</f>
        <v>8</v>
      </c>
      <c r="DC118" s="16">
        <f>IF(ISNA(VLOOKUP(A118,'Données projet'!$A$139:$I$159,5,0)),0%,VLOOKUP(A118,'Données projet'!$A$139:$I$159,5,0)*VLOOKUP('Données projet'!$B$13,Paramètres!$A$1:$I$89,7,0))</f>
        <v>0.17200000000000001</v>
      </c>
      <c r="DD118" s="16">
        <f>IF(ISNA(VLOOKUP(A118,'Données projet'!$A$139:$I$159,6,0)),0%,VLOOKUP(A118,'Données projet'!$A$139:$I$159,6,0)*VLOOKUP('Données projet'!$B$13,Paramètres!$A$1:$I$89,7,0))</f>
        <v>1.72E-2</v>
      </c>
      <c r="DE118" s="16">
        <f>IF(ISNA(VLOOKUP(A118,'Données projet'!$A$139:$I$159,7,0)),0%,VLOOKUP(A118,'Données projet'!$A$139:$I$159,7,0))</f>
        <v>0.06</v>
      </c>
      <c r="DF118" s="21">
        <f>EXP(-LN(2)/35)*DF117+(1-EXP(-LN(2)/35))/(LN(2)/35)*DB118*DC118*VLOOKUP('Données projet'!$B$13,Paramètres!$A$1:$I$89,3,0)*0.475*44/12</f>
        <v>13.207345714218093</v>
      </c>
      <c r="DG118" s="21">
        <f>EXP(-LN(2)/25)*DG117+(1-EXP(-LN(2)/25))/(LN(2)/25)*Calculateur!DB118*Calculateur!DD118*VLOOKUP('Données projet'!$B$13,Paramètres!$A$1:$I$89,3,0)*0.475*44/12</f>
        <v>1.4445535642918759</v>
      </c>
      <c r="DH118" s="21">
        <f>EXP(-LN(2)/2)*DH117+(1-EXP(-LN(2)/2))/(LN(2)/2)*DB118*DE118*VLOOKUP('Données projet'!$B$13,Paramètres!$A$1:$I$89,3,0)*0.475*44/12</f>
        <v>0.6289669528677172</v>
      </c>
      <c r="DI118" s="22">
        <f t="shared" si="69"/>
        <v>15.280866231377686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3.6</v>
      </c>
      <c r="N119" s="13">
        <f>IF('Données projet'!$A$36&gt;35,N118+M119-V118,IF(A119&lt;'Données projet'!$A$36,$K$205^A119,IF(A119='Données projet'!$A$36,'Données projet'!$B$36,N118+M119-V118)))</f>
        <v>270.60000000000002</v>
      </c>
      <c r="O119" s="13">
        <f>N119*VLOOKUP('Données projet'!$B$9,Paramètres!$A$1:$I$89,3,0)*VLOOKUP('Données projet'!$B$9,Paramètres!$A$1:$I$89,5,0)</f>
        <v>244.83888000000002</v>
      </c>
      <c r="P119" s="13">
        <f t="shared" si="87"/>
        <v>59.479426489427787</v>
      </c>
      <c r="Q119" s="20">
        <f t="shared" si="107"/>
        <v>530.02105046908684</v>
      </c>
      <c r="R119" s="59">
        <f t="shared" si="55"/>
        <v>823.35438380242022</v>
      </c>
      <c r="S119" s="59">
        <f ca="1">AVERAGE(OFFSET($R$3,0,0,'Données projet'!$E$9+1,1))-AVERAGE(OFFSET($H$3,0,0,'Données projet'!$E$9+1,1))</f>
        <v>371.7282125501186</v>
      </c>
      <c r="T119" s="59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56.823399519848252</v>
      </c>
      <c r="AA119" s="21">
        <f>EXP(-LN(2)/25)*AA118+(1-EXP(-LN(2)/25))/(LN(2)/25)*Calculateur!V119*Calculateur!X119*VLOOKUP('Données projet'!$B$9,Paramètres!$A$1:$I$89,3,0)*0.475*44/12</f>
        <v>2.4379518849641326</v>
      </c>
      <c r="AB119" s="21">
        <f>EXP(-LN(2)/2)*AB118+(1-EXP(-LN(2)/2))/(LN(2)/2)*V119*Y119*VLOOKUP('Données projet'!$B$9,Paramètres!$A$1:$I$89,3,0)*0.475*44/12</f>
        <v>0.80134606115501439</v>
      </c>
      <c r="AC119" s="22">
        <f t="shared" si="57"/>
        <v>60.062697465967403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1.7053025658242404E-13</v>
      </c>
      <c r="AJ119" s="13">
        <f>AI119*VLOOKUP('Données projet'!$B$10,Paramètres!$A$1:$I$89,3,0)*VLOOKUP('Données projet'!$B$10,Paramètres!$A$1:$I$89,5,0)</f>
        <v>7.9808160080574461E-14</v>
      </c>
      <c r="AK119" s="13">
        <f t="shared" si="89"/>
        <v>1.2308384591775343E-12</v>
      </c>
      <c r="AL119" s="20">
        <f t="shared" si="58"/>
        <v>2.282709528541206E-12</v>
      </c>
      <c r="AM119" s="59">
        <f t="shared" si="59"/>
        <v>293.33333333333559</v>
      </c>
      <c r="AN119" s="59">
        <f ca="1">AVERAGE(OFFSET($AM$3,0,0,'Données projet'!$E$10+1,1))-AVERAGE(OFFSET($H$3,0,0,'Données projet'!$E$10+1,1))</f>
        <v>218.32525311070435</v>
      </c>
      <c r="AO119" s="59">
        <f t="shared" si="90"/>
        <v>275.36315264099204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28.766923312382026</v>
      </c>
      <c r="AV119" s="21">
        <f>EXP(-LN(2)/25)*AV118+(1-EXP(-LN(2)/25))/(LN(2)/25)*Calculateur!AQ119*Calculateur!AS119*VLOOKUP('Données projet'!$B$10,Paramètres!$A$1:$I$89,3,0)*0.475*44/12</f>
        <v>7.9684538624747088</v>
      </c>
      <c r="AW119" s="21">
        <f>EXP(-LN(2)/2)*AW118+(1-EXP(-LN(2)/2))/(LN(2)/2)*AQ119*AT119*VLOOKUP('Données projet'!$B$10,Paramètres!$A$1:$I$89,3,0)*0.475*44/12</f>
        <v>2.4310885302488041E-7</v>
      </c>
      <c r="AX119" s="21">
        <f t="shared" si="60"/>
        <v>36.735377417965587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343</v>
      </c>
      <c r="BE119" s="13">
        <f>BD119*VLOOKUP('Données projet'!$B$11,Paramètres!$A$1:$I$89,3,0)*VLOOKUP('Données projet'!$B$11,Paramètres!$A$1:$I$89,5,0)</f>
        <v>326.39879999999999</v>
      </c>
      <c r="BF119" s="13">
        <f t="shared" si="91"/>
        <v>76.683210401884097</v>
      </c>
      <c r="BG119" s="20">
        <f t="shared" si="61"/>
        <v>702.03450144994804</v>
      </c>
      <c r="BH119" s="59">
        <f t="shared" si="62"/>
        <v>995.3678347832813</v>
      </c>
      <c r="BI119" s="59">
        <f ca="1">AVERAGE(OFFSET($BH$3,0,0,'Données projet'!$E$11+1,1))-AVERAGE(OFFSET($H$3,0,0,'Données projet'!$E$11+1,1))</f>
        <v>446.62872871405051</v>
      </c>
      <c r="BJ119" s="59">
        <f t="shared" si="92"/>
        <v>471.28934889691658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23.927694449106234</v>
      </c>
      <c r="BQ119" s="21">
        <f>EXP(-LN(2)/25)*BQ118+(1-EXP(-LN(2)/25))/(LN(2)/25)*Calculateur!BL119*Calculateur!BN119*VLOOKUP('Données projet'!$B$11,Paramètres!$A$1:$I$89,3,0)*0.475*44/12</f>
        <v>0.93906037633327055</v>
      </c>
      <c r="BR119" s="21">
        <f>EXP(-LN(2)/2)*BR118+(1-EXP(-LN(2)/2))/(LN(2)/2)*BL119*BO119*VLOOKUP('Données projet'!$B$11,Paramètres!$A$1:$I$89,3,0)*0.475*44/12</f>
        <v>2.0425694497341038E-7</v>
      </c>
      <c r="BS119" s="22">
        <f t="shared" si="63"/>
        <v>24.866755029696449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991.00000000000011</v>
      </c>
      <c r="BZ119" s="13">
        <f>BY119*VLOOKUP('Données projet'!$B$12,Paramètres!$A$1:$I$89,3,0)*VLOOKUP('Données projet'!$B$12,Paramètres!$A$1:$I$89,5,0)</f>
        <v>438.02200000000011</v>
      </c>
      <c r="CA119" s="13">
        <f t="shared" si="93"/>
        <v>99.443834741543355</v>
      </c>
      <c r="CB119" s="20">
        <f t="shared" si="64"/>
        <v>936.08632884152132</v>
      </c>
      <c r="CC119" s="59">
        <f t="shared" si="65"/>
        <v>1229.4196621748547</v>
      </c>
      <c r="CD119" s="59">
        <f ca="1">AVERAGE(OFFSET($CC$3,0,0,'Données projet'!$E$12+1,1))-AVERAGE(OFFSET($H$3,0,0,'Données projet'!$E$12+1,1))</f>
        <v>534.99316143569899</v>
      </c>
      <c r="CE119" s="59">
        <f t="shared" si="94"/>
        <v>449.56965858934262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34.3709943188693</v>
      </c>
      <c r="CL119" s="21">
        <f>EXP(-LN(2)/25)*CL118+(1-EXP(-LN(2)/25))/(LN(2)/25)*Calculateur!CG119*Calculateur!CI119*VLOOKUP('Données projet'!$B$12,Paramètres!$A$1:$I$89,3,0)*0.475*44/12</f>
        <v>11.809615798067858</v>
      </c>
      <c r="CM119" s="21">
        <f>EXP(-LN(2)/2)*CM118+(1-EXP(-LN(2)/2))/(LN(2)/2)*CG119*CJ119*VLOOKUP('Données projet'!$B$12,Paramètres!$A$1:$I$89,3,0)*0.475*44/12</f>
        <v>1.0399842642722368E-5</v>
      </c>
      <c r="CN119" s="22">
        <f t="shared" si="66"/>
        <v>46.180620516779804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2.6</v>
      </c>
      <c r="CT119" s="12">
        <f>IF('Données projet'!$A$140&gt;35,CT118+CS119-DB118,IF(A119&lt;'Données projet'!$A$140,$CQ$205^A119,IF(A119='Données projet'!$A$140,'Données projet'!$B$140,CT118+CS119-DB118)))</f>
        <v>248.60000000000002</v>
      </c>
      <c r="CU119" s="17">
        <f>CT119*VLOOKUP('Données projet'!$B$13,Paramètres!$A$1:$I$89,3,0)*VLOOKUP('Données projet'!$B$13,Paramètres!$A$1:$I$89,5,0)</f>
        <v>283.10568000000001</v>
      </c>
      <c r="CV119" s="13">
        <f t="shared" si="95"/>
        <v>67.622906402422274</v>
      </c>
      <c r="CW119" s="20">
        <f t="shared" si="67"/>
        <v>610.85228798421883</v>
      </c>
      <c r="CX119" s="59">
        <f t="shared" si="68"/>
        <v>904.1856213175522</v>
      </c>
      <c r="CY119" s="59">
        <f ca="1">AVERAGE(OFFSET($CX$3,0,0,'Données projet'!$E$13+1,1))-AVERAGE(OFFSET($H$3,0,0,'Données projet'!$E$13+1,1))</f>
        <v>389.89050053480827</v>
      </c>
      <c r="CZ119" s="59">
        <f t="shared" si="96"/>
        <v>216.40816051909616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12.94835772044773</v>
      </c>
      <c r="DG119" s="21">
        <f>EXP(-LN(2)/25)*DG118+(1-EXP(-LN(2)/25))/(LN(2)/25)*Calculateur!DB119*Calculateur!DD119*VLOOKUP('Données projet'!$B$13,Paramètres!$A$1:$I$89,3,0)*0.475*44/12</f>
        <v>1.4050521711105441</v>
      </c>
      <c r="DH119" s="21">
        <f>EXP(-LN(2)/2)*DH118+(1-EXP(-LN(2)/2))/(LN(2)/2)*DB119*DE119*VLOOKUP('Données projet'!$B$13,Paramètres!$A$1:$I$89,3,0)*0.475*44/12</f>
        <v>0.44474679751500251</v>
      </c>
      <c r="DI119" s="22">
        <f t="shared" si="69"/>
        <v>14.798156689073275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3.6</v>
      </c>
      <c r="N120" s="13">
        <f>IF('Données projet'!$A$36&gt;35,N119+M120-V119,IF(A120&lt;'Données projet'!$A$36,$K$205^A120,IF(A120='Données projet'!$A$36,'Données projet'!$B$36,N119+M120-V119)))</f>
        <v>274.20000000000005</v>
      </c>
      <c r="O120" s="13">
        <f>N120*VLOOKUP('Données projet'!$B$9,Paramètres!$A$1:$I$89,3,0)*VLOOKUP('Données projet'!$B$9,Paramètres!$A$1:$I$89,5,0)</f>
        <v>248.09616</v>
      </c>
      <c r="P120" s="13">
        <f t="shared" si="87"/>
        <v>60.178080967364686</v>
      </c>
      <c r="Q120" s="20">
        <f t="shared" si="107"/>
        <v>536.91096968482668</v>
      </c>
      <c r="R120" s="59">
        <f t="shared" si="55"/>
        <v>830.24430301816005</v>
      </c>
      <c r="S120" s="59">
        <f ca="1">AVERAGE(OFFSET($R$3,0,0,'Données projet'!$E$9+1,1))-AVERAGE(OFFSET($H$3,0,0,'Données projet'!$E$9+1,1))</f>
        <v>371.7282125501186</v>
      </c>
      <c r="T120" s="59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55.709127314115456</v>
      </c>
      <c r="AA120" s="21">
        <f>EXP(-LN(2)/25)*AA119+(1-EXP(-LN(2)/25))/(LN(2)/25)*Calculateur!V120*Calculateur!X120*VLOOKUP('Données projet'!$B$9,Paramètres!$A$1:$I$89,3,0)*0.475*44/12</f>
        <v>2.371285962463471</v>
      </c>
      <c r="AB120" s="21">
        <f>EXP(-LN(2)/2)*AB119+(1-EXP(-LN(2)/2))/(LN(2)/2)*V120*Y120*VLOOKUP('Données projet'!$B$9,Paramètres!$A$1:$I$89,3,0)*0.475*44/12</f>
        <v>0.56663723391984055</v>
      </c>
      <c r="AC120" s="22">
        <f t="shared" si="57"/>
        <v>58.647050510498765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1.7053025658242404E-13</v>
      </c>
      <c r="AJ120" s="13">
        <f>AI120*VLOOKUP('Données projet'!$B$10,Paramètres!$A$1:$I$89,3,0)*VLOOKUP('Données projet'!$B$10,Paramètres!$A$1:$I$89,5,0)</f>
        <v>7.9808160080574461E-14</v>
      </c>
      <c r="AK120" s="13">
        <f t="shared" si="89"/>
        <v>1.2308384591775343E-12</v>
      </c>
      <c r="AL120" s="20">
        <f t="shared" si="58"/>
        <v>2.282709528541206E-12</v>
      </c>
      <c r="AM120" s="59">
        <f t="shared" si="59"/>
        <v>293.33333333333559</v>
      </c>
      <c r="AN120" s="59">
        <f ca="1">AVERAGE(OFFSET($AM$3,0,0,'Données projet'!$E$10+1,1))-AVERAGE(OFFSET($H$3,0,0,'Données projet'!$E$10+1,1))</f>
        <v>218.32525311070435</v>
      </c>
      <c r="AO120" s="59">
        <f t="shared" si="90"/>
        <v>275.36315264099204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28.202821492316904</v>
      </c>
      <c r="AV120" s="21">
        <f>EXP(-LN(2)/25)*AV119+(1-EXP(-LN(2)/25))/(LN(2)/25)*Calculateur!AQ120*Calculateur!AS120*VLOOKUP('Données projet'!$B$10,Paramètres!$A$1:$I$89,3,0)*0.475*44/12</f>
        <v>7.7505560725625617</v>
      </c>
      <c r="AW120" s="21">
        <f>EXP(-LN(2)/2)*AW119+(1-EXP(-LN(2)/2))/(LN(2)/2)*AQ120*AT120*VLOOKUP('Données projet'!$B$10,Paramètres!$A$1:$I$89,3,0)*0.475*44/12</f>
        <v>1.7190391854037666E-7</v>
      </c>
      <c r="AX120" s="21">
        <f t="shared" si="60"/>
        <v>35.953377736783388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343</v>
      </c>
      <c r="BE120" s="13">
        <f>BD120*VLOOKUP('Données projet'!$B$11,Paramètres!$A$1:$I$89,3,0)*VLOOKUP('Données projet'!$B$11,Paramètres!$A$1:$I$89,5,0)</f>
        <v>326.39879999999999</v>
      </c>
      <c r="BF120" s="13">
        <f t="shared" si="91"/>
        <v>76.683210401884097</v>
      </c>
      <c r="BG120" s="20">
        <f t="shared" si="61"/>
        <v>702.03450144994804</v>
      </c>
      <c r="BH120" s="59">
        <f t="shared" si="62"/>
        <v>995.3678347832813</v>
      </c>
      <c r="BI120" s="59">
        <f ca="1">AVERAGE(OFFSET($BH$3,0,0,'Données projet'!$E$11+1,1))-AVERAGE(OFFSET($H$3,0,0,'Données projet'!$E$11+1,1))</f>
        <v>446.62872871405051</v>
      </c>
      <c r="BJ120" s="59">
        <f t="shared" si="92"/>
        <v>471.28934889691658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23.458486955411793</v>
      </c>
      <c r="BQ120" s="21">
        <f>EXP(-LN(2)/25)*BQ119+(1-EXP(-LN(2)/25))/(LN(2)/25)*Calculateur!BL120*Calculateur!BN120*VLOOKUP('Données projet'!$B$11,Paramètres!$A$1:$I$89,3,0)*0.475*44/12</f>
        <v>0.91338172095939829</v>
      </c>
      <c r="BR120" s="21">
        <f>EXP(-LN(2)/2)*BR119+(1-EXP(-LN(2)/2))/(LN(2)/2)*BL120*BO120*VLOOKUP('Données projet'!$B$11,Paramètres!$A$1:$I$89,3,0)*0.475*44/12</f>
        <v>1.4443147089514597E-7</v>
      </c>
      <c r="BS120" s="22">
        <f t="shared" si="63"/>
        <v>24.371868820802664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991.00000000000011</v>
      </c>
      <c r="BZ120" s="13">
        <f>BY120*VLOOKUP('Données projet'!$B$12,Paramètres!$A$1:$I$89,3,0)*VLOOKUP('Données projet'!$B$12,Paramètres!$A$1:$I$89,5,0)</f>
        <v>438.02200000000011</v>
      </c>
      <c r="CA120" s="13">
        <f t="shared" si="93"/>
        <v>99.443834741543355</v>
      </c>
      <c r="CB120" s="20">
        <f t="shared" si="64"/>
        <v>936.08632884152132</v>
      </c>
      <c r="CC120" s="59">
        <f t="shared" si="65"/>
        <v>1229.4196621748547</v>
      </c>
      <c r="CD120" s="59">
        <f ca="1">AVERAGE(OFFSET($CC$3,0,0,'Données projet'!$E$12+1,1))-AVERAGE(OFFSET($H$3,0,0,'Données projet'!$E$12+1,1))</f>
        <v>534.99316143569899</v>
      </c>
      <c r="CE120" s="59">
        <f t="shared" si="94"/>
        <v>449.56965858934262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33.697000084512759</v>
      </c>
      <c r="CL120" s="21">
        <f>EXP(-LN(2)/25)*CL119+(1-EXP(-LN(2)/25))/(LN(2)/25)*Calculateur!CG120*Calculateur!CI120*VLOOKUP('Données projet'!$B$12,Paramètres!$A$1:$I$89,3,0)*0.475*44/12</f>
        <v>11.486681233028989</v>
      </c>
      <c r="CM120" s="21">
        <f>EXP(-LN(2)/2)*CM119+(1-EXP(-LN(2)/2))/(LN(2)/2)*CG120*CJ120*VLOOKUP('Données projet'!$B$12,Paramètres!$A$1:$I$89,3,0)*0.475*44/12</f>
        <v>7.3537992559420118E-6</v>
      </c>
      <c r="CN120" s="22">
        <f t="shared" si="66"/>
        <v>45.183688671341002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2.6</v>
      </c>
      <c r="CT120" s="12">
        <f>IF('Données projet'!$A$140&gt;35,CT119+CS120-DB119,IF(A120&lt;'Données projet'!$A$140,$CQ$205^A120,IF(A120='Données projet'!$A$140,'Données projet'!$B$140,CT119+CS120-DB119)))</f>
        <v>251.20000000000002</v>
      </c>
      <c r="CU120" s="17">
        <f>CT120*VLOOKUP('Données projet'!$B$13,Paramètres!$A$1:$I$89,3,0)*VLOOKUP('Données projet'!$B$13,Paramètres!$A$1:$I$89,5,0)</f>
        <v>286.06656000000004</v>
      </c>
      <c r="CV120" s="13">
        <f t="shared" si="95"/>
        <v>68.247443666899414</v>
      </c>
      <c r="CW120" s="20">
        <f t="shared" si="67"/>
        <v>617.09688971984986</v>
      </c>
      <c r="CX120" s="59">
        <f t="shared" si="68"/>
        <v>910.43022305318323</v>
      </c>
      <c r="CY120" s="59">
        <f ca="1">AVERAGE(OFFSET($CX$3,0,0,'Données projet'!$E$13+1,1))-AVERAGE(OFFSET($H$3,0,0,'Données projet'!$E$13+1,1))</f>
        <v>389.89050053480827</v>
      </c>
      <c r="CZ120" s="59">
        <f t="shared" si="96"/>
        <v>216.40816051909616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12.694448323268125</v>
      </c>
      <c r="DG120" s="21">
        <f>EXP(-LN(2)/25)*DG119+(1-EXP(-LN(2)/25))/(LN(2)/25)*Calculateur!DB120*Calculateur!DD120*VLOOKUP('Données projet'!$B$13,Paramètres!$A$1:$I$89,3,0)*0.475*44/12</f>
        <v>1.3666309456030439</v>
      </c>
      <c r="DH120" s="21">
        <f>EXP(-LN(2)/2)*DH119+(1-EXP(-LN(2)/2))/(LN(2)/2)*DB120*DE120*VLOOKUP('Données projet'!$B$13,Paramètres!$A$1:$I$89,3,0)*0.475*44/12</f>
        <v>0.31448347643385866</v>
      </c>
      <c r="DI120" s="22">
        <f t="shared" si="69"/>
        <v>14.375562745305027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3.6</v>
      </c>
      <c r="N121" s="13">
        <f>IF('Données projet'!$A$36&gt;35,N120+M121-V120,IF(A121&lt;'Données projet'!$A$36,$K$205^A121,IF(A121='Données projet'!$A$36,'Données projet'!$B$36,N120+M121-V120)))</f>
        <v>277.80000000000007</v>
      </c>
      <c r="O121" s="13">
        <f>N121*VLOOKUP('Données projet'!$B$9,Paramètres!$A$1:$I$89,3,0)*VLOOKUP('Données projet'!$B$9,Paramètres!$A$1:$I$89,5,0)</f>
        <v>251.35344000000003</v>
      </c>
      <c r="P121" s="13">
        <f t="shared" si="87"/>
        <v>60.875668525285015</v>
      </c>
      <c r="Q121" s="20">
        <f t="shared" si="107"/>
        <v>543.79903068153806</v>
      </c>
      <c r="R121" s="59">
        <f t="shared" si="55"/>
        <v>837.13236401487143</v>
      </c>
      <c r="S121" s="59">
        <f ca="1">AVERAGE(OFFSET($R$3,0,0,'Données projet'!$E$9+1,1))-AVERAGE(OFFSET($H$3,0,0,'Données projet'!$E$9+1,1))</f>
        <v>371.7282125501186</v>
      </c>
      <c r="T121" s="59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54.616705306698144</v>
      </c>
      <c r="AA121" s="21">
        <f>EXP(-LN(2)/25)*AA120+(1-EXP(-LN(2)/25))/(LN(2)/25)*Calculateur!V121*Calculateur!X121*VLOOKUP('Données projet'!$B$9,Paramètres!$A$1:$I$89,3,0)*0.475*44/12</f>
        <v>2.3064430231193982</v>
      </c>
      <c r="AB121" s="21">
        <f>EXP(-LN(2)/2)*AB120+(1-EXP(-LN(2)/2))/(LN(2)/2)*V121*Y121*VLOOKUP('Données projet'!$B$9,Paramètres!$A$1:$I$89,3,0)*0.475*44/12</f>
        <v>0.40067303057750725</v>
      </c>
      <c r="AC121" s="22">
        <f t="shared" si="57"/>
        <v>57.323821360395051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1.7053025658242404E-13</v>
      </c>
      <c r="AJ121" s="13">
        <f>AI121*VLOOKUP('Données projet'!$B$10,Paramètres!$A$1:$I$89,3,0)*VLOOKUP('Données projet'!$B$10,Paramètres!$A$1:$I$89,5,0)</f>
        <v>7.9808160080574461E-14</v>
      </c>
      <c r="AK121" s="13">
        <f t="shared" si="89"/>
        <v>1.2308384591775343E-12</v>
      </c>
      <c r="AL121" s="20">
        <f t="shared" si="58"/>
        <v>2.282709528541206E-12</v>
      </c>
      <c r="AM121" s="59">
        <f t="shared" si="59"/>
        <v>293.33333333333559</v>
      </c>
      <c r="AN121" s="59">
        <f ca="1">AVERAGE(OFFSET($AM$3,0,0,'Données projet'!$E$10+1,1))-AVERAGE(OFFSET($H$3,0,0,'Données projet'!$E$10+1,1))</f>
        <v>218.32525311070435</v>
      </c>
      <c r="AO121" s="59">
        <f t="shared" si="90"/>
        <v>275.36315264099204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27.649781364875121</v>
      </c>
      <c r="AV121" s="21">
        <f>EXP(-LN(2)/25)*AV120+(1-EXP(-LN(2)/25))/(LN(2)/25)*Calculateur!AQ121*Calculateur!AS121*VLOOKUP('Données projet'!$B$10,Paramètres!$A$1:$I$89,3,0)*0.475*44/12</f>
        <v>7.5386167091743088</v>
      </c>
      <c r="AW121" s="21">
        <f>EXP(-LN(2)/2)*AW120+(1-EXP(-LN(2)/2))/(LN(2)/2)*AQ121*AT121*VLOOKUP('Données projet'!$B$10,Paramètres!$A$1:$I$89,3,0)*0.475*44/12</f>
        <v>1.215544265124402E-7</v>
      </c>
      <c r="AX121" s="21">
        <f t="shared" si="60"/>
        <v>35.18839819560386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343</v>
      </c>
      <c r="BE121" s="13">
        <f>BD121*VLOOKUP('Données projet'!$B$11,Paramètres!$A$1:$I$89,3,0)*VLOOKUP('Données projet'!$B$11,Paramètres!$A$1:$I$89,5,0)</f>
        <v>326.39879999999999</v>
      </c>
      <c r="BF121" s="13">
        <f t="shared" si="91"/>
        <v>76.683210401884097</v>
      </c>
      <c r="BG121" s="20">
        <f t="shared" si="61"/>
        <v>702.03450144994804</v>
      </c>
      <c r="BH121" s="59">
        <f t="shared" si="62"/>
        <v>995.3678347832813</v>
      </c>
      <c r="BI121" s="59">
        <f ca="1">AVERAGE(OFFSET($BH$3,0,0,'Données projet'!$E$11+1,1))-AVERAGE(OFFSET($H$3,0,0,'Données projet'!$E$11+1,1))</f>
        <v>446.62872871405051</v>
      </c>
      <c r="BJ121" s="59">
        <f t="shared" si="92"/>
        <v>471.28934889691658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22.998480334480387</v>
      </c>
      <c r="BQ121" s="21">
        <f>EXP(-LN(2)/25)*BQ120+(1-EXP(-LN(2)/25))/(LN(2)/25)*Calculateur!BL121*Calculateur!BN121*VLOOKUP('Données projet'!$B$11,Paramètres!$A$1:$I$89,3,0)*0.475*44/12</f>
        <v>0.88840524976710644</v>
      </c>
      <c r="BR121" s="21">
        <f>EXP(-LN(2)/2)*BR120+(1-EXP(-LN(2)/2))/(LN(2)/2)*BL121*BO121*VLOOKUP('Données projet'!$B$11,Paramètres!$A$1:$I$89,3,0)*0.475*44/12</f>
        <v>1.0212847248670519E-7</v>
      </c>
      <c r="BS121" s="22">
        <f t="shared" si="63"/>
        <v>23.886885686375965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991.00000000000011</v>
      </c>
      <c r="BZ121" s="13">
        <f>BY121*VLOOKUP('Données projet'!$B$12,Paramètres!$A$1:$I$89,3,0)*VLOOKUP('Données projet'!$B$12,Paramètres!$A$1:$I$89,5,0)</f>
        <v>438.02200000000011</v>
      </c>
      <c r="CA121" s="13">
        <f t="shared" si="93"/>
        <v>99.443834741543355</v>
      </c>
      <c r="CB121" s="20">
        <f t="shared" si="64"/>
        <v>936.08632884152132</v>
      </c>
      <c r="CC121" s="59">
        <f t="shared" si="65"/>
        <v>1229.4196621748547</v>
      </c>
      <c r="CD121" s="59">
        <f ca="1">AVERAGE(OFFSET($CC$3,0,0,'Données projet'!$E$12+1,1))-AVERAGE(OFFSET($H$3,0,0,'Données projet'!$E$12+1,1))</f>
        <v>534.99316143569899</v>
      </c>
      <c r="CE121" s="59">
        <f t="shared" si="94"/>
        <v>449.56965858934262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33.036222465996062</v>
      </c>
      <c r="CL121" s="21">
        <f>EXP(-LN(2)/25)*CL120+(1-EXP(-LN(2)/25))/(LN(2)/25)*Calculateur!CG121*Calculateur!CI121*VLOOKUP('Données projet'!$B$12,Paramètres!$A$1:$I$89,3,0)*0.475*44/12</f>
        <v>11.172577330653498</v>
      </c>
      <c r="CM121" s="21">
        <f>EXP(-LN(2)/2)*CM120+(1-EXP(-LN(2)/2))/(LN(2)/2)*CG121*CJ121*VLOOKUP('Données projet'!$B$12,Paramètres!$A$1:$I$89,3,0)*0.475*44/12</f>
        <v>5.1999213213611847E-6</v>
      </c>
      <c r="CN121" s="22">
        <f t="shared" si="66"/>
        <v>44.208804996570876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2.6</v>
      </c>
      <c r="CT121" s="12">
        <f>IF('Données projet'!$A$140&gt;35,CT120+CS121-DB120,IF(A121&lt;'Données projet'!$A$140,$CQ$205^A121,IF(A121='Données projet'!$A$140,'Données projet'!$B$140,CT120+CS121-DB120)))</f>
        <v>253.8</v>
      </c>
      <c r="CU121" s="17">
        <f>CT121*VLOOKUP('Données projet'!$B$13,Paramètres!$A$1:$I$89,3,0)*VLOOKUP('Données projet'!$B$13,Paramètres!$A$1:$I$89,5,0)</f>
        <v>289.02744000000001</v>
      </c>
      <c r="CV121" s="13">
        <f t="shared" si="95"/>
        <v>68.871228942073074</v>
      </c>
      <c r="CW121" s="20">
        <f t="shared" si="67"/>
        <v>623.34018174077721</v>
      </c>
      <c r="CX121" s="59">
        <f t="shared" si="68"/>
        <v>916.67351507411058</v>
      </c>
      <c r="CY121" s="59">
        <f ca="1">AVERAGE(OFFSET($CX$3,0,0,'Données projet'!$E$13+1,1))-AVERAGE(OFFSET($H$3,0,0,'Données projet'!$E$13+1,1))</f>
        <v>389.89050053480827</v>
      </c>
      <c r="CZ121" s="59">
        <f t="shared" si="96"/>
        <v>216.40816051909616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12.44551793449777</v>
      </c>
      <c r="DG121" s="21">
        <f>EXP(-LN(2)/25)*DG120+(1-EXP(-LN(2)/25))/(LN(2)/25)*Calculateur!DB121*Calculateur!DD121*VLOOKUP('Données projet'!$B$13,Paramètres!$A$1:$I$89,3,0)*0.475*44/12</f>
        <v>1.3292603505275307</v>
      </c>
      <c r="DH121" s="21">
        <f>EXP(-LN(2)/2)*DH120+(1-EXP(-LN(2)/2))/(LN(2)/2)*DB121*DE121*VLOOKUP('Données projet'!$B$13,Paramètres!$A$1:$I$89,3,0)*0.475*44/12</f>
        <v>0.22237339875750128</v>
      </c>
      <c r="DI121" s="22">
        <f t="shared" si="69"/>
        <v>13.997151683782802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3.6</v>
      </c>
      <c r="N122" s="13">
        <f>IF('Données projet'!$A$36&gt;35,N121+M122-V121,IF(A122&lt;'Données projet'!$A$36,$K$205^A122,IF(A122='Données projet'!$A$36,'Données projet'!$B$36,N121+M122-V121)))</f>
        <v>281.40000000000009</v>
      </c>
      <c r="O122" s="13">
        <f>N122*VLOOKUP('Données projet'!$B$9,Paramètres!$A$1:$I$89,3,0)*VLOOKUP('Données projet'!$B$9,Paramètres!$A$1:$I$89,5,0)</f>
        <v>254.61072000000007</v>
      </c>
      <c r="P122" s="13">
        <f t="shared" si="87"/>
        <v>61.572204587965729</v>
      </c>
      <c r="Q122" s="20">
        <f t="shared" si="107"/>
        <v>550.68526032404031</v>
      </c>
      <c r="R122" s="59">
        <f t="shared" si="55"/>
        <v>844.01859365737369</v>
      </c>
      <c r="S122" s="59">
        <f ca="1">AVERAGE(OFFSET($R$3,0,0,'Données projet'!$E$9+1,1))-AVERAGE(OFFSET($H$3,0,0,'Données projet'!$E$9+1,1))</f>
        <v>371.7282125501186</v>
      </c>
      <c r="T122" s="59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53.545705028534655</v>
      </c>
      <c r="AA122" s="21">
        <f>EXP(-LN(2)/25)*AA121+(1-EXP(-LN(2)/25))/(LN(2)/25)*Calculateur!V122*Calculateur!X122*VLOOKUP('Données projet'!$B$9,Paramètres!$A$1:$I$89,3,0)*0.475*44/12</f>
        <v>2.243373217361631</v>
      </c>
      <c r="AB122" s="21">
        <f>EXP(-LN(2)/2)*AB121+(1-EXP(-LN(2)/2))/(LN(2)/2)*V122*Y122*VLOOKUP('Données projet'!$B$9,Paramètres!$A$1:$I$89,3,0)*0.475*44/12</f>
        <v>0.28331861695992028</v>
      </c>
      <c r="AC122" s="22">
        <f t="shared" si="57"/>
        <v>56.072396862856202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1.7053025658242404E-13</v>
      </c>
      <c r="AJ122" s="13">
        <f>AI122*VLOOKUP('Données projet'!$B$10,Paramètres!$A$1:$I$89,3,0)*VLOOKUP('Données projet'!$B$10,Paramètres!$A$1:$I$89,5,0)</f>
        <v>7.9808160080574461E-14</v>
      </c>
      <c r="AK122" s="13">
        <f t="shared" si="89"/>
        <v>1.2308384591775343E-12</v>
      </c>
      <c r="AL122" s="20">
        <f t="shared" si="58"/>
        <v>2.282709528541206E-12</v>
      </c>
      <c r="AM122" s="59">
        <f t="shared" si="59"/>
        <v>293.33333333333559</v>
      </c>
      <c r="AN122" s="59">
        <f ca="1">AVERAGE(OFFSET($AM$3,0,0,'Données projet'!$E$10+1,1))-AVERAGE(OFFSET($H$3,0,0,'Données projet'!$E$10+1,1))</f>
        <v>218.32525311070435</v>
      </c>
      <c r="AO122" s="59">
        <f t="shared" si="90"/>
        <v>275.36315264099204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27.1075860170113</v>
      </c>
      <c r="AV122" s="21">
        <f>EXP(-LN(2)/25)*AV121+(1-EXP(-LN(2)/25))/(LN(2)/25)*Calculateur!AQ122*Calculateur!AS122*VLOOKUP('Données projet'!$B$10,Paramètres!$A$1:$I$89,3,0)*0.475*44/12</f>
        <v>7.332472838823314</v>
      </c>
      <c r="AW122" s="21">
        <f>EXP(-LN(2)/2)*AW121+(1-EXP(-LN(2)/2))/(LN(2)/2)*AQ122*AT122*VLOOKUP('Données projet'!$B$10,Paramètres!$A$1:$I$89,3,0)*0.475*44/12</f>
        <v>8.5951959270188328E-8</v>
      </c>
      <c r="AX122" s="21">
        <f t="shared" si="60"/>
        <v>34.440058941786575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343</v>
      </c>
      <c r="BE122" s="13">
        <f>BD122*VLOOKUP('Données projet'!$B$11,Paramètres!$A$1:$I$89,3,0)*VLOOKUP('Données projet'!$B$11,Paramètres!$A$1:$I$89,5,0)</f>
        <v>326.39879999999999</v>
      </c>
      <c r="BF122" s="13">
        <f t="shared" si="91"/>
        <v>76.683210401884097</v>
      </c>
      <c r="BG122" s="20">
        <f t="shared" si="61"/>
        <v>702.03450144994804</v>
      </c>
      <c r="BH122" s="59">
        <f t="shared" si="62"/>
        <v>995.3678347832813</v>
      </c>
      <c r="BI122" s="59">
        <f ca="1">AVERAGE(OFFSET($BH$3,0,0,'Données projet'!$E$11+1,1))-AVERAGE(OFFSET($H$3,0,0,'Données projet'!$E$11+1,1))</f>
        <v>446.62872871405051</v>
      </c>
      <c r="BJ122" s="59">
        <f t="shared" si="92"/>
        <v>471.28934889691658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22.547494162809112</v>
      </c>
      <c r="BQ122" s="21">
        <f>EXP(-LN(2)/25)*BQ121+(1-EXP(-LN(2)/25))/(LN(2)/25)*Calculateur!BL122*Calculateur!BN122*VLOOKUP('Données projet'!$B$11,Paramètres!$A$1:$I$89,3,0)*0.475*44/12</f>
        <v>0.86411176149302327</v>
      </c>
      <c r="BR122" s="21">
        <f>EXP(-LN(2)/2)*BR121+(1-EXP(-LN(2)/2))/(LN(2)/2)*BL122*BO122*VLOOKUP('Données projet'!$B$11,Paramètres!$A$1:$I$89,3,0)*0.475*44/12</f>
        <v>7.2215735447572985E-8</v>
      </c>
      <c r="BS122" s="22">
        <f t="shared" si="63"/>
        <v>23.411605996517871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991.00000000000011</v>
      </c>
      <c r="BZ122" s="13">
        <f>BY122*VLOOKUP('Données projet'!$B$12,Paramètres!$A$1:$I$89,3,0)*VLOOKUP('Données projet'!$B$12,Paramètres!$A$1:$I$89,5,0)</f>
        <v>438.02200000000011</v>
      </c>
      <c r="CA122" s="13">
        <f t="shared" si="93"/>
        <v>99.443834741543355</v>
      </c>
      <c r="CB122" s="20">
        <f t="shared" si="64"/>
        <v>936.08632884152132</v>
      </c>
      <c r="CC122" s="59">
        <f t="shared" si="65"/>
        <v>1229.4196621748547</v>
      </c>
      <c r="CD122" s="59">
        <f ca="1">AVERAGE(OFFSET($CC$3,0,0,'Données projet'!$E$12+1,1))-AVERAGE(OFFSET($H$3,0,0,'Données projet'!$E$12+1,1))</f>
        <v>534.99316143569899</v>
      </c>
      <c r="CE122" s="59">
        <f t="shared" si="94"/>
        <v>449.56965858934262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32.388402293543926</v>
      </c>
      <c r="CL122" s="21">
        <f>EXP(-LN(2)/25)*CL121+(1-EXP(-LN(2)/25))/(LN(2)/25)*Calculateur!CG122*Calculateur!CI122*VLOOKUP('Données projet'!$B$12,Paramètres!$A$1:$I$89,3,0)*0.475*44/12</f>
        <v>10.867062616006471</v>
      </c>
      <c r="CM122" s="21">
        <f>EXP(-LN(2)/2)*CM121+(1-EXP(-LN(2)/2))/(LN(2)/2)*CG122*CJ122*VLOOKUP('Données projet'!$B$12,Paramètres!$A$1:$I$89,3,0)*0.475*44/12</f>
        <v>3.6768996279710067E-6</v>
      </c>
      <c r="CN122" s="22">
        <f t="shared" si="66"/>
        <v>43.255468586450029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2.6</v>
      </c>
      <c r="CT122" s="12">
        <f>IF('Données projet'!$A$140&gt;35,CT121+CS122-DB121,IF(A122&lt;'Données projet'!$A$140,$CQ$205^A122,IF(A122='Données projet'!$A$140,'Données projet'!$B$140,CT121+CS122-DB121)))</f>
        <v>256.40000000000003</v>
      </c>
      <c r="CU122" s="17">
        <f>CT122*VLOOKUP('Données projet'!$B$13,Paramètres!$A$1:$I$89,3,0)*VLOOKUP('Données projet'!$B$13,Paramètres!$A$1:$I$89,5,0)</f>
        <v>291.98832000000004</v>
      </c>
      <c r="CV122" s="13">
        <f t="shared" si="95"/>
        <v>69.494270823412322</v>
      </c>
      <c r="CW122" s="20">
        <f t="shared" si="67"/>
        <v>629.58217901744308</v>
      </c>
      <c r="CX122" s="59">
        <f t="shared" si="68"/>
        <v>922.91551235077645</v>
      </c>
      <c r="CY122" s="59">
        <f ca="1">AVERAGE(OFFSET($CX$3,0,0,'Données projet'!$E$13+1,1))-AVERAGE(OFFSET($H$3,0,0,'Données projet'!$E$13+1,1))</f>
        <v>389.89050053480827</v>
      </c>
      <c r="CZ122" s="59">
        <f t="shared" si="96"/>
        <v>216.40816051909616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12.201468918818659</v>
      </c>
      <c r="DG122" s="21">
        <f>EXP(-LN(2)/25)*DG121+(1-EXP(-LN(2)/25))/(LN(2)/25)*Calculateur!DB122*Calculateur!DD122*VLOOKUP('Données projet'!$B$13,Paramètres!$A$1:$I$89,3,0)*0.475*44/12</f>
        <v>1.2929116563395915</v>
      </c>
      <c r="DH122" s="21">
        <f>EXP(-LN(2)/2)*DH121+(1-EXP(-LN(2)/2))/(LN(2)/2)*DB122*DE122*VLOOKUP('Données projet'!$B$13,Paramètres!$A$1:$I$89,3,0)*0.475*44/12</f>
        <v>0.15724173821692936</v>
      </c>
      <c r="DI122" s="22">
        <f t="shared" si="69"/>
        <v>13.65162231337518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285</v>
      </c>
      <c r="L123" s="12">
        <f>VLOOKUP(A123,'Données projet'!$A$35:$I$55,9,0)</f>
        <v>3.6</v>
      </c>
      <c r="M123" s="12">
        <f t="array" ref="M123">INDEX(L:L,MIN(IF(ISNUMBER(L123:L319),ROW(L123:L319),"")))</f>
        <v>3.6</v>
      </c>
      <c r="N123" s="13">
        <f>IF('Données projet'!$A$36&gt;35,N122+M123-V122,IF(A123&lt;'Données projet'!$A$36,$K$205^A123,IF(A123='Données projet'!$A$36,'Données projet'!$B$36,N122+M123-V122)))</f>
        <v>285.00000000000011</v>
      </c>
      <c r="O123" s="13">
        <f>N123*VLOOKUP('Données projet'!$B$9,Paramètres!$A$1:$I$89,3,0)*VLOOKUP('Données projet'!$B$9,Paramètres!$A$1:$I$89,5,0)</f>
        <v>257.86800000000011</v>
      </c>
      <c r="P123" s="13">
        <f t="shared" si="87"/>
        <v>62.267704162827528</v>
      </c>
      <c r="Q123" s="20">
        <f t="shared" si="107"/>
        <v>557.56968475025815</v>
      </c>
      <c r="R123" s="59">
        <f t="shared" si="55"/>
        <v>850.90301808359141</v>
      </c>
      <c r="S123" s="59">
        <f ca="1">AVERAGE(OFFSET($R$3,0,0,'Données projet'!$E$9+1,1))-AVERAGE(OFFSET($H$3,0,0,'Données projet'!$E$9+1,1))</f>
        <v>371.7282125501186</v>
      </c>
      <c r="T123" s="59">
        <f t="shared" si="88"/>
        <v>231.36959598460686</v>
      </c>
      <c r="U123" s="15">
        <f>IF(ISNA(VLOOKUP(A123,'Données projet'!$A$35:$I$55,3,0)),0,VLOOKUP(A123,'Données projet'!$A$35:$I$55,3,0))</f>
        <v>20</v>
      </c>
      <c r="V123" s="15">
        <f>IF(ISNA(VLOOKUP(A123,'Données projet'!$A$35:$I$55,4,0)),0,VLOOKUP(A123,'Données projet'!$A$35:$I$55,4,0))</f>
        <v>17</v>
      </c>
      <c r="W123" s="16">
        <f>IF(ISNA(VLOOKUP(A123,'Données projet'!$A$35:$I$55,5,0)),0%,VLOOKUP(A123,'Données projet'!$A$35:$I$55,5,0)*VLOOKUP('Données projet'!$B$9,Paramètres!$A$1:$I$89,7,0))</f>
        <v>0.34400000000000003</v>
      </c>
      <c r="X123" s="16">
        <f>IF(ISNA(VLOOKUP(A123,'Données projet'!$A$35:$I$55,6,0)),0%,VLOOKUP(A123,'Données projet'!$A$35:$I$55,6,0)*VLOOKUP('Données projet'!$B$9,Paramètres!$A$1:$I$89,7,0))</f>
        <v>1.72E-2</v>
      </c>
      <c r="Y123" s="16">
        <f>IF(ISNA(VLOOKUP(A123,'Données projet'!$A$35:$I$55,7,0)),0%,VLOOKUP(A123,'Données projet'!$A$35:$I$55,7,0))</f>
        <v>0.06</v>
      </c>
      <c r="Z123" s="21">
        <f>EXP(-LN(2)/35)*Z122+(1-EXP(-LN(2)/35))/(LN(2)/35)*V123*W123*VLOOKUP('Données projet'!$B$9,Paramètres!$A$1:$I$89,3,0)*0.475*44/12</f>
        <v>58.345049109879746</v>
      </c>
      <c r="AA123" s="21">
        <f>EXP(-LN(2)/25)*AA122+(1-EXP(-LN(2)/25))/(LN(2)/25)*Calculateur!V123*Calculateur!X123*VLOOKUP('Données projet'!$B$9,Paramètres!$A$1:$I$89,3,0)*0.475*44/12</f>
        <v>2.4733436390753019</v>
      </c>
      <c r="AB123" s="21">
        <f>EXP(-LN(2)/2)*AB122+(1-EXP(-LN(2)/2))/(LN(2)/2)*V123*Y123*VLOOKUP('Données projet'!$B$9,Paramètres!$A$1:$I$89,3,0)*0.475*44/12</f>
        <v>1.0711137306704079</v>
      </c>
      <c r="AC123" s="22">
        <f t="shared" si="57"/>
        <v>61.889506479625453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1.7053025658242404E-13</v>
      </c>
      <c r="AJ123" s="13">
        <f>AI123*VLOOKUP('Données projet'!$B$10,Paramètres!$A$1:$I$89,3,0)*VLOOKUP('Données projet'!$B$10,Paramètres!$A$1:$I$89,5,0)</f>
        <v>7.9808160080574461E-14</v>
      </c>
      <c r="AK123" s="13">
        <f t="shared" si="89"/>
        <v>1.2308384591775343E-12</v>
      </c>
      <c r="AL123" s="20">
        <f t="shared" si="58"/>
        <v>2.282709528541206E-12</v>
      </c>
      <c r="AM123" s="59">
        <f t="shared" si="59"/>
        <v>293.33333333333559</v>
      </c>
      <c r="AN123" s="59">
        <f ca="1">AVERAGE(OFFSET($AM$3,0,0,'Données projet'!$E$10+1,1))-AVERAGE(OFFSET($H$3,0,0,'Données projet'!$E$10+1,1))</f>
        <v>218.32525311070435</v>
      </c>
      <c r="AO123" s="59">
        <f t="shared" si="90"/>
        <v>275.36315264099204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26.576022789212583</v>
      </c>
      <c r="AV123" s="21">
        <f>EXP(-LN(2)/25)*AV122+(1-EXP(-LN(2)/25))/(LN(2)/25)*Calculateur!AQ123*Calculateur!AS123*VLOOKUP('Données projet'!$B$10,Paramètres!$A$1:$I$89,3,0)*0.475*44/12</f>
        <v>7.1319659834477029</v>
      </c>
      <c r="AW123" s="21">
        <f>EXP(-LN(2)/2)*AW122+(1-EXP(-LN(2)/2))/(LN(2)/2)*AQ123*AT123*VLOOKUP('Données projet'!$B$10,Paramètres!$A$1:$I$89,3,0)*0.475*44/12</f>
        <v>6.0777213256220102E-8</v>
      </c>
      <c r="AX123" s="21">
        <f t="shared" si="60"/>
        <v>33.707988833437497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343</v>
      </c>
      <c r="BE123" s="13">
        <f>BD123*VLOOKUP('Données projet'!$B$11,Paramètres!$A$1:$I$89,3,0)*VLOOKUP('Données projet'!$B$11,Paramètres!$A$1:$I$89,5,0)</f>
        <v>326.39879999999999</v>
      </c>
      <c r="BF123" s="13">
        <f t="shared" si="91"/>
        <v>76.683210401884097</v>
      </c>
      <c r="BG123" s="20">
        <f t="shared" si="61"/>
        <v>702.03450144994804</v>
      </c>
      <c r="BH123" s="59">
        <f t="shared" si="62"/>
        <v>995.3678347832813</v>
      </c>
      <c r="BI123" s="59">
        <f ca="1">AVERAGE(OFFSET($BH$3,0,0,'Données projet'!$E$11+1,1))-AVERAGE(OFFSET($H$3,0,0,'Données projet'!$E$11+1,1))</f>
        <v>446.62872871405051</v>
      </c>
      <c r="BJ123" s="59">
        <f t="shared" si="92"/>
        <v>471.28934889691658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22.105351554889907</v>
      </c>
      <c r="BQ123" s="21">
        <f>EXP(-LN(2)/25)*BQ122+(1-EXP(-LN(2)/25))/(LN(2)/25)*Calculateur!BL123*Calculateur!BN123*VLOOKUP('Données projet'!$B$11,Paramètres!$A$1:$I$89,3,0)*0.475*44/12</f>
        <v>0.84048257993333397</v>
      </c>
      <c r="BR123" s="21">
        <f>EXP(-LN(2)/2)*BR122+(1-EXP(-LN(2)/2))/(LN(2)/2)*BL123*BO123*VLOOKUP('Données projet'!$B$11,Paramètres!$A$1:$I$89,3,0)*0.475*44/12</f>
        <v>5.1064236243352595E-8</v>
      </c>
      <c r="BS123" s="22">
        <f t="shared" si="63"/>
        <v>22.945834185887477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991.00000000000011</v>
      </c>
      <c r="BZ123" s="13">
        <f>BY123*VLOOKUP('Données projet'!$B$12,Paramètres!$A$1:$I$89,3,0)*VLOOKUP('Données projet'!$B$12,Paramètres!$A$1:$I$89,5,0)</f>
        <v>438.02200000000011</v>
      </c>
      <c r="CA123" s="13">
        <f t="shared" si="93"/>
        <v>99.443834741543355</v>
      </c>
      <c r="CB123" s="20">
        <f t="shared" si="64"/>
        <v>936.08632884152132</v>
      </c>
      <c r="CC123" s="59">
        <f t="shared" si="65"/>
        <v>1229.4196621748547</v>
      </c>
      <c r="CD123" s="59">
        <f ca="1">AVERAGE(OFFSET($CC$3,0,0,'Données projet'!$E$12+1,1))-AVERAGE(OFFSET($H$3,0,0,'Données projet'!$E$12+1,1))</f>
        <v>534.99316143569899</v>
      </c>
      <c r="CE123" s="59">
        <f t="shared" si="94"/>
        <v>449.56965858934262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31.753285479542289</v>
      </c>
      <c r="CL123" s="21">
        <f>EXP(-LN(2)/25)*CL122+(1-EXP(-LN(2)/25))/(LN(2)/25)*Calculateur!CG123*Calculateur!CI123*VLOOKUP('Données projet'!$B$12,Paramètres!$A$1:$I$89,3,0)*0.475*44/12</f>
        <v>10.569902217297788</v>
      </c>
      <c r="CM123" s="21">
        <f>EXP(-LN(2)/2)*CM122+(1-EXP(-LN(2)/2))/(LN(2)/2)*CG123*CJ123*VLOOKUP('Données projet'!$B$12,Paramètres!$A$1:$I$89,3,0)*0.475*44/12</f>
        <v>2.5999606606805928E-6</v>
      </c>
      <c r="CN123" s="22">
        <f t="shared" si="66"/>
        <v>42.323190296800739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259</v>
      </c>
      <c r="CR123" s="12">
        <f>VLOOKUP(A123,'Données projet'!$A$139:$I$159,9,0)</f>
        <v>2.6</v>
      </c>
      <c r="CS123" s="12">
        <f t="array" ref="CS123">INDEX(CR:CR,MIN(IF(ISNUMBER(CR123:CR319),ROW(CR123:CR319),"")))</f>
        <v>2.6</v>
      </c>
      <c r="CT123" s="12">
        <f>IF('Données projet'!$A$140&gt;35,CT122+CS123-DB122,IF(A123&lt;'Données projet'!$A$140,$CQ$205^A123,IF(A123='Données projet'!$A$140,'Données projet'!$B$140,CT122+CS123-DB122)))</f>
        <v>259.00000000000006</v>
      </c>
      <c r="CU123" s="17">
        <f>CT123*VLOOKUP('Données projet'!$B$13,Paramètres!$A$1:$I$89,3,0)*VLOOKUP('Données projet'!$B$13,Paramètres!$A$1:$I$89,5,0)</f>
        <v>294.94920000000008</v>
      </c>
      <c r="CV123" s="13">
        <f t="shared" si="95"/>
        <v>70.116577722016785</v>
      </c>
      <c r="CW123" s="20">
        <f t="shared" si="67"/>
        <v>635.82289619917935</v>
      </c>
      <c r="CX123" s="59">
        <f t="shared" si="68"/>
        <v>929.15622953251273</v>
      </c>
      <c r="CY123" s="59">
        <f ca="1">AVERAGE(OFFSET($CX$3,0,0,'Données projet'!$E$13+1,1))-AVERAGE(OFFSET($H$3,0,0,'Données projet'!$E$13+1,1))</f>
        <v>389.89050053480827</v>
      </c>
      <c r="CZ123" s="59">
        <f t="shared" si="96"/>
        <v>216.40816051909616</v>
      </c>
      <c r="DA123" s="15">
        <f>IF(ISNA(VLOOKUP(A123,'Données projet'!$A$139:$I$159,3,0)),0,VLOOKUP(A123,'Données projet'!$A$139:$I$159,3,0))</f>
        <v>20</v>
      </c>
      <c r="DB123" s="15">
        <f>IF(ISNA(VLOOKUP(A123,'Données projet'!$A$139:$I$159,4,0)),0,VLOOKUP(A123,'Données projet'!$A$139:$I$159,4,0))</f>
        <v>8</v>
      </c>
      <c r="DC123" s="16">
        <f>IF(ISNA(VLOOKUP(A123,'Données projet'!$A$139:$I$159,5,0)),0%,VLOOKUP(A123,'Données projet'!$A$139:$I$159,5,0)*VLOOKUP('Données projet'!$B$13,Paramètres!$A$1:$I$89,7,0))</f>
        <v>0.17200000000000001</v>
      </c>
      <c r="DD123" s="16">
        <f>IF(ISNA(VLOOKUP(A123,'Données projet'!$A$139:$I$159,6,0)),0%,VLOOKUP(A123,'Données projet'!$A$139:$I$159,6,0)*VLOOKUP('Données projet'!$B$13,Paramètres!$A$1:$I$89,7,0))</f>
        <v>1.72E-2</v>
      </c>
      <c r="DE123" s="16">
        <f>IF(ISNA(VLOOKUP(A123,'Données projet'!$A$139:$I$159,7,0)),0%,VLOOKUP(A123,'Données projet'!$A$139:$I$159,7,0))</f>
        <v>0.06</v>
      </c>
      <c r="DF123" s="21">
        <f>EXP(-LN(2)/35)*DF122+(1-EXP(-LN(2)/35))/(LN(2)/35)*DB123*DC123*VLOOKUP('Données projet'!$B$13,Paramètres!$A$1:$I$89,3,0)*0.475*44/12</f>
        <v>13.694465258941694</v>
      </c>
      <c r="DG123" s="21">
        <f>EXP(-LN(2)/25)*DG122+(1-EXP(-LN(2)/25))/(LN(2)/25)*Calculateur!DB123*Calculateur!DD123*VLOOKUP('Données projet'!$B$13,Paramètres!$A$1:$I$89,3,0)*0.475*44/12</f>
        <v>1.4301008328021831</v>
      </c>
      <c r="DH123" s="21">
        <f>EXP(-LN(2)/2)*DH122+(1-EXP(-LN(2)/2))/(LN(2)/2)*DB123*DE123*VLOOKUP('Données projet'!$B$13,Paramètres!$A$1:$I$89,3,0)*0.475*44/12</f>
        <v>0.62694115554800633</v>
      </c>
      <c r="DI123" s="22">
        <f t="shared" si="69"/>
        <v>15.751507247291883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268.00000000000011</v>
      </c>
      <c r="O124" s="13">
        <f>N124*VLOOKUP('Données projet'!$B$9,Paramètres!$A$1:$I$89,3,0)*VLOOKUP('Données projet'!$B$9,Paramètres!$A$1:$I$89,5,0)</f>
        <v>242.48640000000009</v>
      </c>
      <c r="P124" s="13">
        <f t="shared" si="87"/>
        <v>58.974170235372476</v>
      </c>
      <c r="Q124" s="20">
        <f t="shared" si="107"/>
        <v>525.04382649327385</v>
      </c>
      <c r="R124" s="59">
        <f t="shared" si="55"/>
        <v>818.37715982660711</v>
      </c>
      <c r="S124" s="59">
        <f ca="1">AVERAGE(OFFSET($R$3,0,0,'Données projet'!$E$9+1,1))-AVERAGE(OFFSET($H$3,0,0,'Données projet'!$E$9+1,1))</f>
        <v>371.7282125501186</v>
      </c>
      <c r="T124" s="59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57.200938283801037</v>
      </c>
      <c r="AA124" s="21">
        <f>EXP(-LN(2)/25)*AA123+(1-EXP(-LN(2)/25))/(LN(2)/25)*Calculateur!V124*Calculateur!X124*VLOOKUP('Données projet'!$B$9,Paramètres!$A$1:$I$89,3,0)*0.475*44/12</f>
        <v>2.4057099271972988</v>
      </c>
      <c r="AB124" s="21">
        <f>EXP(-LN(2)/2)*AB123+(1-EXP(-LN(2)/2))/(LN(2)/2)*V124*Y124*VLOOKUP('Données projet'!$B$9,Paramètres!$A$1:$I$89,3,0)*0.475*44/12</f>
        <v>0.75739178237906679</v>
      </c>
      <c r="AC124" s="22">
        <f t="shared" si="57"/>
        <v>60.364039993377403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1.7053025658242404E-13</v>
      </c>
      <c r="AJ124" s="13">
        <f>AI124*VLOOKUP('Données projet'!$B$10,Paramètres!$A$1:$I$89,3,0)*VLOOKUP('Données projet'!$B$10,Paramètres!$A$1:$I$89,5,0)</f>
        <v>7.9808160080574461E-14</v>
      </c>
      <c r="AK124" s="13">
        <f t="shared" si="89"/>
        <v>1.2308384591775343E-12</v>
      </c>
      <c r="AL124" s="20">
        <f t="shared" si="58"/>
        <v>2.282709528541206E-12</v>
      </c>
      <c r="AM124" s="59">
        <f t="shared" si="59"/>
        <v>293.33333333333559</v>
      </c>
      <c r="AN124" s="59">
        <f ca="1">AVERAGE(OFFSET($AM$3,0,0,'Données projet'!$E$10+1,1))-AVERAGE(OFFSET($H$3,0,0,'Données projet'!$E$10+1,1))</f>
        <v>218.32525311070435</v>
      </c>
      <c r="AO124" s="59">
        <f t="shared" si="90"/>
        <v>275.36315264099204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26.054883192089445</v>
      </c>
      <c r="AV124" s="21">
        <f>EXP(-LN(2)/25)*AV123+(1-EXP(-LN(2)/25))/(LN(2)/25)*Calculateur!AQ124*Calculateur!AS124*VLOOKUP('Données projet'!$B$10,Paramètres!$A$1:$I$89,3,0)*0.475*44/12</f>
        <v>6.9369419985765344</v>
      </c>
      <c r="AW124" s="21">
        <f>EXP(-LN(2)/2)*AW123+(1-EXP(-LN(2)/2))/(LN(2)/2)*AQ124*AT124*VLOOKUP('Données projet'!$B$10,Paramètres!$A$1:$I$89,3,0)*0.475*44/12</f>
        <v>4.2975979635094164E-8</v>
      </c>
      <c r="AX124" s="21">
        <f t="shared" si="60"/>
        <v>32.991825233641954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343</v>
      </c>
      <c r="BE124" s="13">
        <f>BD124*VLOOKUP('Données projet'!$B$11,Paramètres!$A$1:$I$89,3,0)*VLOOKUP('Données projet'!$B$11,Paramètres!$A$1:$I$89,5,0)</f>
        <v>326.39879999999999</v>
      </c>
      <c r="BF124" s="13">
        <f t="shared" si="91"/>
        <v>76.683210401884097</v>
      </c>
      <c r="BG124" s="20">
        <f t="shared" si="61"/>
        <v>702.03450144994804</v>
      </c>
      <c r="BH124" s="59">
        <f t="shared" si="62"/>
        <v>995.3678347832813</v>
      </c>
      <c r="BI124" s="59">
        <f ca="1">AVERAGE(OFFSET($BH$3,0,0,'Données projet'!$E$11+1,1))-AVERAGE(OFFSET($H$3,0,0,'Données projet'!$E$11+1,1))</f>
        <v>446.62872871405051</v>
      </c>
      <c r="BJ124" s="59">
        <f t="shared" si="92"/>
        <v>471.28934889691658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21.671879093831635</v>
      </c>
      <c r="BQ124" s="21">
        <f>EXP(-LN(2)/25)*BQ123+(1-EXP(-LN(2)/25))/(LN(2)/25)*Calculateur!BL124*Calculateur!BN124*VLOOKUP('Données projet'!$B$11,Paramètres!$A$1:$I$89,3,0)*0.475*44/12</f>
        <v>0.81749953958599908</v>
      </c>
      <c r="BR124" s="21">
        <f>EXP(-LN(2)/2)*BR123+(1-EXP(-LN(2)/2))/(LN(2)/2)*BL124*BO124*VLOOKUP('Données projet'!$B$11,Paramètres!$A$1:$I$89,3,0)*0.475*44/12</f>
        <v>3.6107867723786492E-8</v>
      </c>
      <c r="BS124" s="22">
        <f t="shared" si="63"/>
        <v>22.4893786695255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991.00000000000011</v>
      </c>
      <c r="BZ124" s="13">
        <f>BY124*VLOOKUP('Données projet'!$B$12,Paramètres!$A$1:$I$89,3,0)*VLOOKUP('Données projet'!$B$12,Paramètres!$A$1:$I$89,5,0)</f>
        <v>438.02200000000011</v>
      </c>
      <c r="CA124" s="13">
        <f t="shared" si="93"/>
        <v>99.443834741543355</v>
      </c>
      <c r="CB124" s="20">
        <f t="shared" si="64"/>
        <v>936.08632884152132</v>
      </c>
      <c r="CC124" s="59">
        <f t="shared" si="65"/>
        <v>1229.4196621748547</v>
      </c>
      <c r="CD124" s="59">
        <f ca="1">AVERAGE(OFFSET($CC$3,0,0,'Données projet'!$E$12+1,1))-AVERAGE(OFFSET($H$3,0,0,'Données projet'!$E$12+1,1))</f>
        <v>534.99316143569899</v>
      </c>
      <c r="CE124" s="59">
        <f t="shared" si="94"/>
        <v>449.56965858934262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31.130622918880217</v>
      </c>
      <c r="CL124" s="21">
        <f>EXP(-LN(2)/25)*CL123+(1-EXP(-LN(2)/25))/(LN(2)/25)*Calculateur!CG124*Calculateur!CI124*VLOOKUP('Données projet'!$B$12,Paramètres!$A$1:$I$89,3,0)*0.475*44/12</f>
        <v>10.28086768531878</v>
      </c>
      <c r="CM124" s="21">
        <f>EXP(-LN(2)/2)*CM123+(1-EXP(-LN(2)/2))/(LN(2)/2)*CG124*CJ124*VLOOKUP('Données projet'!$B$12,Paramètres!$A$1:$I$89,3,0)*0.475*44/12</f>
        <v>1.8384498139855036E-6</v>
      </c>
      <c r="CN124" s="22">
        <f t="shared" si="66"/>
        <v>41.411492442648807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251.00000000000006</v>
      </c>
      <c r="CU124" s="17">
        <f>CT124*VLOOKUP('Données projet'!$B$13,Paramètres!$A$1:$I$89,3,0)*VLOOKUP('Données projet'!$B$13,Paramètres!$A$1:$I$89,5,0)</f>
        <v>285.83880000000011</v>
      </c>
      <c r="CV124" s="13">
        <f t="shared" si="95"/>
        <v>68.199429147498265</v>
      </c>
      <c r="CW124" s="20">
        <f t="shared" si="67"/>
        <v>616.61658243189299</v>
      </c>
      <c r="CX124" s="59">
        <f t="shared" si="68"/>
        <v>909.94991576522625</v>
      </c>
      <c r="CY124" s="59">
        <f ca="1">AVERAGE(OFFSET($CX$3,0,0,'Données projet'!$E$13+1,1))-AVERAGE(OFFSET($H$3,0,0,'Données projet'!$E$13+1,1))</f>
        <v>389.89050053480827</v>
      </c>
      <c r="CZ124" s="59">
        <f t="shared" si="96"/>
        <v>216.40816051909616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13.425925148012885</v>
      </c>
      <c r="DG124" s="21">
        <f>EXP(-LN(2)/25)*DG123+(1-EXP(-LN(2)/25))/(LN(2)/25)*Calculateur!DB124*Calculateur!DD124*VLOOKUP('Données projet'!$B$13,Paramètres!$A$1:$I$89,3,0)*0.475*44/12</f>
        <v>1.3909946503234731</v>
      </c>
      <c r="DH124" s="21">
        <f>EXP(-LN(2)/2)*DH123+(1-EXP(-LN(2)/2))/(LN(2)/2)*DB124*DE124*VLOOKUP('Données projet'!$B$13,Paramètres!$A$1:$I$89,3,0)*0.475*44/12</f>
        <v>0.4433143424929254</v>
      </c>
      <c r="DI124" s="22">
        <f t="shared" si="69"/>
        <v>15.260234140829283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268.00000000000011</v>
      </c>
      <c r="O125" s="13">
        <f>N125*VLOOKUP('Données projet'!$B$9,Paramètres!$A$1:$I$89,3,0)*VLOOKUP('Données projet'!$B$9,Paramètres!$A$1:$I$89,5,0)</f>
        <v>242.48640000000009</v>
      </c>
      <c r="P125" s="13">
        <f t="shared" si="87"/>
        <v>58.974170235372476</v>
      </c>
      <c r="Q125" s="20">
        <f t="shared" si="107"/>
        <v>525.04382649327385</v>
      </c>
      <c r="R125" s="59">
        <f t="shared" si="55"/>
        <v>818.37715982660711</v>
      </c>
      <c r="S125" s="59">
        <f ca="1">AVERAGE(OFFSET($R$3,0,0,'Données projet'!$E$9+1,1))-AVERAGE(OFFSET($H$3,0,0,'Données projet'!$E$9+1,1))</f>
        <v>371.7282125501186</v>
      </c>
      <c r="T125" s="59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56.079262773183039</v>
      </c>
      <c r="AA125" s="21">
        <f>EXP(-LN(2)/25)*AA124+(1-EXP(-LN(2)/25))/(LN(2)/25)*Calculateur!V125*Calculateur!X125*VLOOKUP('Données projet'!$B$9,Paramètres!$A$1:$I$89,3,0)*0.475*44/12</f>
        <v>2.339925662727302</v>
      </c>
      <c r="AB125" s="21">
        <f>EXP(-LN(2)/2)*AB124+(1-EXP(-LN(2)/2))/(LN(2)/2)*V125*Y125*VLOOKUP('Données projet'!$B$9,Paramètres!$A$1:$I$89,3,0)*0.475*44/12</f>
        <v>0.53555686533520408</v>
      </c>
      <c r="AC125" s="22">
        <f t="shared" si="57"/>
        <v>58.954745301245545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1.7053025658242404E-13</v>
      </c>
      <c r="AJ125" s="13">
        <f>AI125*VLOOKUP('Données projet'!$B$10,Paramètres!$A$1:$I$89,3,0)*VLOOKUP('Données projet'!$B$10,Paramètres!$A$1:$I$89,5,0)</f>
        <v>7.9808160080574461E-14</v>
      </c>
      <c r="AK125" s="13">
        <f t="shared" si="89"/>
        <v>1.2308384591775343E-12</v>
      </c>
      <c r="AL125" s="20">
        <f t="shared" si="58"/>
        <v>2.282709528541206E-12</v>
      </c>
      <c r="AM125" s="59">
        <f t="shared" si="59"/>
        <v>293.33333333333559</v>
      </c>
      <c r="AN125" s="59">
        <f ca="1">AVERAGE(OFFSET($AM$3,0,0,'Données projet'!$E$10+1,1))-AVERAGE(OFFSET($H$3,0,0,'Données projet'!$E$10+1,1))</f>
        <v>218.32525311070435</v>
      </c>
      <c r="AO125" s="59">
        <f t="shared" si="90"/>
        <v>275.36315264099204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25.543962824602122</v>
      </c>
      <c r="AV125" s="21">
        <f>EXP(-LN(2)/25)*AV124+(1-EXP(-LN(2)/25))/(LN(2)/25)*Calculateur!AQ125*Calculateur!AS125*VLOOKUP('Données projet'!$B$10,Paramètres!$A$1:$I$89,3,0)*0.475*44/12</f>
        <v>6.7472509548275337</v>
      </c>
      <c r="AW125" s="21">
        <f>EXP(-LN(2)/2)*AW124+(1-EXP(-LN(2)/2))/(LN(2)/2)*AQ125*AT125*VLOOKUP('Données projet'!$B$10,Paramètres!$A$1:$I$89,3,0)*0.475*44/12</f>
        <v>3.0388606628110051E-8</v>
      </c>
      <c r="AX125" s="21">
        <f t="shared" si="60"/>
        <v>32.29121380981826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343</v>
      </c>
      <c r="BE125" s="13">
        <f>BD125*VLOOKUP('Données projet'!$B$11,Paramètres!$A$1:$I$89,3,0)*VLOOKUP('Données projet'!$B$11,Paramètres!$A$1:$I$89,5,0)</f>
        <v>326.39879999999999</v>
      </c>
      <c r="BF125" s="13">
        <f t="shared" si="91"/>
        <v>76.683210401884097</v>
      </c>
      <c r="BG125" s="20">
        <f t="shared" si="61"/>
        <v>702.03450144994804</v>
      </c>
      <c r="BH125" s="59">
        <f t="shared" si="62"/>
        <v>995.3678347832813</v>
      </c>
      <c r="BI125" s="59">
        <f ca="1">AVERAGE(OFFSET($BH$3,0,0,'Données projet'!$E$11+1,1))-AVERAGE(OFFSET($H$3,0,0,'Données projet'!$E$11+1,1))</f>
        <v>446.62872871405051</v>
      </c>
      <c r="BJ125" s="59">
        <f t="shared" si="92"/>
        <v>471.28934889691658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21.246906763342622</v>
      </c>
      <c r="BQ125" s="21">
        <f>EXP(-LN(2)/25)*BQ124+(1-EXP(-LN(2)/25))/(LN(2)/25)*Calculateur!BL125*Calculateur!BN125*VLOOKUP('Données projet'!$B$11,Paramètres!$A$1:$I$89,3,0)*0.475*44/12</f>
        <v>0.79514497168558762</v>
      </c>
      <c r="BR125" s="21">
        <f>EXP(-LN(2)/2)*BR124+(1-EXP(-LN(2)/2))/(LN(2)/2)*BL125*BO125*VLOOKUP('Données projet'!$B$11,Paramètres!$A$1:$I$89,3,0)*0.475*44/12</f>
        <v>2.5532118121676297E-8</v>
      </c>
      <c r="BS125" s="22">
        <f t="shared" si="63"/>
        <v>22.042051760560327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991.00000000000011</v>
      </c>
      <c r="BZ125" s="13">
        <f>BY125*VLOOKUP('Données projet'!$B$12,Paramètres!$A$1:$I$89,3,0)*VLOOKUP('Données projet'!$B$12,Paramètres!$A$1:$I$89,5,0)</f>
        <v>438.02200000000011</v>
      </c>
      <c r="CA125" s="13">
        <f t="shared" si="93"/>
        <v>99.443834741543355</v>
      </c>
      <c r="CB125" s="20">
        <f t="shared" si="64"/>
        <v>936.08632884152132</v>
      </c>
      <c r="CC125" s="59">
        <f t="shared" si="65"/>
        <v>1229.4196621748547</v>
      </c>
      <c r="CD125" s="59">
        <f ca="1">AVERAGE(OFFSET($CC$3,0,0,'Données projet'!$E$12+1,1))-AVERAGE(OFFSET($H$3,0,0,'Données projet'!$E$12+1,1))</f>
        <v>534.99316143569899</v>
      </c>
      <c r="CE125" s="59">
        <f t="shared" si="94"/>
        <v>449.56965858934262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30.520170391246065</v>
      </c>
      <c r="CL125" s="21">
        <f>EXP(-LN(2)/25)*CL124+(1-EXP(-LN(2)/25))/(LN(2)/25)*Calculateur!CG125*Calculateur!CI125*VLOOKUP('Données projet'!$B$12,Paramètres!$A$1:$I$89,3,0)*0.475*44/12</f>
        <v>9.9997368178164034</v>
      </c>
      <c r="CM125" s="21">
        <f>EXP(-LN(2)/2)*CM124+(1-EXP(-LN(2)/2))/(LN(2)/2)*CG125*CJ125*VLOOKUP('Données projet'!$B$12,Paramètres!$A$1:$I$89,3,0)*0.475*44/12</f>
        <v>1.2999803303402966E-6</v>
      </c>
      <c r="CN125" s="22">
        <f t="shared" si="66"/>
        <v>40.5199085090428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251.00000000000006</v>
      </c>
      <c r="CU125" s="17">
        <f>CT125*VLOOKUP('Données projet'!$B$13,Paramètres!$A$1:$I$89,3,0)*VLOOKUP('Données projet'!$B$13,Paramètres!$A$1:$I$89,5,0)</f>
        <v>285.83880000000011</v>
      </c>
      <c r="CV125" s="13">
        <f t="shared" si="95"/>
        <v>68.199429147498265</v>
      </c>
      <c r="CW125" s="20">
        <f t="shared" si="67"/>
        <v>616.61658243189299</v>
      </c>
      <c r="CX125" s="59">
        <f t="shared" si="68"/>
        <v>909.94991576522625</v>
      </c>
      <c r="CY125" s="59">
        <f ca="1">AVERAGE(OFFSET($CX$3,0,0,'Données projet'!$E$13+1,1))-AVERAGE(OFFSET($H$3,0,0,'Données projet'!$E$13+1,1))</f>
        <v>389.89050053480827</v>
      </c>
      <c r="CZ125" s="59">
        <f t="shared" si="96"/>
        <v>216.40816051909616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13.162650944866096</v>
      </c>
      <c r="DG125" s="21">
        <f>EXP(-LN(2)/25)*DG124+(1-EXP(-LN(2)/25))/(LN(2)/25)*Calculateur!DB125*Calculateur!DD125*VLOOKUP('Données projet'!$B$13,Paramètres!$A$1:$I$89,3,0)*0.475*44/12</f>
        <v>1.3529578284611483</v>
      </c>
      <c r="DH125" s="21">
        <f>EXP(-LN(2)/2)*DH124+(1-EXP(-LN(2)/2))/(LN(2)/2)*DB125*DE125*VLOOKUP('Données projet'!$B$13,Paramètres!$A$1:$I$89,3,0)*0.475*44/12</f>
        <v>0.31347057777400322</v>
      </c>
      <c r="DI125" s="22">
        <f t="shared" si="69"/>
        <v>14.829079351101248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268.00000000000011</v>
      </c>
      <c r="O126" s="13">
        <f>N126*VLOOKUP('Données projet'!$B$9,Paramètres!$A$1:$I$89,3,0)*VLOOKUP('Données projet'!$B$9,Paramètres!$A$1:$I$89,5,0)</f>
        <v>242.48640000000009</v>
      </c>
      <c r="P126" s="13">
        <f t="shared" si="87"/>
        <v>58.974170235372476</v>
      </c>
      <c r="Q126" s="20">
        <f t="shared" si="107"/>
        <v>525.04382649327385</v>
      </c>
      <c r="R126" s="59">
        <f t="shared" si="55"/>
        <v>818.37715982660711</v>
      </c>
      <c r="S126" s="59">
        <f ca="1">AVERAGE(OFFSET($R$3,0,0,'Données projet'!$E$9+1,1))-AVERAGE(OFFSET($H$3,0,0,'Données projet'!$E$9+1,1))</f>
        <v>371.7282125501186</v>
      </c>
      <c r="T126" s="59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54.979582635173749</v>
      </c>
      <c r="AA126" s="21">
        <f>EXP(-LN(2)/25)*AA125+(1-EXP(-LN(2)/25))/(LN(2)/25)*Calculateur!V126*Calculateur!X126*VLOOKUP('Données projet'!$B$9,Paramètres!$A$1:$I$89,3,0)*0.475*44/12</f>
        <v>2.2759402724286812</v>
      </c>
      <c r="AB126" s="21">
        <f>EXP(-LN(2)/2)*AB125+(1-EXP(-LN(2)/2))/(LN(2)/2)*V126*Y126*VLOOKUP('Données projet'!$B$9,Paramètres!$A$1:$I$89,3,0)*0.475*44/12</f>
        <v>0.37869589118953345</v>
      </c>
      <c r="AC126" s="22">
        <f t="shared" si="57"/>
        <v>57.63421879879197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1.7053025658242404E-13</v>
      </c>
      <c r="AJ126" s="13">
        <f>AI126*VLOOKUP('Données projet'!$B$10,Paramètres!$A$1:$I$89,3,0)*VLOOKUP('Données projet'!$B$10,Paramètres!$A$1:$I$89,5,0)</f>
        <v>7.9808160080574461E-14</v>
      </c>
      <c r="AK126" s="13">
        <f t="shared" si="89"/>
        <v>1.2308384591775343E-12</v>
      </c>
      <c r="AL126" s="20">
        <f t="shared" si="58"/>
        <v>2.282709528541206E-12</v>
      </c>
      <c r="AM126" s="59">
        <f t="shared" si="59"/>
        <v>293.33333333333559</v>
      </c>
      <c r="AN126" s="59">
        <f ca="1">AVERAGE(OFFSET($AM$3,0,0,'Données projet'!$E$10+1,1))-AVERAGE(OFFSET($H$3,0,0,'Données projet'!$E$10+1,1))</f>
        <v>218.32525311070435</v>
      </c>
      <c r="AO126" s="59">
        <f t="shared" si="90"/>
        <v>275.36315264099204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25.043061293890574</v>
      </c>
      <c r="AV126" s="21">
        <f>EXP(-LN(2)/25)*AV125+(1-EXP(-LN(2)/25))/(LN(2)/25)*Calculateur!AQ126*Calculateur!AS126*VLOOKUP('Données projet'!$B$10,Paramètres!$A$1:$I$89,3,0)*0.475*44/12</f>
        <v>6.5627470226452678</v>
      </c>
      <c r="AW126" s="21">
        <f>EXP(-LN(2)/2)*AW125+(1-EXP(-LN(2)/2))/(LN(2)/2)*AQ126*AT126*VLOOKUP('Données projet'!$B$10,Paramètres!$A$1:$I$89,3,0)*0.475*44/12</f>
        <v>2.1487989817547082E-8</v>
      </c>
      <c r="AX126" s="21">
        <f t="shared" si="60"/>
        <v>31.605808338023831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343</v>
      </c>
      <c r="BE126" s="13">
        <f>BD126*VLOOKUP('Données projet'!$B$11,Paramètres!$A$1:$I$89,3,0)*VLOOKUP('Données projet'!$B$11,Paramètres!$A$1:$I$89,5,0)</f>
        <v>326.39879999999999</v>
      </c>
      <c r="BF126" s="13">
        <f t="shared" si="91"/>
        <v>76.683210401884097</v>
      </c>
      <c r="BG126" s="20">
        <f t="shared" si="61"/>
        <v>702.03450144994804</v>
      </c>
      <c r="BH126" s="59">
        <f t="shared" si="62"/>
        <v>995.3678347832813</v>
      </c>
      <c r="BI126" s="59">
        <f ca="1">AVERAGE(OFFSET($BH$3,0,0,'Données projet'!$E$11+1,1))-AVERAGE(OFFSET($H$3,0,0,'Données projet'!$E$11+1,1))</f>
        <v>446.62872871405051</v>
      </c>
      <c r="BJ126" s="59">
        <f t="shared" si="92"/>
        <v>471.28934889691658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20.830267881046971</v>
      </c>
      <c r="BQ126" s="21">
        <f>EXP(-LN(2)/25)*BQ125+(1-EXP(-LN(2)/25))/(LN(2)/25)*Calculateur!BL126*Calculateur!BN126*VLOOKUP('Données projet'!$B$11,Paramètres!$A$1:$I$89,3,0)*0.475*44/12</f>
        <v>0.77340169061998854</v>
      </c>
      <c r="BR126" s="21">
        <f>EXP(-LN(2)/2)*BR125+(1-EXP(-LN(2)/2))/(LN(2)/2)*BL126*BO126*VLOOKUP('Données projet'!$B$11,Paramètres!$A$1:$I$89,3,0)*0.475*44/12</f>
        <v>1.8053933861893246E-8</v>
      </c>
      <c r="BS126" s="22">
        <f t="shared" si="63"/>
        <v>21.603669589720894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991.00000000000011</v>
      </c>
      <c r="BZ126" s="13">
        <f>BY126*VLOOKUP('Données projet'!$B$12,Paramètres!$A$1:$I$89,3,0)*VLOOKUP('Données projet'!$B$12,Paramètres!$A$1:$I$89,5,0)</f>
        <v>438.02200000000011</v>
      </c>
      <c r="CA126" s="13">
        <f t="shared" si="93"/>
        <v>99.443834741543355</v>
      </c>
      <c r="CB126" s="20">
        <f t="shared" si="64"/>
        <v>936.08632884152132</v>
      </c>
      <c r="CC126" s="59">
        <f t="shared" si="65"/>
        <v>1229.4196621748547</v>
      </c>
      <c r="CD126" s="59">
        <f ca="1">AVERAGE(OFFSET($CC$3,0,0,'Données projet'!$E$12+1,1))-AVERAGE(OFFSET($H$3,0,0,'Données projet'!$E$12+1,1))</f>
        <v>534.99316143569899</v>
      </c>
      <c r="CE126" s="59">
        <f t="shared" si="94"/>
        <v>449.56965858934262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29.921688465339543</v>
      </c>
      <c r="CL126" s="21">
        <f>EXP(-LN(2)/25)*CL125+(1-EXP(-LN(2)/25))/(LN(2)/25)*Calculateur!CG126*Calculateur!CI126*VLOOKUP('Données projet'!$B$12,Paramètres!$A$1:$I$89,3,0)*0.475*44/12</f>
        <v>9.7262934886699099</v>
      </c>
      <c r="CM126" s="21">
        <f>EXP(-LN(2)/2)*CM125+(1-EXP(-LN(2)/2))/(LN(2)/2)*CG126*CJ126*VLOOKUP('Données projet'!$B$12,Paramètres!$A$1:$I$89,3,0)*0.475*44/12</f>
        <v>9.1922490699275189E-7</v>
      </c>
      <c r="CN126" s="22">
        <f t="shared" si="66"/>
        <v>39.647982873234362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251.00000000000006</v>
      </c>
      <c r="CU126" s="17">
        <f>CT126*VLOOKUP('Données projet'!$B$13,Paramètres!$A$1:$I$89,3,0)*VLOOKUP('Données projet'!$B$13,Paramètres!$A$1:$I$89,5,0)</f>
        <v>285.83880000000011</v>
      </c>
      <c r="CV126" s="13">
        <f t="shared" si="95"/>
        <v>68.199429147498265</v>
      </c>
      <c r="CW126" s="20">
        <f t="shared" si="67"/>
        <v>616.61658243189299</v>
      </c>
      <c r="CX126" s="59">
        <f t="shared" si="68"/>
        <v>909.94991576522625</v>
      </c>
      <c r="CY126" s="59">
        <f ca="1">AVERAGE(OFFSET($CX$3,0,0,'Données projet'!$E$13+1,1))-AVERAGE(OFFSET($H$3,0,0,'Données projet'!$E$13+1,1))</f>
        <v>389.89050053480827</v>
      </c>
      <c r="CZ126" s="59">
        <f t="shared" si="96"/>
        <v>216.40816051909616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12.904539388261608</v>
      </c>
      <c r="DG126" s="21">
        <f>EXP(-LN(2)/25)*DG125+(1-EXP(-LN(2)/25))/(LN(2)/25)*Calculateur!DB126*Calculateur!DD126*VLOOKUP('Données projet'!$B$13,Paramètres!$A$1:$I$89,3,0)*0.475*44/12</f>
        <v>1.3159611254929182</v>
      </c>
      <c r="DH126" s="21">
        <f>EXP(-LN(2)/2)*DH125+(1-EXP(-LN(2)/2))/(LN(2)/2)*DB126*DE126*VLOOKUP('Données projet'!$B$13,Paramètres!$A$1:$I$89,3,0)*0.475*44/12</f>
        <v>0.22165717124646275</v>
      </c>
      <c r="DI126" s="22">
        <f t="shared" si="69"/>
        <v>14.442157685000989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268.00000000000011</v>
      </c>
      <c r="O127" s="13">
        <f>N127*VLOOKUP('Données projet'!$B$9,Paramètres!$A$1:$I$89,3,0)*VLOOKUP('Données projet'!$B$9,Paramètres!$A$1:$I$89,5,0)</f>
        <v>242.48640000000009</v>
      </c>
      <c r="P127" s="13">
        <f t="shared" si="87"/>
        <v>58.974170235372476</v>
      </c>
      <c r="Q127" s="20">
        <f t="shared" si="107"/>
        <v>525.04382649327385</v>
      </c>
      <c r="R127" s="59">
        <f t="shared" si="55"/>
        <v>818.37715982660711</v>
      </c>
      <c r="S127" s="59">
        <f ca="1">AVERAGE(OFFSET($R$3,0,0,'Données projet'!$E$9+1,1))-AVERAGE(OFFSET($H$3,0,0,'Données projet'!$E$9+1,1))</f>
        <v>371.7282125501186</v>
      </c>
      <c r="T127" s="59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53.901466553932167</v>
      </c>
      <c r="AA127" s="21">
        <f>EXP(-LN(2)/25)*AA126+(1-EXP(-LN(2)/25))/(LN(2)/25)*Calculateur!V127*Calculateur!X127*VLOOKUP('Données projet'!$B$9,Paramètres!$A$1:$I$89,3,0)*0.475*44/12</f>
        <v>2.2137045659926216</v>
      </c>
      <c r="AB127" s="21">
        <f>EXP(-LN(2)/2)*AB126+(1-EXP(-LN(2)/2))/(LN(2)/2)*V127*Y127*VLOOKUP('Données projet'!$B$9,Paramètres!$A$1:$I$89,3,0)*0.475*44/12</f>
        <v>0.26777843266760204</v>
      </c>
      <c r="AC127" s="22">
        <f t="shared" si="57"/>
        <v>56.382949552592393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1.7053025658242404E-13</v>
      </c>
      <c r="AJ127" s="13">
        <f>AI127*VLOOKUP('Données projet'!$B$10,Paramètres!$A$1:$I$89,3,0)*VLOOKUP('Données projet'!$B$10,Paramètres!$A$1:$I$89,5,0)</f>
        <v>7.9808160080574461E-14</v>
      </c>
      <c r="AK127" s="13">
        <f t="shared" si="89"/>
        <v>1.2308384591775343E-12</v>
      </c>
      <c r="AL127" s="20">
        <f t="shared" si="58"/>
        <v>2.282709528541206E-12</v>
      </c>
      <c r="AM127" s="59">
        <f t="shared" si="59"/>
        <v>293.33333333333559</v>
      </c>
      <c r="AN127" s="59">
        <f ca="1">AVERAGE(OFFSET($AM$3,0,0,'Données projet'!$E$10+1,1))-AVERAGE(OFFSET($H$3,0,0,'Données projet'!$E$10+1,1))</f>
        <v>218.32525311070435</v>
      </c>
      <c r="AO127" s="59">
        <f t="shared" si="90"/>
        <v>275.36315264099204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24.551982136676511</v>
      </c>
      <c r="AV127" s="21">
        <f>EXP(-LN(2)/25)*AV126+(1-EXP(-LN(2)/25))/(LN(2)/25)*Calculateur!AQ127*Calculateur!AS127*VLOOKUP('Données projet'!$B$10,Paramètres!$A$1:$I$89,3,0)*0.475*44/12</f>
        <v>6.3832883601911661</v>
      </c>
      <c r="AW127" s="21">
        <f>EXP(-LN(2)/2)*AW126+(1-EXP(-LN(2)/2))/(LN(2)/2)*AQ127*AT127*VLOOKUP('Données projet'!$B$10,Paramètres!$A$1:$I$89,3,0)*0.475*44/12</f>
        <v>1.5194303314055025E-8</v>
      </c>
      <c r="AX127" s="21">
        <f t="shared" si="60"/>
        <v>30.93527051206198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343</v>
      </c>
      <c r="BE127" s="13">
        <f>BD127*VLOOKUP('Données projet'!$B$11,Paramètres!$A$1:$I$89,3,0)*VLOOKUP('Données projet'!$B$11,Paramètres!$A$1:$I$89,5,0)</f>
        <v>326.39879999999999</v>
      </c>
      <c r="BF127" s="13">
        <f t="shared" si="91"/>
        <v>76.683210401884097</v>
      </c>
      <c r="BG127" s="20">
        <f t="shared" si="61"/>
        <v>702.03450144994804</v>
      </c>
      <c r="BH127" s="59">
        <f t="shared" si="62"/>
        <v>995.3678347832813</v>
      </c>
      <c r="BI127" s="59">
        <f ca="1">AVERAGE(OFFSET($BH$3,0,0,'Données projet'!$E$11+1,1))-AVERAGE(OFFSET($H$3,0,0,'Données projet'!$E$11+1,1))</f>
        <v>446.62872871405051</v>
      </c>
      <c r="BJ127" s="59">
        <f t="shared" si="92"/>
        <v>471.28934889691658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20.421799033108513</v>
      </c>
      <c r="BQ127" s="21">
        <f>EXP(-LN(2)/25)*BQ126+(1-EXP(-LN(2)/25))/(LN(2)/25)*Calculateur!BL127*Calculateur!BN127*VLOOKUP('Données projet'!$B$11,Paramètres!$A$1:$I$89,3,0)*0.475*44/12</f>
        <v>0.75225298071855762</v>
      </c>
      <c r="BR127" s="21">
        <f>EXP(-LN(2)/2)*BR126+(1-EXP(-LN(2)/2))/(LN(2)/2)*BL127*BO127*VLOOKUP('Données projet'!$B$11,Paramètres!$A$1:$I$89,3,0)*0.475*44/12</f>
        <v>1.2766059060838149E-8</v>
      </c>
      <c r="BS127" s="22">
        <f t="shared" si="63"/>
        <v>21.174052026593131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991.00000000000011</v>
      </c>
      <c r="BZ127" s="13">
        <f>BY127*VLOOKUP('Données projet'!$B$12,Paramètres!$A$1:$I$89,3,0)*VLOOKUP('Données projet'!$B$12,Paramètres!$A$1:$I$89,5,0)</f>
        <v>438.02200000000011</v>
      </c>
      <c r="CA127" s="13">
        <f t="shared" si="93"/>
        <v>99.443834741543355</v>
      </c>
      <c r="CB127" s="20">
        <f t="shared" si="64"/>
        <v>936.08632884152132</v>
      </c>
      <c r="CC127" s="59">
        <f t="shared" si="65"/>
        <v>1229.4196621748547</v>
      </c>
      <c r="CD127" s="59">
        <f ca="1">AVERAGE(OFFSET($CC$3,0,0,'Données projet'!$E$12+1,1))-AVERAGE(OFFSET($H$3,0,0,'Données projet'!$E$12+1,1))</f>
        <v>534.99316143569899</v>
      </c>
      <c r="CE127" s="59">
        <f t="shared" si="94"/>
        <v>449.56965858934262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29.334942404962117</v>
      </c>
      <c r="CL127" s="21">
        <f>EXP(-LN(2)/25)*CL126+(1-EXP(-LN(2)/25))/(LN(2)/25)*Calculateur!CG127*Calculateur!CI127*VLOOKUP('Données projet'!$B$12,Paramètres!$A$1:$I$89,3,0)*0.475*44/12</f>
        <v>9.4603274817386858</v>
      </c>
      <c r="CM127" s="21">
        <f>EXP(-LN(2)/2)*CM126+(1-EXP(-LN(2)/2))/(LN(2)/2)*CG127*CJ127*VLOOKUP('Données projet'!$B$12,Paramètres!$A$1:$I$89,3,0)*0.475*44/12</f>
        <v>6.4999016517014841E-7</v>
      </c>
      <c r="CN127" s="22">
        <f t="shared" si="66"/>
        <v>38.795270536690964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251.00000000000006</v>
      </c>
      <c r="CU127" s="17">
        <f>CT127*VLOOKUP('Données projet'!$B$13,Paramètres!$A$1:$I$89,3,0)*VLOOKUP('Données projet'!$B$13,Paramètres!$A$1:$I$89,5,0)</f>
        <v>285.83880000000011</v>
      </c>
      <c r="CV127" s="13">
        <f t="shared" si="95"/>
        <v>68.199429147498265</v>
      </c>
      <c r="CW127" s="20">
        <f t="shared" si="67"/>
        <v>616.61658243189299</v>
      </c>
      <c r="CX127" s="59">
        <f t="shared" si="68"/>
        <v>909.94991576522625</v>
      </c>
      <c r="CY127" s="59">
        <f ca="1">AVERAGE(OFFSET($CX$3,0,0,'Données projet'!$E$13+1,1))-AVERAGE(OFFSET($H$3,0,0,'Données projet'!$E$13+1,1))</f>
        <v>389.89050053480827</v>
      </c>
      <c r="CZ127" s="59">
        <f t="shared" si="96"/>
        <v>216.40816051909616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12.651489241849628</v>
      </c>
      <c r="DG127" s="21">
        <f>EXP(-LN(2)/25)*DG126+(1-EXP(-LN(2)/25))/(LN(2)/25)*Calculateur!DB127*Calculateur!DD127*VLOOKUP('Données projet'!$B$13,Paramètres!$A$1:$I$89,3,0)*0.475*44/12</f>
        <v>1.2799760993129266</v>
      </c>
      <c r="DH127" s="21">
        <f>EXP(-LN(2)/2)*DH126+(1-EXP(-LN(2)/2))/(LN(2)/2)*DB127*DE127*VLOOKUP('Données projet'!$B$13,Paramètres!$A$1:$I$89,3,0)*0.475*44/12</f>
        <v>0.15673528888700164</v>
      </c>
      <c r="DI127" s="22">
        <f t="shared" si="69"/>
        <v>14.088200630049556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268.00000000000011</v>
      </c>
      <c r="O128" s="13">
        <f>N128*VLOOKUP('Données projet'!$B$9,Paramètres!$A$1:$I$89,3,0)*VLOOKUP('Données projet'!$B$9,Paramètres!$A$1:$I$89,5,0)</f>
        <v>242.48640000000009</v>
      </c>
      <c r="P128" s="13">
        <f t="shared" si="87"/>
        <v>58.974170235372476</v>
      </c>
      <c r="Q128" s="20">
        <f t="shared" si="107"/>
        <v>525.04382649327385</v>
      </c>
      <c r="R128" s="59">
        <f t="shared" si="55"/>
        <v>818.37715982660711</v>
      </c>
      <c r="S128" s="59">
        <f ca="1">AVERAGE(OFFSET($R$3,0,0,'Données projet'!$E$9+1,1))-AVERAGE(OFFSET($H$3,0,0,'Données projet'!$E$9+1,1))</f>
        <v>371.7282125501186</v>
      </c>
      <c r="T128" s="59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52.844491671457853</v>
      </c>
      <c r="AA128" s="21">
        <f>EXP(-LN(2)/25)*AA127+(1-EXP(-LN(2)/25))/(LN(2)/25)*Calculateur!V128*Calculateur!X128*VLOOKUP('Données projet'!$B$9,Paramètres!$A$1:$I$89,3,0)*0.475*44/12</f>
        <v>2.1531706982218899</v>
      </c>
      <c r="AB128" s="21">
        <f>EXP(-LN(2)/2)*AB127+(1-EXP(-LN(2)/2))/(LN(2)/2)*V128*Y128*VLOOKUP('Données projet'!$B$9,Paramètres!$A$1:$I$89,3,0)*0.475*44/12</f>
        <v>0.18934794559476673</v>
      </c>
      <c r="AC128" s="22">
        <f t="shared" si="57"/>
        <v>55.187010315274513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1.7053025658242404E-13</v>
      </c>
      <c r="AJ128" s="13">
        <f>AI128*VLOOKUP('Données projet'!$B$10,Paramètres!$A$1:$I$89,3,0)*VLOOKUP('Données projet'!$B$10,Paramètres!$A$1:$I$89,5,0)</f>
        <v>7.9808160080574461E-14</v>
      </c>
      <c r="AK128" s="13">
        <f t="shared" si="89"/>
        <v>1.2308384591775343E-12</v>
      </c>
      <c r="AL128" s="20">
        <f t="shared" si="58"/>
        <v>2.282709528541206E-12</v>
      </c>
      <c r="AM128" s="59">
        <f t="shared" si="59"/>
        <v>293.33333333333559</v>
      </c>
      <c r="AN128" s="59">
        <f ca="1">AVERAGE(OFFSET($AM$3,0,0,'Données projet'!$E$10+1,1))-AVERAGE(OFFSET($H$3,0,0,'Données projet'!$E$10+1,1))</f>
        <v>218.32525311070435</v>
      </c>
      <c r="AO128" s="59">
        <f t="shared" si="90"/>
        <v>275.36315264099204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24.070532742206705</v>
      </c>
      <c r="AV128" s="21">
        <f>EXP(-LN(2)/25)*AV127+(1-EXP(-LN(2)/25))/(LN(2)/25)*Calculateur!AQ128*Calculateur!AS128*VLOOKUP('Données projet'!$B$10,Paramètres!$A$1:$I$89,3,0)*0.475*44/12</f>
        <v>6.2087370042991932</v>
      </c>
      <c r="AW128" s="21">
        <f>EXP(-LN(2)/2)*AW127+(1-EXP(-LN(2)/2))/(LN(2)/2)*AQ128*AT128*VLOOKUP('Données projet'!$B$10,Paramètres!$A$1:$I$89,3,0)*0.475*44/12</f>
        <v>1.0743994908773541E-8</v>
      </c>
      <c r="AX128" s="21">
        <f t="shared" si="60"/>
        <v>30.279269757249892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343</v>
      </c>
      <c r="BE128" s="13">
        <f>BD128*VLOOKUP('Données projet'!$B$11,Paramètres!$A$1:$I$89,3,0)*VLOOKUP('Données projet'!$B$11,Paramètres!$A$1:$I$89,5,0)</f>
        <v>326.39879999999999</v>
      </c>
      <c r="BF128" s="13">
        <f t="shared" si="91"/>
        <v>76.683210401884097</v>
      </c>
      <c r="BG128" s="20">
        <f t="shared" si="61"/>
        <v>702.03450144994804</v>
      </c>
      <c r="BH128" s="59">
        <f t="shared" si="62"/>
        <v>995.3678347832813</v>
      </c>
      <c r="BI128" s="59">
        <f ca="1">AVERAGE(OFFSET($BH$3,0,0,'Données projet'!$E$11+1,1))-AVERAGE(OFFSET($H$3,0,0,'Données projet'!$E$11+1,1))</f>
        <v>446.62872871405051</v>
      </c>
      <c r="BJ128" s="59">
        <f t="shared" si="92"/>
        <v>471.28934889691658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20.021340010136733</v>
      </c>
      <c r="BQ128" s="21">
        <f>EXP(-LN(2)/25)*BQ127+(1-EXP(-LN(2)/25))/(LN(2)/25)*Calculateur!BL128*Calculateur!BN128*VLOOKUP('Données projet'!$B$11,Paramètres!$A$1:$I$89,3,0)*0.475*44/12</f>
        <v>0.73168258340154368</v>
      </c>
      <c r="BR128" s="21">
        <f>EXP(-LN(2)/2)*BR127+(1-EXP(-LN(2)/2))/(LN(2)/2)*BL128*BO128*VLOOKUP('Données projet'!$B$11,Paramètres!$A$1:$I$89,3,0)*0.475*44/12</f>
        <v>9.0269669309466231E-9</v>
      </c>
      <c r="BS128" s="22">
        <f t="shared" si="63"/>
        <v>20.753022602565242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991.00000000000011</v>
      </c>
      <c r="BZ128" s="13">
        <f>BY128*VLOOKUP('Données projet'!$B$12,Paramètres!$A$1:$I$89,3,0)*VLOOKUP('Données projet'!$B$12,Paramètres!$A$1:$I$89,5,0)</f>
        <v>438.02200000000011</v>
      </c>
      <c r="CA128" s="13">
        <f t="shared" si="93"/>
        <v>99.443834741543355</v>
      </c>
      <c r="CB128" s="20">
        <f t="shared" si="64"/>
        <v>936.08632884152132</v>
      </c>
      <c r="CC128" s="59">
        <f t="shared" si="65"/>
        <v>1229.4196621748547</v>
      </c>
      <c r="CD128" s="59">
        <f ca="1">AVERAGE(OFFSET($CC$3,0,0,'Données projet'!$E$12+1,1))-AVERAGE(OFFSET($H$3,0,0,'Données projet'!$E$12+1,1))</f>
        <v>534.99316143569899</v>
      </c>
      <c r="CE128" s="59">
        <f t="shared" si="94"/>
        <v>449.56965858934262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28.759702076948933</v>
      </c>
      <c r="CL128" s="21">
        <f>EXP(-LN(2)/25)*CL127+(1-EXP(-LN(2)/25))/(LN(2)/25)*Calculateur!CG128*Calculateur!CI128*VLOOKUP('Données projet'!$B$12,Paramètres!$A$1:$I$89,3,0)*0.475*44/12</f>
        <v>9.2016343292535403</v>
      </c>
      <c r="CM128" s="21">
        <f>EXP(-LN(2)/2)*CM127+(1-EXP(-LN(2)/2))/(LN(2)/2)*CG128*CJ128*VLOOKUP('Données projet'!$B$12,Paramètres!$A$1:$I$89,3,0)*0.475*44/12</f>
        <v>4.5961245349637605E-7</v>
      </c>
      <c r="CN128" s="22">
        <f t="shared" si="66"/>
        <v>37.961336865814928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251.00000000000006</v>
      </c>
      <c r="CU128" s="17">
        <f>CT128*VLOOKUP('Données projet'!$B$13,Paramètres!$A$1:$I$89,3,0)*VLOOKUP('Données projet'!$B$13,Paramètres!$A$1:$I$89,5,0)</f>
        <v>285.83880000000011</v>
      </c>
      <c r="CV128" s="13">
        <f t="shared" si="95"/>
        <v>68.199429147498265</v>
      </c>
      <c r="CW128" s="20">
        <f t="shared" si="67"/>
        <v>616.61658243189299</v>
      </c>
      <c r="CX128" s="59">
        <f t="shared" si="68"/>
        <v>909.94991576522625</v>
      </c>
      <c r="CY128" s="59">
        <f ca="1">AVERAGE(OFFSET($CX$3,0,0,'Données projet'!$E$13+1,1))-AVERAGE(OFFSET($H$3,0,0,'Données projet'!$E$13+1,1))</f>
        <v>389.89050053480827</v>
      </c>
      <c r="CZ128" s="59">
        <f t="shared" si="96"/>
        <v>216.40816051909616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12.403401254463439</v>
      </c>
      <c r="DG128" s="21">
        <f>EXP(-LN(2)/25)*DG127+(1-EXP(-LN(2)/25))/(LN(2)/25)*Calculateur!DB128*Calculateur!DD128*VLOOKUP('Données projet'!$B$13,Paramètres!$A$1:$I$89,3,0)*0.475*44/12</f>
        <v>1.244975085566197</v>
      </c>
      <c r="DH128" s="21">
        <f>EXP(-LN(2)/2)*DH127+(1-EXP(-LN(2)/2))/(LN(2)/2)*DB128*DE128*VLOOKUP('Données projet'!$B$13,Paramètres!$A$1:$I$89,3,0)*0.475*44/12</f>
        <v>0.11082858562323139</v>
      </c>
      <c r="DI128" s="22">
        <f t="shared" si="69"/>
        <v>13.759204925652867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268.00000000000011</v>
      </c>
      <c r="O129" s="13">
        <f>N129*VLOOKUP('Données projet'!$B$9,Paramètres!$A$1:$I$89,3,0)*VLOOKUP('Données projet'!$B$9,Paramètres!$A$1:$I$89,5,0)</f>
        <v>242.48640000000009</v>
      </c>
      <c r="P129" s="13">
        <f t="shared" si="87"/>
        <v>58.974170235372476</v>
      </c>
      <c r="Q129" s="20">
        <f t="shared" si="107"/>
        <v>525.04382649327385</v>
      </c>
      <c r="R129" s="59">
        <f t="shared" si="55"/>
        <v>818.37715982660711</v>
      </c>
      <c r="S129" s="59">
        <f ca="1">AVERAGE(OFFSET($R$3,0,0,'Données projet'!$E$9+1,1))-AVERAGE(OFFSET($H$3,0,0,'Données projet'!$E$9+1,1))</f>
        <v>371.7282125501186</v>
      </c>
      <c r="T129" s="59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51.808243421737842</v>
      </c>
      <c r="AA129" s="21">
        <f>EXP(-LN(2)/25)*AA128+(1-EXP(-LN(2)/25))/(LN(2)/25)*Calculateur!V129*Calculateur!X129*VLOOKUP('Données projet'!$B$9,Paramètres!$A$1:$I$89,3,0)*0.475*44/12</f>
        <v>2.0942921322486865</v>
      </c>
      <c r="AB129" s="21">
        <f>EXP(-LN(2)/2)*AB128+(1-EXP(-LN(2)/2))/(LN(2)/2)*V129*Y129*VLOOKUP('Données projet'!$B$9,Paramètres!$A$1:$I$89,3,0)*0.475*44/12</f>
        <v>0.13388921633380102</v>
      </c>
      <c r="AC129" s="22">
        <f t="shared" si="57"/>
        <v>54.03642477032033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1.7053025658242404E-13</v>
      </c>
      <c r="AJ129" s="13">
        <f>AI129*VLOOKUP('Données projet'!$B$10,Paramètres!$A$1:$I$89,3,0)*VLOOKUP('Données projet'!$B$10,Paramètres!$A$1:$I$89,5,0)</f>
        <v>7.9808160080574461E-14</v>
      </c>
      <c r="AK129" s="13">
        <f t="shared" si="89"/>
        <v>1.2308384591775343E-12</v>
      </c>
      <c r="AL129" s="20">
        <f t="shared" si="58"/>
        <v>2.282709528541206E-12</v>
      </c>
      <c r="AM129" s="59">
        <f t="shared" si="59"/>
        <v>293.33333333333559</v>
      </c>
      <c r="AN129" s="59">
        <f ca="1">AVERAGE(OFFSET($AM$3,0,0,'Données projet'!$E$10+1,1))-AVERAGE(OFFSET($H$3,0,0,'Données projet'!$E$10+1,1))</f>
        <v>218.32525311070435</v>
      </c>
      <c r="AO129" s="59">
        <f t="shared" si="90"/>
        <v>275.36315264099204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23.59852427670732</v>
      </c>
      <c r="AV129" s="21">
        <f>EXP(-LN(2)/25)*AV128+(1-EXP(-LN(2)/25))/(LN(2)/25)*Calculateur!AQ129*Calculateur!AS129*VLOOKUP('Données projet'!$B$10,Paramètres!$A$1:$I$89,3,0)*0.475*44/12</f>
        <v>6.0389587644133433</v>
      </c>
      <c r="AW129" s="21">
        <f>EXP(-LN(2)/2)*AW128+(1-EXP(-LN(2)/2))/(LN(2)/2)*AQ129*AT129*VLOOKUP('Données projet'!$B$10,Paramètres!$A$1:$I$89,3,0)*0.475*44/12</f>
        <v>7.5971516570275127E-9</v>
      </c>
      <c r="AX129" s="21">
        <f t="shared" si="60"/>
        <v>29.637483048717815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343</v>
      </c>
      <c r="BE129" s="13">
        <f>BD129*VLOOKUP('Données projet'!$B$11,Paramètres!$A$1:$I$89,3,0)*VLOOKUP('Données projet'!$B$11,Paramètres!$A$1:$I$89,5,0)</f>
        <v>326.39879999999999</v>
      </c>
      <c r="BF129" s="13">
        <f t="shared" si="91"/>
        <v>76.683210401884097</v>
      </c>
      <c r="BG129" s="20">
        <f t="shared" si="61"/>
        <v>702.03450144994804</v>
      </c>
      <c r="BH129" s="59">
        <f t="shared" si="62"/>
        <v>995.3678347832813</v>
      </c>
      <c r="BI129" s="59">
        <f ca="1">AVERAGE(OFFSET($BH$3,0,0,'Données projet'!$E$11+1,1))-AVERAGE(OFFSET($H$3,0,0,'Données projet'!$E$11+1,1))</f>
        <v>446.62872871405051</v>
      </c>
      <c r="BJ129" s="59">
        <f t="shared" si="92"/>
        <v>471.28934889691658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19.628733744349542</v>
      </c>
      <c r="BQ129" s="21">
        <f>EXP(-LN(2)/25)*BQ128+(1-EXP(-LN(2)/25))/(LN(2)/25)*Calculateur!BL129*Calculateur!BN129*VLOOKUP('Données projet'!$B$11,Paramètres!$A$1:$I$89,3,0)*0.475*44/12</f>
        <v>0.71167468468091366</v>
      </c>
      <c r="BR129" s="21">
        <f>EXP(-LN(2)/2)*BR128+(1-EXP(-LN(2)/2))/(LN(2)/2)*BL129*BO129*VLOOKUP('Données projet'!$B$11,Paramètres!$A$1:$I$89,3,0)*0.475*44/12</f>
        <v>6.3830295304190743E-9</v>
      </c>
      <c r="BS129" s="22">
        <f t="shared" si="63"/>
        <v>20.340408435413487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991.00000000000011</v>
      </c>
      <c r="BZ129" s="13">
        <f>BY129*VLOOKUP('Données projet'!$B$12,Paramètres!$A$1:$I$89,3,0)*VLOOKUP('Données projet'!$B$12,Paramètres!$A$1:$I$89,5,0)</f>
        <v>438.02200000000011</v>
      </c>
      <c r="CA129" s="13">
        <f t="shared" si="93"/>
        <v>99.443834741543355</v>
      </c>
      <c r="CB129" s="20">
        <f t="shared" si="64"/>
        <v>936.08632884152132</v>
      </c>
      <c r="CC129" s="59">
        <f t="shared" si="65"/>
        <v>1229.4196621748547</v>
      </c>
      <c r="CD129" s="59">
        <f ca="1">AVERAGE(OFFSET($CC$3,0,0,'Données projet'!$E$12+1,1))-AVERAGE(OFFSET($H$3,0,0,'Données projet'!$E$12+1,1))</f>
        <v>534.99316143569899</v>
      </c>
      <c r="CE129" s="59">
        <f t="shared" si="94"/>
        <v>449.56965858934262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28.195741860906136</v>
      </c>
      <c r="CL129" s="21">
        <f>EXP(-LN(2)/25)*CL128+(1-EXP(-LN(2)/25))/(LN(2)/25)*Calculateur!CG129*Calculateur!CI129*VLOOKUP('Données projet'!$B$12,Paramètres!$A$1:$I$89,3,0)*0.475*44/12</f>
        <v>8.9500151546271827</v>
      </c>
      <c r="CM129" s="21">
        <f>EXP(-LN(2)/2)*CM128+(1-EXP(-LN(2)/2))/(LN(2)/2)*CG129*CJ129*VLOOKUP('Données projet'!$B$12,Paramètres!$A$1:$I$89,3,0)*0.475*44/12</f>
        <v>3.2499508258507426E-7</v>
      </c>
      <c r="CN129" s="22">
        <f t="shared" si="66"/>
        <v>37.145757340528405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251.00000000000006</v>
      </c>
      <c r="CU129" s="17">
        <f>CT129*VLOOKUP('Données projet'!$B$13,Paramètres!$A$1:$I$89,3,0)*VLOOKUP('Données projet'!$B$13,Paramètres!$A$1:$I$89,5,0)</f>
        <v>285.83880000000011</v>
      </c>
      <c r="CV129" s="13">
        <f t="shared" si="95"/>
        <v>68.199429147498265</v>
      </c>
      <c r="CW129" s="20">
        <f t="shared" si="67"/>
        <v>616.61658243189299</v>
      </c>
      <c r="CX129" s="59">
        <f t="shared" si="68"/>
        <v>909.94991576522625</v>
      </c>
      <c r="CY129" s="59">
        <f ca="1">AVERAGE(OFFSET($CX$3,0,0,'Données projet'!$E$13+1,1))-AVERAGE(OFFSET($H$3,0,0,'Données projet'!$E$13+1,1))</f>
        <v>389.89050053480827</v>
      </c>
      <c r="CZ129" s="59">
        <f t="shared" si="96"/>
        <v>216.40816051909616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12.160178121191162</v>
      </c>
      <c r="DG129" s="21">
        <f>EXP(-LN(2)/25)*DG128+(1-EXP(-LN(2)/25))/(LN(2)/25)*Calculateur!DB129*Calculateur!DD129*VLOOKUP('Données projet'!$B$13,Paramètres!$A$1:$I$89,3,0)*0.475*44/12</f>
        <v>1.2109311763809949</v>
      </c>
      <c r="DH129" s="21">
        <f>EXP(-LN(2)/2)*DH128+(1-EXP(-LN(2)/2))/(LN(2)/2)*DB129*DE129*VLOOKUP('Données projet'!$B$13,Paramètres!$A$1:$I$89,3,0)*0.475*44/12</f>
        <v>7.8367644443500833E-2</v>
      </c>
      <c r="DI129" s="22">
        <f t="shared" si="69"/>
        <v>13.449476942015659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268.00000000000011</v>
      </c>
      <c r="O130" s="13">
        <f>N130*VLOOKUP('Données projet'!$B$9,Paramètres!$A$1:$I$89,3,0)*VLOOKUP('Données projet'!$B$9,Paramètres!$A$1:$I$89,5,0)</f>
        <v>242.48640000000009</v>
      </c>
      <c r="P130" s="13">
        <f t="shared" si="87"/>
        <v>58.974170235372476</v>
      </c>
      <c r="Q130" s="20">
        <f t="shared" si="107"/>
        <v>525.04382649327385</v>
      </c>
      <c r="R130" s="59">
        <f t="shared" si="55"/>
        <v>818.37715982660711</v>
      </c>
      <c r="S130" s="59">
        <f ca="1">AVERAGE(OFFSET($R$3,0,0,'Données projet'!$E$9+1,1))-AVERAGE(OFFSET($H$3,0,0,'Données projet'!$E$9+1,1))</f>
        <v>371.7282125501186</v>
      </c>
      <c r="T130" s="59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50.792315368145822</v>
      </c>
      <c r="AA130" s="21">
        <f>EXP(-LN(2)/25)*AA129+(1-EXP(-LN(2)/25))/(LN(2)/25)*Calculateur!V130*Calculateur!X130*VLOOKUP('Données projet'!$B$9,Paramètres!$A$1:$I$89,3,0)*0.475*44/12</f>
        <v>2.0370236037583096</v>
      </c>
      <c r="AB130" s="21">
        <f>EXP(-LN(2)/2)*AB129+(1-EXP(-LN(2)/2))/(LN(2)/2)*V130*Y130*VLOOKUP('Données projet'!$B$9,Paramètres!$A$1:$I$89,3,0)*0.475*44/12</f>
        <v>9.4673972797383363E-2</v>
      </c>
      <c r="AC130" s="22">
        <f t="shared" si="57"/>
        <v>52.924012944701509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1.7053025658242404E-13</v>
      </c>
      <c r="AJ130" s="13">
        <f>AI130*VLOOKUP('Données projet'!$B$10,Paramètres!$A$1:$I$89,3,0)*VLOOKUP('Données projet'!$B$10,Paramètres!$A$1:$I$89,5,0)</f>
        <v>7.9808160080574461E-14</v>
      </c>
      <c r="AK130" s="13">
        <f t="shared" si="89"/>
        <v>1.2308384591775343E-12</v>
      </c>
      <c r="AL130" s="20">
        <f t="shared" si="58"/>
        <v>2.282709528541206E-12</v>
      </c>
      <c r="AM130" s="59">
        <f t="shared" si="59"/>
        <v>293.33333333333559</v>
      </c>
      <c r="AN130" s="59">
        <f ca="1">AVERAGE(OFFSET($AM$3,0,0,'Données projet'!$E$10+1,1))-AVERAGE(OFFSET($H$3,0,0,'Données projet'!$E$10+1,1))</f>
        <v>218.32525311070435</v>
      </c>
      <c r="AO130" s="59">
        <f t="shared" si="90"/>
        <v>275.36315264099204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23.13577160931964</v>
      </c>
      <c r="AV130" s="21">
        <f>EXP(-LN(2)/25)*AV129+(1-EXP(-LN(2)/25))/(LN(2)/25)*Calculateur!AQ130*Calculateur!AS130*VLOOKUP('Données projet'!$B$10,Paramètres!$A$1:$I$89,3,0)*0.475*44/12</f>
        <v>5.8738231194254213</v>
      </c>
      <c r="AW130" s="21">
        <f>EXP(-LN(2)/2)*AW129+(1-EXP(-LN(2)/2))/(LN(2)/2)*AQ130*AT130*VLOOKUP('Données projet'!$B$10,Paramètres!$A$1:$I$89,3,0)*0.475*44/12</f>
        <v>5.3719974543867705E-9</v>
      </c>
      <c r="AX130" s="21">
        <f t="shared" si="60"/>
        <v>29.009594734117059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343</v>
      </c>
      <c r="BE130" s="13">
        <f>BD130*VLOOKUP('Données projet'!$B$11,Paramètres!$A$1:$I$89,3,0)*VLOOKUP('Données projet'!$B$11,Paramètres!$A$1:$I$89,5,0)</f>
        <v>326.39879999999999</v>
      </c>
      <c r="BF130" s="13">
        <f t="shared" si="91"/>
        <v>76.683210401884097</v>
      </c>
      <c r="BG130" s="20">
        <f t="shared" si="61"/>
        <v>702.03450144994804</v>
      </c>
      <c r="BH130" s="59">
        <f t="shared" si="62"/>
        <v>995.3678347832813</v>
      </c>
      <c r="BI130" s="59">
        <f ca="1">AVERAGE(OFFSET($BH$3,0,0,'Données projet'!$E$11+1,1))-AVERAGE(OFFSET($H$3,0,0,'Données projet'!$E$11+1,1))</f>
        <v>446.62872871405051</v>
      </c>
      <c r="BJ130" s="59">
        <f t="shared" si="92"/>
        <v>471.28934889691658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19.243826247968261</v>
      </c>
      <c r="BQ130" s="21">
        <f>EXP(-LN(2)/25)*BQ129+(1-EXP(-LN(2)/25))/(LN(2)/25)*Calculateur!BL130*Calculateur!BN130*VLOOKUP('Données projet'!$B$11,Paramètres!$A$1:$I$89,3,0)*0.475*44/12</f>
        <v>0.69221390300296892</v>
      </c>
      <c r="BR130" s="21">
        <f>EXP(-LN(2)/2)*BR129+(1-EXP(-LN(2)/2))/(LN(2)/2)*BL130*BO130*VLOOKUP('Données projet'!$B$11,Paramètres!$A$1:$I$89,3,0)*0.475*44/12</f>
        <v>4.5134834654733115E-9</v>
      </c>
      <c r="BS130" s="22">
        <f t="shared" si="63"/>
        <v>19.936040155484715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991.00000000000011</v>
      </c>
      <c r="BZ130" s="13">
        <f>BY130*VLOOKUP('Données projet'!$B$12,Paramètres!$A$1:$I$89,3,0)*VLOOKUP('Données projet'!$B$12,Paramètres!$A$1:$I$89,5,0)</f>
        <v>438.02200000000011</v>
      </c>
      <c r="CA130" s="13">
        <f t="shared" si="93"/>
        <v>99.443834741543355</v>
      </c>
      <c r="CB130" s="20">
        <f t="shared" si="64"/>
        <v>936.08632884152132</v>
      </c>
      <c r="CC130" s="59">
        <f t="shared" si="65"/>
        <v>1229.4196621748547</v>
      </c>
      <c r="CD130" s="59">
        <f ca="1">AVERAGE(OFFSET($CC$3,0,0,'Données projet'!$E$12+1,1))-AVERAGE(OFFSET($H$3,0,0,'Données projet'!$E$12+1,1))</f>
        <v>534.99316143569899</v>
      </c>
      <c r="CE130" s="59">
        <f t="shared" si="94"/>
        <v>449.56965858934262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27.64284056071817</v>
      </c>
      <c r="CL130" s="21">
        <f>EXP(-LN(2)/25)*CL129+(1-EXP(-LN(2)/25))/(LN(2)/25)*Calculateur!CG130*Calculateur!CI130*VLOOKUP('Données projet'!$B$12,Paramètres!$A$1:$I$89,3,0)*0.475*44/12</f>
        <v>8.7052765195630606</v>
      </c>
      <c r="CM130" s="21">
        <f>EXP(-LN(2)/2)*CM129+(1-EXP(-LN(2)/2))/(LN(2)/2)*CG130*CJ130*VLOOKUP('Données projet'!$B$12,Paramètres!$A$1:$I$89,3,0)*0.475*44/12</f>
        <v>2.2980622674818805E-7</v>
      </c>
      <c r="CN130" s="22">
        <f t="shared" si="66"/>
        <v>36.348117310087453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251.00000000000006</v>
      </c>
      <c r="CU130" s="17">
        <f>CT130*VLOOKUP('Données projet'!$B$13,Paramètres!$A$1:$I$89,3,0)*VLOOKUP('Données projet'!$B$13,Paramètres!$A$1:$I$89,5,0)</f>
        <v>285.83880000000011</v>
      </c>
      <c r="CV130" s="13">
        <f t="shared" si="95"/>
        <v>68.199429147498265</v>
      </c>
      <c r="CW130" s="20">
        <f t="shared" si="67"/>
        <v>616.61658243189299</v>
      </c>
      <c r="CX130" s="59">
        <f t="shared" si="68"/>
        <v>909.94991576522625</v>
      </c>
      <c r="CY130" s="59">
        <f ca="1">AVERAGE(OFFSET($CX$3,0,0,'Données projet'!$E$13+1,1))-AVERAGE(OFFSET($H$3,0,0,'Données projet'!$E$13+1,1))</f>
        <v>389.89050053480827</v>
      </c>
      <c r="CZ130" s="59">
        <f t="shared" si="96"/>
        <v>216.40816051909616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11.921724445210891</v>
      </c>
      <c r="DG130" s="21">
        <f>EXP(-LN(2)/25)*DG129+(1-EXP(-LN(2)/25))/(LN(2)/25)*Calculateur!DB130*Calculateur!DD130*VLOOKUP('Données projet'!$B$13,Paramètres!$A$1:$I$89,3,0)*0.475*44/12</f>
        <v>1.1778181996827537</v>
      </c>
      <c r="DH130" s="21">
        <f>EXP(-LN(2)/2)*DH129+(1-EXP(-LN(2)/2))/(LN(2)/2)*DB130*DE130*VLOOKUP('Données projet'!$B$13,Paramètres!$A$1:$I$89,3,0)*0.475*44/12</f>
        <v>5.5414292811615702E-2</v>
      </c>
      <c r="DI130" s="22">
        <f t="shared" si="69"/>
        <v>13.154956937705261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268.00000000000011</v>
      </c>
      <c r="O131" s="13">
        <f>N131*VLOOKUP('Données projet'!$B$9,Paramètres!$A$1:$I$89,3,0)*VLOOKUP('Données projet'!$B$9,Paramètres!$A$1:$I$89,5,0)</f>
        <v>242.48640000000009</v>
      </c>
      <c r="P131" s="13">
        <f t="shared" si="87"/>
        <v>58.974170235372476</v>
      </c>
      <c r="Q131" s="20">
        <f t="shared" ref="Q131:Q153" si="108">(O131+P131)*0.475*44/12</f>
        <v>525.04382649327385</v>
      </c>
      <c r="R131" s="59">
        <f t="shared" ref="R131:R194" si="109">Q131+(I131+J131)*44/12</f>
        <v>818.37715982660711</v>
      </c>
      <c r="S131" s="59">
        <f ca="1">AVERAGE(OFFSET($R$3,0,0,'Données projet'!$E$9+1,1))-AVERAGE(OFFSET($H$3,0,0,'Données projet'!$E$9+1,1))</f>
        <v>371.7282125501186</v>
      </c>
      <c r="T131" s="59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49.796309044029812</v>
      </c>
      <c r="AA131" s="21">
        <f>EXP(-LN(2)/25)*AA130+(1-EXP(-LN(2)/25))/(LN(2)/25)*Calculateur!V131*Calculateur!X131*VLOOKUP('Données projet'!$B$9,Paramètres!$A$1:$I$89,3,0)*0.475*44/12</f>
        <v>1.981321086191123</v>
      </c>
      <c r="AB131" s="21">
        <f>EXP(-LN(2)/2)*AB130+(1-EXP(-LN(2)/2))/(LN(2)/2)*V131*Y131*VLOOKUP('Données projet'!$B$9,Paramètres!$A$1:$I$89,3,0)*0.475*44/12</f>
        <v>6.694460816690051E-2</v>
      </c>
      <c r="AC131" s="22">
        <f t="shared" si="57"/>
        <v>51.844574738387834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1.7053025658242404E-13</v>
      </c>
      <c r="AJ131" s="13">
        <f>AI131*VLOOKUP('Données projet'!$B$10,Paramètres!$A$1:$I$89,3,0)*VLOOKUP('Données projet'!$B$10,Paramètres!$A$1:$I$89,5,0)</f>
        <v>7.9808160080574461E-14</v>
      </c>
      <c r="AK131" s="13">
        <f t="shared" si="89"/>
        <v>1.2308384591775343E-12</v>
      </c>
      <c r="AL131" s="20">
        <f t="shared" si="58"/>
        <v>2.282709528541206E-12</v>
      </c>
      <c r="AM131" s="59">
        <f t="shared" si="59"/>
        <v>293.33333333333559</v>
      </c>
      <c r="AN131" s="59">
        <f ca="1">AVERAGE(OFFSET($AM$3,0,0,'Données projet'!$E$10+1,1))-AVERAGE(OFFSET($H$3,0,0,'Données projet'!$E$10+1,1))</f>
        <v>218.32525311070435</v>
      </c>
      <c r="AO131" s="59">
        <f t="shared" si="90"/>
        <v>275.36315264099204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22.682093239488175</v>
      </c>
      <c r="AV131" s="21">
        <f>EXP(-LN(2)/25)*AV130+(1-EXP(-LN(2)/25))/(LN(2)/25)*Calculateur!AQ131*Calculateur!AS131*VLOOKUP('Données projet'!$B$10,Paramètres!$A$1:$I$89,3,0)*0.475*44/12</f>
        <v>5.7132031173338005</v>
      </c>
      <c r="AW131" s="21">
        <f>EXP(-LN(2)/2)*AW130+(1-EXP(-LN(2)/2))/(LN(2)/2)*AQ131*AT131*VLOOKUP('Données projet'!$B$10,Paramètres!$A$1:$I$89,3,0)*0.475*44/12</f>
        <v>3.7985758285137564E-9</v>
      </c>
      <c r="AX131" s="21">
        <f t="shared" si="60"/>
        <v>28.395296360620552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343</v>
      </c>
      <c r="BE131" s="13">
        <f>BD131*VLOOKUP('Données projet'!$B$11,Paramètres!$A$1:$I$89,3,0)*VLOOKUP('Données projet'!$B$11,Paramètres!$A$1:$I$89,5,0)</f>
        <v>326.39879999999999</v>
      </c>
      <c r="BF131" s="13">
        <f t="shared" si="91"/>
        <v>76.683210401884097</v>
      </c>
      <c r="BG131" s="20">
        <f t="shared" si="61"/>
        <v>702.03450144994804</v>
      </c>
      <c r="BH131" s="59">
        <f t="shared" si="62"/>
        <v>995.3678347832813</v>
      </c>
      <c r="BI131" s="59">
        <f ca="1">AVERAGE(OFFSET($BH$3,0,0,'Données projet'!$E$11+1,1))-AVERAGE(OFFSET($H$3,0,0,'Données projet'!$E$11+1,1))</f>
        <v>446.62872871405051</v>
      </c>
      <c r="BJ131" s="59">
        <f t="shared" si="92"/>
        <v>471.28934889691658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18.866466552820626</v>
      </c>
      <c r="BQ131" s="21">
        <f>EXP(-LN(2)/25)*BQ130+(1-EXP(-LN(2)/25))/(LN(2)/25)*Calculateur!BL131*Calculateur!BN131*VLOOKUP('Données projet'!$B$11,Paramètres!$A$1:$I$89,3,0)*0.475*44/12</f>
        <v>0.6732852774234056</v>
      </c>
      <c r="BR131" s="21">
        <f>EXP(-LN(2)/2)*BR130+(1-EXP(-LN(2)/2))/(LN(2)/2)*BL131*BO131*VLOOKUP('Données projet'!$B$11,Paramètres!$A$1:$I$89,3,0)*0.475*44/12</f>
        <v>3.1915147652095372E-9</v>
      </c>
      <c r="BS131" s="22">
        <f t="shared" si="63"/>
        <v>19.539751833435549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991.00000000000011</v>
      </c>
      <c r="BZ131" s="13">
        <f>BY131*VLOOKUP('Données projet'!$B$12,Paramètres!$A$1:$I$89,3,0)*VLOOKUP('Données projet'!$B$12,Paramètres!$A$1:$I$89,5,0)</f>
        <v>438.02200000000011</v>
      </c>
      <c r="CA131" s="13">
        <f t="shared" si="93"/>
        <v>99.443834741543355</v>
      </c>
      <c r="CB131" s="20">
        <f t="shared" si="64"/>
        <v>936.08632884152132</v>
      </c>
      <c r="CC131" s="59">
        <f t="shared" si="65"/>
        <v>1229.4196621748547</v>
      </c>
      <c r="CD131" s="59">
        <f ca="1">AVERAGE(OFFSET($CC$3,0,0,'Données projet'!$E$12+1,1))-AVERAGE(OFFSET($H$3,0,0,'Données projet'!$E$12+1,1))</f>
        <v>534.99316143569899</v>
      </c>
      <c r="CE131" s="59">
        <f t="shared" si="94"/>
        <v>449.56965858934262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27.100781317790396</v>
      </c>
      <c r="CL131" s="21">
        <f>EXP(-LN(2)/25)*CL130+(1-EXP(-LN(2)/25))/(LN(2)/25)*Calculateur!CG131*Calculateur!CI131*VLOOKUP('Données projet'!$B$12,Paramètres!$A$1:$I$89,3,0)*0.475*44/12</f>
        <v>8.4672302753450133</v>
      </c>
      <c r="CM131" s="21">
        <f>EXP(-LN(2)/2)*CM130+(1-EXP(-LN(2)/2))/(LN(2)/2)*CG131*CJ131*VLOOKUP('Données projet'!$B$12,Paramètres!$A$1:$I$89,3,0)*0.475*44/12</f>
        <v>1.6249754129253715E-7</v>
      </c>
      <c r="CN131" s="22">
        <f t="shared" si="66"/>
        <v>35.568011755632952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251.00000000000006</v>
      </c>
      <c r="CU131" s="17">
        <f>CT131*VLOOKUP('Données projet'!$B$13,Paramètres!$A$1:$I$89,3,0)*VLOOKUP('Données projet'!$B$13,Paramètres!$A$1:$I$89,5,0)</f>
        <v>285.83880000000011</v>
      </c>
      <c r="CV131" s="13">
        <f t="shared" si="95"/>
        <v>68.199429147498265</v>
      </c>
      <c r="CW131" s="20">
        <f t="shared" si="67"/>
        <v>616.61658243189299</v>
      </c>
      <c r="CX131" s="59">
        <f t="shared" si="68"/>
        <v>909.94991576522625</v>
      </c>
      <c r="CY131" s="59">
        <f ca="1">AVERAGE(OFFSET($CX$3,0,0,'Données projet'!$E$13+1,1))-AVERAGE(OFFSET($H$3,0,0,'Données projet'!$E$13+1,1))</f>
        <v>389.89050053480827</v>
      </c>
      <c r="CZ131" s="59">
        <f t="shared" si="96"/>
        <v>216.40816051909616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11.687946700374214</v>
      </c>
      <c r="DG131" s="21">
        <f>EXP(-LN(2)/25)*DG130+(1-EXP(-LN(2)/25))/(LN(2)/25)*Calculateur!DB131*Calculateur!DD131*VLOOKUP('Données projet'!$B$13,Paramètres!$A$1:$I$89,3,0)*0.475*44/12</f>
        <v>1.1456106990736616</v>
      </c>
      <c r="DH131" s="21">
        <f>EXP(-LN(2)/2)*DH130+(1-EXP(-LN(2)/2))/(LN(2)/2)*DB131*DE131*VLOOKUP('Données projet'!$B$13,Paramètres!$A$1:$I$89,3,0)*0.475*44/12</f>
        <v>3.9183822221750424E-2</v>
      </c>
      <c r="DI131" s="22">
        <f t="shared" si="69"/>
        <v>12.872741221669626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268.00000000000011</v>
      </c>
      <c r="O132" s="13">
        <f>N132*VLOOKUP('Données projet'!$B$9,Paramètres!$A$1:$I$89,3,0)*VLOOKUP('Données projet'!$B$9,Paramètres!$A$1:$I$89,5,0)</f>
        <v>242.48640000000009</v>
      </c>
      <c r="P132" s="13">
        <f t="shared" si="87"/>
        <v>58.974170235372476</v>
      </c>
      <c r="Q132" s="20">
        <f t="shared" si="108"/>
        <v>525.04382649327385</v>
      </c>
      <c r="R132" s="59">
        <f t="shared" si="109"/>
        <v>818.37715982660711</v>
      </c>
      <c r="S132" s="59">
        <f ca="1">AVERAGE(OFFSET($R$3,0,0,'Données projet'!$E$9+1,1))-AVERAGE(OFFSET($H$3,0,0,'Données projet'!$E$9+1,1))</f>
        <v>371.7282125501186</v>
      </c>
      <c r="T132" s="59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48.819833796425847</v>
      </c>
      <c r="AA132" s="21">
        <f>EXP(-LN(2)/25)*AA131+(1-EXP(-LN(2)/25))/(LN(2)/25)*Calculateur!V132*Calculateur!X132*VLOOKUP('Données projet'!$B$9,Paramètres!$A$1:$I$89,3,0)*0.475*44/12</f>
        <v>1.9271417568960791</v>
      </c>
      <c r="AB132" s="21">
        <f>EXP(-LN(2)/2)*AB131+(1-EXP(-LN(2)/2))/(LN(2)/2)*V132*Y132*VLOOKUP('Données projet'!$B$9,Paramètres!$A$1:$I$89,3,0)*0.475*44/12</f>
        <v>4.7336986398691681E-2</v>
      </c>
      <c r="AC132" s="22">
        <f t="shared" ref="AC132:AC153" si="111">SUM(Z132:AB132)</f>
        <v>50.794312539720615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1.7053025658242404E-13</v>
      </c>
      <c r="AJ132" s="13">
        <f>AI132*VLOOKUP('Données projet'!$B$10,Paramètres!$A$1:$I$89,3,0)*VLOOKUP('Données projet'!$B$10,Paramètres!$A$1:$I$89,5,0)</f>
        <v>7.9808160080574461E-14</v>
      </c>
      <c r="AK132" s="13">
        <f t="shared" si="89"/>
        <v>1.2308384591775343E-12</v>
      </c>
      <c r="AL132" s="20">
        <f t="shared" ref="AL132:AL153" si="112">(AJ132+AK132)*0.475*44/12</f>
        <v>2.282709528541206E-12</v>
      </c>
      <c r="AM132" s="59">
        <f t="shared" ref="AM132:AM195" si="113">AL132+(AD132+AE132)*44/12</f>
        <v>293.33333333333559</v>
      </c>
      <c r="AN132" s="59">
        <f ca="1">AVERAGE(OFFSET($AM$3,0,0,'Données projet'!$E$10+1,1))-AVERAGE(OFFSET($H$3,0,0,'Données projet'!$E$10+1,1))</f>
        <v>218.32525311070435</v>
      </c>
      <c r="AO132" s="59">
        <f t="shared" si="90"/>
        <v>275.36315264099204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22.237311225772626</v>
      </c>
      <c r="AV132" s="21">
        <f>EXP(-LN(2)/25)*AV131+(1-EXP(-LN(2)/25))/(LN(2)/25)*Calculateur!AQ132*Calculateur!AS132*VLOOKUP('Données projet'!$B$10,Paramètres!$A$1:$I$89,3,0)*0.475*44/12</f>
        <v>5.5569752776460133</v>
      </c>
      <c r="AW132" s="21">
        <f>EXP(-LN(2)/2)*AW131+(1-EXP(-LN(2)/2))/(LN(2)/2)*AQ132*AT132*VLOOKUP('Données projet'!$B$10,Paramètres!$A$1:$I$89,3,0)*0.475*44/12</f>
        <v>2.6859987271933852E-9</v>
      </c>
      <c r="AX132" s="21">
        <f t="shared" ref="AX132:AX153" si="114">SUM(AU132:AW132)</f>
        <v>27.794286506104637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343</v>
      </c>
      <c r="BE132" s="13">
        <f>BD132*VLOOKUP('Données projet'!$B$11,Paramètres!$A$1:$I$89,3,0)*VLOOKUP('Données projet'!$B$11,Paramètres!$A$1:$I$89,5,0)</f>
        <v>326.39879999999999</v>
      </c>
      <c r="BF132" s="13">
        <f t="shared" si="91"/>
        <v>76.683210401884097</v>
      </c>
      <c r="BG132" s="20">
        <f t="shared" ref="BG132:BG153" si="115">(BE132+BF132)*0.475*44/12</f>
        <v>702.03450144994804</v>
      </c>
      <c r="BH132" s="59">
        <f t="shared" ref="BH132:BH195" si="116">BG132+(AY132+AZ132)*44/12</f>
        <v>995.3678347832813</v>
      </c>
      <c r="BI132" s="59">
        <f ca="1">AVERAGE(OFFSET($BH$3,0,0,'Données projet'!$E$11+1,1))-AVERAGE(OFFSET($H$3,0,0,'Données projet'!$E$11+1,1))</f>
        <v>446.62872871405051</v>
      </c>
      <c r="BJ132" s="59">
        <f t="shared" si="92"/>
        <v>471.28934889691658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18.496506651128147</v>
      </c>
      <c r="BQ132" s="21">
        <f>EXP(-LN(2)/25)*BQ131+(1-EXP(-LN(2)/25))/(LN(2)/25)*Calculateur!BL132*Calculateur!BN132*VLOOKUP('Données projet'!$B$11,Paramètres!$A$1:$I$89,3,0)*0.475*44/12</f>
        <v>0.65487425610572869</v>
      </c>
      <c r="BR132" s="21">
        <f>EXP(-LN(2)/2)*BR131+(1-EXP(-LN(2)/2))/(LN(2)/2)*BL132*BO132*VLOOKUP('Données projet'!$B$11,Paramètres!$A$1:$I$89,3,0)*0.475*44/12</f>
        <v>2.2567417327366558E-9</v>
      </c>
      <c r="BS132" s="22">
        <f t="shared" ref="BS132:BS153" si="117">SUM(BP132:BR132)</f>
        <v>19.151380909490616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991.00000000000011</v>
      </c>
      <c r="BZ132" s="13">
        <f>BY132*VLOOKUP('Données projet'!$B$12,Paramètres!$A$1:$I$89,3,0)*VLOOKUP('Données projet'!$B$12,Paramètres!$A$1:$I$89,5,0)</f>
        <v>438.02200000000011</v>
      </c>
      <c r="CA132" s="13">
        <f t="shared" si="93"/>
        <v>99.443834741543355</v>
      </c>
      <c r="CB132" s="20">
        <f t="shared" ref="CB132:CB153" si="118">(BZ132+CA132)*0.475*44/12</f>
        <v>936.08632884152132</v>
      </c>
      <c r="CC132" s="59">
        <f t="shared" ref="CC132:CC195" si="119">CB132+(BT132+BU132)*44/12</f>
        <v>1229.4196621748547</v>
      </c>
      <c r="CD132" s="59">
        <f ca="1">AVERAGE(OFFSET($CC$3,0,0,'Données projet'!$E$12+1,1))-AVERAGE(OFFSET($H$3,0,0,'Données projet'!$E$12+1,1))</f>
        <v>534.99316143569899</v>
      </c>
      <c r="CE132" s="59">
        <f t="shared" si="94"/>
        <v>449.56965858934262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26.569351525992943</v>
      </c>
      <c r="CL132" s="21">
        <f>EXP(-LN(2)/25)*CL131+(1-EXP(-LN(2)/25))/(LN(2)/25)*Calculateur!CG132*Calculateur!CI132*VLOOKUP('Données projet'!$B$12,Paramètres!$A$1:$I$89,3,0)*0.475*44/12</f>
        <v>8.2356934181934154</v>
      </c>
      <c r="CM132" s="21">
        <f>EXP(-LN(2)/2)*CM131+(1-EXP(-LN(2)/2))/(LN(2)/2)*CG132*CJ132*VLOOKUP('Données projet'!$B$12,Paramètres!$A$1:$I$89,3,0)*0.475*44/12</f>
        <v>1.1490311337409405E-7</v>
      </c>
      <c r="CN132" s="22">
        <f t="shared" ref="CN132:CN153" si="120">SUM(CK132:CM132)</f>
        <v>34.805045059089473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251.00000000000006</v>
      </c>
      <c r="CU132" s="17">
        <f>CT132*VLOOKUP('Données projet'!$B$13,Paramètres!$A$1:$I$89,3,0)*VLOOKUP('Données projet'!$B$13,Paramètres!$A$1:$I$89,5,0)</f>
        <v>285.83880000000011</v>
      </c>
      <c r="CV132" s="13">
        <f t="shared" si="95"/>
        <v>68.199429147498265</v>
      </c>
      <c r="CW132" s="20">
        <f t="shared" ref="CW132:CW153" si="121">(CU132+CV132)*0.475*44/12</f>
        <v>616.61658243189299</v>
      </c>
      <c r="CX132" s="59">
        <f t="shared" ref="CX132:CX195" si="122">CW132+(CO132+CP132)*44/12</f>
        <v>909.94991576522625</v>
      </c>
      <c r="CY132" s="59">
        <f ca="1">AVERAGE(OFFSET($CX$3,0,0,'Données projet'!$E$13+1,1))-AVERAGE(OFFSET($H$3,0,0,'Données projet'!$E$13+1,1))</f>
        <v>389.89050053480827</v>
      </c>
      <c r="CZ132" s="59">
        <f t="shared" si="96"/>
        <v>216.40816051909616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11.458753194523439</v>
      </c>
      <c r="DG132" s="21">
        <f>EXP(-LN(2)/25)*DG131+(1-EXP(-LN(2)/25))/(LN(2)/25)*Calculateur!DB132*Calculateur!DD132*VLOOKUP('Données projet'!$B$13,Paramètres!$A$1:$I$89,3,0)*0.475*44/12</f>
        <v>1.1142839142624441</v>
      </c>
      <c r="DH132" s="21">
        <f>EXP(-LN(2)/2)*DH131+(1-EXP(-LN(2)/2))/(LN(2)/2)*DB132*DE132*VLOOKUP('Données projet'!$B$13,Paramètres!$A$1:$I$89,3,0)*0.475*44/12</f>
        <v>2.7707146405807858E-2</v>
      </c>
      <c r="DI132" s="22">
        <f t="shared" ref="DI132:DI153" si="123">SUM(DF132:DH132)</f>
        <v>12.600744255191691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268.00000000000011</v>
      </c>
      <c r="O133" s="13">
        <f>N133*VLOOKUP('Données projet'!$B$9,Paramètres!$A$1:$I$89,3,0)*VLOOKUP('Données projet'!$B$9,Paramètres!$A$1:$I$89,5,0)</f>
        <v>242.48640000000009</v>
      </c>
      <c r="P133" s="13">
        <f t="shared" ref="P133:P196" si="141">EXP(-1.0587+0.8836*LN(O133)+0.284)</f>
        <v>58.974170235372476</v>
      </c>
      <c r="Q133" s="20">
        <f t="shared" si="108"/>
        <v>525.04382649327385</v>
      </c>
      <c r="R133" s="59">
        <f t="shared" si="109"/>
        <v>818.37715982660711</v>
      </c>
      <c r="S133" s="59">
        <f ca="1">AVERAGE(OFFSET($R$3,0,0,'Données projet'!$E$9+1,1))-AVERAGE(OFFSET($H$3,0,0,'Données projet'!$E$9+1,1))</f>
        <v>371.7282125501186</v>
      </c>
      <c r="T133" s="59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47.8625066328363</v>
      </c>
      <c r="AA133" s="21">
        <f>EXP(-LN(2)/25)*AA132+(1-EXP(-LN(2)/25))/(LN(2)/25)*Calculateur!V133*Calculateur!X133*VLOOKUP('Données projet'!$B$9,Paramètres!$A$1:$I$89,3,0)*0.475*44/12</f>
        <v>1.8744439642097754</v>
      </c>
      <c r="AB133" s="21">
        <f>EXP(-LN(2)/2)*AB132+(1-EXP(-LN(2)/2))/(LN(2)/2)*V133*Y133*VLOOKUP('Données projet'!$B$9,Paramètres!$A$1:$I$89,3,0)*0.475*44/12</f>
        <v>3.3472304083450255E-2</v>
      </c>
      <c r="AC133" s="22">
        <f t="shared" si="111"/>
        <v>49.770422901129528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1.7053025658242404E-13</v>
      </c>
      <c r="AJ133" s="13">
        <f>AI133*VLOOKUP('Données projet'!$B$10,Paramètres!$A$1:$I$89,3,0)*VLOOKUP('Données projet'!$B$10,Paramètres!$A$1:$I$89,5,0)</f>
        <v>7.9808160080574461E-14</v>
      </c>
      <c r="AK133" s="13">
        <f t="shared" ref="AK133:AK153" si="143">EXP(-1.0587+0.8836*LN(AJ133)+0.284)</f>
        <v>1.2308384591775343E-12</v>
      </c>
      <c r="AL133" s="20">
        <f t="shared" si="112"/>
        <v>2.282709528541206E-12</v>
      </c>
      <c r="AM133" s="59">
        <f t="shared" si="113"/>
        <v>293.33333333333559</v>
      </c>
      <c r="AN133" s="59">
        <f ca="1">AVERAGE(OFFSET($AM$3,0,0,'Données projet'!$E$10+1,1))-AVERAGE(OFFSET($H$3,0,0,'Données projet'!$E$10+1,1))</f>
        <v>218.32525311070435</v>
      </c>
      <c r="AO133" s="59">
        <f t="shared" ref="AO133:AO196" si="144">$AO$3</f>
        <v>275.36315264099204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21.801251116055795</v>
      </c>
      <c r="AV133" s="21">
        <f>EXP(-LN(2)/25)*AV132+(1-EXP(-LN(2)/25))/(LN(2)/25)*Calculateur!AQ133*Calculateur!AS133*VLOOKUP('Données projet'!$B$10,Paramètres!$A$1:$I$89,3,0)*0.475*44/12</f>
        <v>5.4050194964501541</v>
      </c>
      <c r="AW133" s="21">
        <f>EXP(-LN(2)/2)*AW132+(1-EXP(-LN(2)/2))/(LN(2)/2)*AQ133*AT133*VLOOKUP('Données projet'!$B$10,Paramètres!$A$1:$I$89,3,0)*0.475*44/12</f>
        <v>1.8992879142568782E-9</v>
      </c>
      <c r="AX133" s="21">
        <f t="shared" si="114"/>
        <v>27.206270614405238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343</v>
      </c>
      <c r="BE133" s="13">
        <f>BD133*VLOOKUP('Données projet'!$B$11,Paramètres!$A$1:$I$89,3,0)*VLOOKUP('Données projet'!$B$11,Paramètres!$A$1:$I$89,5,0)</f>
        <v>326.39879999999999</v>
      </c>
      <c r="BF133" s="13">
        <f t="shared" ref="BF133:BF153" si="145">EXP(-1.0587+0.8836*LN(BE133)+0.284)</f>
        <v>76.683210401884097</v>
      </c>
      <c r="BG133" s="20">
        <f t="shared" si="115"/>
        <v>702.03450144994804</v>
      </c>
      <c r="BH133" s="59">
        <f t="shared" si="116"/>
        <v>995.3678347832813</v>
      </c>
      <c r="BI133" s="59">
        <f ca="1">AVERAGE(OFFSET($BH$3,0,0,'Données projet'!$E$11+1,1))-AVERAGE(OFFSET($H$3,0,0,'Données projet'!$E$11+1,1))</f>
        <v>446.62872871405051</v>
      </c>
      <c r="BJ133" s="59">
        <f t="shared" ref="BJ133:BJ196" si="146">$BJ$3</f>
        <v>471.28934889691658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18.133801437454601</v>
      </c>
      <c r="BQ133" s="21">
        <f>EXP(-LN(2)/25)*BQ132+(1-EXP(-LN(2)/25))/(LN(2)/25)*Calculateur!BL133*Calculateur!BN133*VLOOKUP('Données projet'!$B$11,Paramètres!$A$1:$I$89,3,0)*0.475*44/12</f>
        <v>0.6369666851341772</v>
      </c>
      <c r="BR133" s="21">
        <f>EXP(-LN(2)/2)*BR132+(1-EXP(-LN(2)/2))/(LN(2)/2)*BL133*BO133*VLOOKUP('Données projet'!$B$11,Paramètres!$A$1:$I$89,3,0)*0.475*44/12</f>
        <v>1.5957573826047686E-9</v>
      </c>
      <c r="BS133" s="22">
        <f t="shared" si="117"/>
        <v>18.770768124184535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991.00000000000011</v>
      </c>
      <c r="BZ133" s="13">
        <f>BY133*VLOOKUP('Données projet'!$B$12,Paramètres!$A$1:$I$89,3,0)*VLOOKUP('Données projet'!$B$12,Paramètres!$A$1:$I$89,5,0)</f>
        <v>438.02200000000011</v>
      </c>
      <c r="CA133" s="13">
        <f t="shared" ref="CA133:CA153" si="147">EXP(-1.0587+0.8836*LN(BZ133)+0.284)</f>
        <v>99.443834741543355</v>
      </c>
      <c r="CB133" s="20">
        <f t="shared" si="118"/>
        <v>936.08632884152132</v>
      </c>
      <c r="CC133" s="59">
        <f t="shared" si="119"/>
        <v>1229.4196621748547</v>
      </c>
      <c r="CD133" s="59">
        <f ca="1">AVERAGE(OFFSET($CC$3,0,0,'Données projet'!$E$12+1,1))-AVERAGE(OFFSET($H$3,0,0,'Données projet'!$E$12+1,1))</f>
        <v>534.99316143569899</v>
      </c>
      <c r="CE133" s="59">
        <f t="shared" ref="CE133:CE196" si="148">$CE$3</f>
        <v>449.56965858934262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26.048342748272471</v>
      </c>
      <c r="CL133" s="21">
        <f>EXP(-LN(2)/25)*CL132+(1-EXP(-LN(2)/25))/(LN(2)/25)*Calculateur!CG133*Calculateur!CI133*VLOOKUP('Données projet'!$B$12,Paramètres!$A$1:$I$89,3,0)*0.475*44/12</f>
        <v>8.0104879485766229</v>
      </c>
      <c r="CM133" s="21">
        <f>EXP(-LN(2)/2)*CM132+(1-EXP(-LN(2)/2))/(LN(2)/2)*CG133*CJ133*VLOOKUP('Données projet'!$B$12,Paramètres!$A$1:$I$89,3,0)*0.475*44/12</f>
        <v>8.1248770646268591E-8</v>
      </c>
      <c r="CN133" s="22">
        <f t="shared" si="120"/>
        <v>34.058830778097864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251.00000000000006</v>
      </c>
      <c r="CU133" s="17">
        <f>CT133*VLOOKUP('Données projet'!$B$13,Paramètres!$A$1:$I$89,3,0)*VLOOKUP('Données projet'!$B$13,Paramètres!$A$1:$I$89,5,0)</f>
        <v>285.83880000000011</v>
      </c>
      <c r="CV133" s="13">
        <f t="shared" ref="CV133:CV153" si="149">EXP(-1.0587+0.8836*LN(CU133)+0.284)</f>
        <v>68.199429147498265</v>
      </c>
      <c r="CW133" s="20">
        <f t="shared" si="121"/>
        <v>616.61658243189299</v>
      </c>
      <c r="CX133" s="59">
        <f t="shared" si="122"/>
        <v>909.94991576522625</v>
      </c>
      <c r="CY133" s="59">
        <f ca="1">AVERAGE(OFFSET($CX$3,0,0,'Données projet'!$E$13+1,1))-AVERAGE(OFFSET($H$3,0,0,'Données projet'!$E$13+1,1))</f>
        <v>389.89050053480827</v>
      </c>
      <c r="CZ133" s="59">
        <f t="shared" ref="CZ133:CZ196" si="150">$CZ$3</f>
        <v>216.40816051909616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11.234054033528162</v>
      </c>
      <c r="DG133" s="21">
        <f>EXP(-LN(2)/25)*DG132+(1-EXP(-LN(2)/25))/(LN(2)/25)*Calculateur!DB133*Calculateur!DD133*VLOOKUP('Données projet'!$B$13,Paramètres!$A$1:$I$89,3,0)*0.475*44/12</f>
        <v>1.0838137620292934</v>
      </c>
      <c r="DH133" s="21">
        <f>EXP(-LN(2)/2)*DH132+(1-EXP(-LN(2)/2))/(LN(2)/2)*DB133*DE133*VLOOKUP('Données projet'!$B$13,Paramètres!$A$1:$I$89,3,0)*0.475*44/12</f>
        <v>1.9591911110875215E-2</v>
      </c>
      <c r="DI133" s="22">
        <f t="shared" si="123"/>
        <v>12.337459706668332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268.00000000000011</v>
      </c>
      <c r="O134" s="13">
        <f>N134*VLOOKUP('Données projet'!$B$9,Paramètres!$A$1:$I$89,3,0)*VLOOKUP('Données projet'!$B$9,Paramètres!$A$1:$I$89,5,0)</f>
        <v>242.48640000000009</v>
      </c>
      <c r="P134" s="13">
        <f t="shared" si="141"/>
        <v>58.974170235372476</v>
      </c>
      <c r="Q134" s="20">
        <f t="shared" si="108"/>
        <v>525.04382649327385</v>
      </c>
      <c r="R134" s="59">
        <f t="shared" si="109"/>
        <v>818.37715982660711</v>
      </c>
      <c r="S134" s="59">
        <f ca="1">AVERAGE(OFFSET($R$3,0,0,'Données projet'!$E$9+1,1))-AVERAGE(OFFSET($H$3,0,0,'Données projet'!$E$9+1,1))</f>
        <v>371.7282125501186</v>
      </c>
      <c r="T134" s="59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46.923952071012835</v>
      </c>
      <c r="AA134" s="21">
        <f>EXP(-LN(2)/25)*AA133+(1-EXP(-LN(2)/25))/(LN(2)/25)*Calculateur!V134*Calculateur!X134*VLOOKUP('Données projet'!$B$9,Paramètres!$A$1:$I$89,3,0)*0.475*44/12</f>
        <v>1.823187195435735</v>
      </c>
      <c r="AB134" s="21">
        <f>EXP(-LN(2)/2)*AB133+(1-EXP(-LN(2)/2))/(LN(2)/2)*V134*Y134*VLOOKUP('Données projet'!$B$9,Paramètres!$A$1:$I$89,3,0)*0.475*44/12</f>
        <v>2.3668493199345841E-2</v>
      </c>
      <c r="AC134" s="22">
        <f t="shared" si="111"/>
        <v>48.770807759647916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1.7053025658242404E-13</v>
      </c>
      <c r="AJ134" s="13">
        <f>AI134*VLOOKUP('Données projet'!$B$10,Paramètres!$A$1:$I$89,3,0)*VLOOKUP('Données projet'!$B$10,Paramètres!$A$1:$I$89,5,0)</f>
        <v>7.9808160080574461E-14</v>
      </c>
      <c r="AK134" s="13">
        <f t="shared" si="143"/>
        <v>1.2308384591775343E-12</v>
      </c>
      <c r="AL134" s="20">
        <f t="shared" si="112"/>
        <v>2.282709528541206E-12</v>
      </c>
      <c r="AM134" s="59">
        <f t="shared" si="113"/>
        <v>293.33333333333559</v>
      </c>
      <c r="AN134" s="59">
        <f ca="1">AVERAGE(OFFSET($AM$3,0,0,'Données projet'!$E$10+1,1))-AVERAGE(OFFSET($H$3,0,0,'Données projet'!$E$10+1,1))</f>
        <v>218.32525311070435</v>
      </c>
      <c r="AO134" s="59">
        <f t="shared" si="144"/>
        <v>275.36315264099204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21.373741879120107</v>
      </c>
      <c r="AV134" s="21">
        <f>EXP(-LN(2)/25)*AV133+(1-EXP(-LN(2)/25))/(LN(2)/25)*Calculateur!AQ134*Calculateur!AS134*VLOOKUP('Données projet'!$B$10,Paramètres!$A$1:$I$89,3,0)*0.475*44/12</f>
        <v>5.257218954082103</v>
      </c>
      <c r="AW134" s="21">
        <f>EXP(-LN(2)/2)*AW133+(1-EXP(-LN(2)/2))/(LN(2)/2)*AQ134*AT134*VLOOKUP('Données projet'!$B$10,Paramètres!$A$1:$I$89,3,0)*0.475*44/12</f>
        <v>1.3429993635966926E-9</v>
      </c>
      <c r="AX134" s="21">
        <f t="shared" si="114"/>
        <v>26.63096083454521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343</v>
      </c>
      <c r="BE134" s="13">
        <f>BD134*VLOOKUP('Données projet'!$B$11,Paramètres!$A$1:$I$89,3,0)*VLOOKUP('Données projet'!$B$11,Paramètres!$A$1:$I$89,5,0)</f>
        <v>326.39879999999999</v>
      </c>
      <c r="BF134" s="13">
        <f t="shared" si="145"/>
        <v>76.683210401884097</v>
      </c>
      <c r="BG134" s="20">
        <f t="shared" si="115"/>
        <v>702.03450144994804</v>
      </c>
      <c r="BH134" s="59">
        <f t="shared" si="116"/>
        <v>995.3678347832813</v>
      </c>
      <c r="BI134" s="59">
        <f ca="1">AVERAGE(OFFSET($BH$3,0,0,'Données projet'!$E$11+1,1))-AVERAGE(OFFSET($H$3,0,0,'Données projet'!$E$11+1,1))</f>
        <v>446.62872871405051</v>
      </c>
      <c r="BJ134" s="59">
        <f t="shared" si="146"/>
        <v>471.28934889691658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17.778208651792855</v>
      </c>
      <c r="BQ134" s="21">
        <f>EXP(-LN(2)/25)*BQ133+(1-EXP(-LN(2)/25))/(LN(2)/25)*Calculateur!BL134*Calculateur!BN134*VLOOKUP('Données projet'!$B$11,Paramètres!$A$1:$I$89,3,0)*0.475*44/12</f>
        <v>0.61954879763256099</v>
      </c>
      <c r="BR134" s="21">
        <f>EXP(-LN(2)/2)*BR133+(1-EXP(-LN(2)/2))/(LN(2)/2)*BL134*BO134*VLOOKUP('Données projet'!$B$11,Paramètres!$A$1:$I$89,3,0)*0.475*44/12</f>
        <v>1.1283708663683279E-9</v>
      </c>
      <c r="BS134" s="22">
        <f t="shared" si="117"/>
        <v>18.397757450553787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991.00000000000011</v>
      </c>
      <c r="BZ134" s="13">
        <f>BY134*VLOOKUP('Données projet'!$B$12,Paramètres!$A$1:$I$89,3,0)*VLOOKUP('Données projet'!$B$12,Paramètres!$A$1:$I$89,5,0)</f>
        <v>438.02200000000011</v>
      </c>
      <c r="CA134" s="13">
        <f t="shared" si="147"/>
        <v>99.443834741543355</v>
      </c>
      <c r="CB134" s="20">
        <f t="shared" si="118"/>
        <v>936.08632884152132</v>
      </c>
      <c r="CC134" s="59">
        <f t="shared" si="119"/>
        <v>1229.4196621748547</v>
      </c>
      <c r="CD134" s="59">
        <f ca="1">AVERAGE(OFFSET($CC$3,0,0,'Données projet'!$E$12+1,1))-AVERAGE(OFFSET($H$3,0,0,'Données projet'!$E$12+1,1))</f>
        <v>534.99316143569899</v>
      </c>
      <c r="CE134" s="59">
        <f t="shared" si="148"/>
        <v>449.56965858934262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25.537550634899123</v>
      </c>
      <c r="CL134" s="21">
        <f>EXP(-LN(2)/25)*CL133+(1-EXP(-LN(2)/25))/(LN(2)/25)*Calculateur!CG134*Calculateur!CI134*VLOOKUP('Données projet'!$B$12,Paramètres!$A$1:$I$89,3,0)*0.475*44/12</f>
        <v>7.7914407343695418</v>
      </c>
      <c r="CM134" s="21">
        <f>EXP(-LN(2)/2)*CM133+(1-EXP(-LN(2)/2))/(LN(2)/2)*CG134*CJ134*VLOOKUP('Données projet'!$B$12,Paramètres!$A$1:$I$89,3,0)*0.475*44/12</f>
        <v>5.7451556687047033E-8</v>
      </c>
      <c r="CN134" s="22">
        <f t="shared" si="120"/>
        <v>33.328991426720222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251.00000000000006</v>
      </c>
      <c r="CU134" s="17">
        <f>CT134*VLOOKUP('Données projet'!$B$13,Paramètres!$A$1:$I$89,3,0)*VLOOKUP('Données projet'!$B$13,Paramètres!$A$1:$I$89,5,0)</f>
        <v>285.83880000000011</v>
      </c>
      <c r="CV134" s="13">
        <f t="shared" si="149"/>
        <v>68.199429147498265</v>
      </c>
      <c r="CW134" s="20">
        <f t="shared" si="121"/>
        <v>616.61658243189299</v>
      </c>
      <c r="CX134" s="59">
        <f t="shared" si="122"/>
        <v>909.94991576522625</v>
      </c>
      <c r="CY134" s="59">
        <f ca="1">AVERAGE(OFFSET($CX$3,0,0,'Données projet'!$E$13+1,1))-AVERAGE(OFFSET($H$3,0,0,'Données projet'!$E$13+1,1))</f>
        <v>389.89050053480827</v>
      </c>
      <c r="CZ134" s="59">
        <f t="shared" si="150"/>
        <v>216.40816051909616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11.013761086027047</v>
      </c>
      <c r="DG134" s="21">
        <f>EXP(-LN(2)/25)*DG133+(1-EXP(-LN(2)/25))/(LN(2)/25)*Calculateur!DB134*Calculateur!DD134*VLOOKUP('Données projet'!$B$13,Paramètres!$A$1:$I$89,3,0)*0.475*44/12</f>
        <v>1.0541768177113138</v>
      </c>
      <c r="DH134" s="21">
        <f>EXP(-LN(2)/2)*DH133+(1-EXP(-LN(2)/2))/(LN(2)/2)*DB134*DE134*VLOOKUP('Données projet'!$B$13,Paramètres!$A$1:$I$89,3,0)*0.475*44/12</f>
        <v>1.3853573202903931E-2</v>
      </c>
      <c r="DI134" s="22">
        <f t="shared" si="123"/>
        <v>12.081791476941266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268.00000000000011</v>
      </c>
      <c r="O135" s="13">
        <f>N135*VLOOKUP('Données projet'!$B$9,Paramètres!$A$1:$I$89,3,0)*VLOOKUP('Données projet'!$B$9,Paramètres!$A$1:$I$89,5,0)</f>
        <v>242.48640000000009</v>
      </c>
      <c r="P135" s="13">
        <f t="shared" si="141"/>
        <v>58.974170235372476</v>
      </c>
      <c r="Q135" s="20">
        <f t="shared" si="108"/>
        <v>525.04382649327385</v>
      </c>
      <c r="R135" s="59">
        <f t="shared" si="109"/>
        <v>818.37715982660711</v>
      </c>
      <c r="S135" s="59">
        <f ca="1">AVERAGE(OFFSET($R$3,0,0,'Données projet'!$E$9+1,1))-AVERAGE(OFFSET($H$3,0,0,'Données projet'!$E$9+1,1))</f>
        <v>371.7282125501186</v>
      </c>
      <c r="T135" s="59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46.003801991684966</v>
      </c>
      <c r="AA135" s="21">
        <f>EXP(-LN(2)/25)*AA134+(1-EXP(-LN(2)/25))/(LN(2)/25)*Calculateur!V135*Calculateur!X135*VLOOKUP('Données projet'!$B$9,Paramètres!$A$1:$I$89,3,0)*0.475*44/12</f>
        <v>1.7733320456992971</v>
      </c>
      <c r="AB135" s="21">
        <f>EXP(-LN(2)/2)*AB134+(1-EXP(-LN(2)/2))/(LN(2)/2)*V135*Y135*VLOOKUP('Données projet'!$B$9,Paramètres!$A$1:$I$89,3,0)*0.475*44/12</f>
        <v>1.6736152041725127E-2</v>
      </c>
      <c r="AC135" s="22">
        <f t="shared" si="111"/>
        <v>47.793870189425988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1.7053025658242404E-13</v>
      </c>
      <c r="AJ135" s="13">
        <f>AI135*VLOOKUP('Données projet'!$B$10,Paramètres!$A$1:$I$89,3,0)*VLOOKUP('Données projet'!$B$10,Paramètres!$A$1:$I$89,5,0)</f>
        <v>7.9808160080574461E-14</v>
      </c>
      <c r="AK135" s="13">
        <f t="shared" si="143"/>
        <v>1.2308384591775343E-12</v>
      </c>
      <c r="AL135" s="20">
        <f t="shared" si="112"/>
        <v>2.282709528541206E-12</v>
      </c>
      <c r="AM135" s="59">
        <f t="shared" si="113"/>
        <v>293.33333333333559</v>
      </c>
      <c r="AN135" s="59">
        <f ca="1">AVERAGE(OFFSET($AM$3,0,0,'Données projet'!$E$10+1,1))-AVERAGE(OFFSET($H$3,0,0,'Données projet'!$E$10+1,1))</f>
        <v>218.32525311070435</v>
      </c>
      <c r="AO135" s="59">
        <f t="shared" si="144"/>
        <v>275.36315264099204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20.954615837565843</v>
      </c>
      <c r="AV135" s="21">
        <f>EXP(-LN(2)/25)*AV134+(1-EXP(-LN(2)/25))/(LN(2)/25)*Calculateur!AQ135*Calculateur!AS135*VLOOKUP('Données projet'!$B$10,Paramètres!$A$1:$I$89,3,0)*0.475*44/12</f>
        <v>5.1134600253175986</v>
      </c>
      <c r="AW135" s="21">
        <f>EXP(-LN(2)/2)*AW134+(1-EXP(-LN(2)/2))/(LN(2)/2)*AQ135*AT135*VLOOKUP('Données projet'!$B$10,Paramètres!$A$1:$I$89,3,0)*0.475*44/12</f>
        <v>9.4964395712843909E-10</v>
      </c>
      <c r="AX135" s="21">
        <f t="shared" si="114"/>
        <v>26.068075863833084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343</v>
      </c>
      <c r="BE135" s="13">
        <f>BD135*VLOOKUP('Données projet'!$B$11,Paramètres!$A$1:$I$89,3,0)*VLOOKUP('Données projet'!$B$11,Paramètres!$A$1:$I$89,5,0)</f>
        <v>326.39879999999999</v>
      </c>
      <c r="BF135" s="13">
        <f t="shared" si="145"/>
        <v>76.683210401884097</v>
      </c>
      <c r="BG135" s="20">
        <f t="shared" si="115"/>
        <v>702.03450144994804</v>
      </c>
      <c r="BH135" s="59">
        <f t="shared" si="116"/>
        <v>995.3678347832813</v>
      </c>
      <c r="BI135" s="59">
        <f ca="1">AVERAGE(OFFSET($BH$3,0,0,'Données projet'!$E$11+1,1))-AVERAGE(OFFSET($H$3,0,0,'Données projet'!$E$11+1,1))</f>
        <v>446.62872871405051</v>
      </c>
      <c r="BJ135" s="59">
        <f t="shared" si="146"/>
        <v>471.28934889691658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17.429588823767755</v>
      </c>
      <c r="BQ135" s="21">
        <f>EXP(-LN(2)/25)*BQ134+(1-EXP(-LN(2)/25))/(LN(2)/25)*Calculateur!BL135*Calculateur!BN135*VLOOKUP('Données projet'!$B$11,Paramètres!$A$1:$I$89,3,0)*0.475*44/12</f>
        <v>0.60260720318064331</v>
      </c>
      <c r="BR135" s="21">
        <f>EXP(-LN(2)/2)*BR134+(1-EXP(-LN(2)/2))/(LN(2)/2)*BL135*BO135*VLOOKUP('Données projet'!$B$11,Paramètres!$A$1:$I$89,3,0)*0.475*44/12</f>
        <v>7.9787869130238429E-10</v>
      </c>
      <c r="BS135" s="22">
        <f t="shared" si="117"/>
        <v>18.032196027746277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991.00000000000011</v>
      </c>
      <c r="BZ135" s="13">
        <f>BY135*VLOOKUP('Données projet'!$B$12,Paramètres!$A$1:$I$89,3,0)*VLOOKUP('Données projet'!$B$12,Paramètres!$A$1:$I$89,5,0)</f>
        <v>438.02200000000011</v>
      </c>
      <c r="CA135" s="13">
        <f t="shared" si="147"/>
        <v>99.443834741543355</v>
      </c>
      <c r="CB135" s="20">
        <f t="shared" si="118"/>
        <v>936.08632884152132</v>
      </c>
      <c r="CC135" s="59">
        <f t="shared" si="119"/>
        <v>1229.4196621748547</v>
      </c>
      <c r="CD135" s="59">
        <f ca="1">AVERAGE(OFFSET($CC$3,0,0,'Données projet'!$E$12+1,1))-AVERAGE(OFFSET($H$3,0,0,'Données projet'!$E$12+1,1))</f>
        <v>534.99316143569899</v>
      </c>
      <c r="CE135" s="59">
        <f t="shared" si="148"/>
        <v>449.56965858934262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25.0367748433166</v>
      </c>
      <c r="CL135" s="21">
        <f>EXP(-LN(2)/25)*CL134+(1-EXP(-LN(2)/25))/(LN(2)/25)*Calculateur!CG135*Calculateur!CI135*VLOOKUP('Données projet'!$B$12,Paramètres!$A$1:$I$89,3,0)*0.475*44/12</f>
        <v>7.5783833777541458</v>
      </c>
      <c r="CM135" s="21">
        <f>EXP(-LN(2)/2)*CM134+(1-EXP(-LN(2)/2))/(LN(2)/2)*CG135*CJ135*VLOOKUP('Données projet'!$B$12,Paramètres!$A$1:$I$89,3,0)*0.475*44/12</f>
        <v>4.0624385323134302E-8</v>
      </c>
      <c r="CN135" s="22">
        <f t="shared" si="120"/>
        <v>32.615158261695129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251.00000000000006</v>
      </c>
      <c r="CU135" s="17">
        <f>CT135*VLOOKUP('Données projet'!$B$13,Paramètres!$A$1:$I$89,3,0)*VLOOKUP('Données projet'!$B$13,Paramètres!$A$1:$I$89,5,0)</f>
        <v>285.83880000000011</v>
      </c>
      <c r="CV135" s="13">
        <f t="shared" si="149"/>
        <v>68.199429147498265</v>
      </c>
      <c r="CW135" s="20">
        <f t="shared" si="121"/>
        <v>616.61658243189299</v>
      </c>
      <c r="CX135" s="59">
        <f t="shared" si="122"/>
        <v>909.94991576522625</v>
      </c>
      <c r="CY135" s="59">
        <f ca="1">AVERAGE(OFFSET($CX$3,0,0,'Données projet'!$E$13+1,1))-AVERAGE(OFFSET($H$3,0,0,'Données projet'!$E$13+1,1))</f>
        <v>389.89050053480827</v>
      </c>
      <c r="CZ135" s="59">
        <f t="shared" si="150"/>
        <v>216.40816051909616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10.797787948860998</v>
      </c>
      <c r="DG135" s="21">
        <f>EXP(-LN(2)/25)*DG134+(1-EXP(-LN(2)/25))/(LN(2)/25)*Calculateur!DB135*Calculateur!DD135*VLOOKUP('Données projet'!$B$13,Paramètres!$A$1:$I$89,3,0)*0.475*44/12</f>
        <v>1.0253502971942483</v>
      </c>
      <c r="DH135" s="21">
        <f>EXP(-LN(2)/2)*DH134+(1-EXP(-LN(2)/2))/(LN(2)/2)*DB135*DE135*VLOOKUP('Données projet'!$B$13,Paramètres!$A$1:$I$89,3,0)*0.475*44/12</f>
        <v>9.7959555554376094E-3</v>
      </c>
      <c r="DI135" s="22">
        <f t="shared" si="123"/>
        <v>11.832934201610685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268.00000000000011</v>
      </c>
      <c r="O136" s="13">
        <f>N136*VLOOKUP('Données projet'!$B$9,Paramètres!$A$1:$I$89,3,0)*VLOOKUP('Données projet'!$B$9,Paramètres!$A$1:$I$89,5,0)</f>
        <v>242.48640000000009</v>
      </c>
      <c r="P136" s="13">
        <f t="shared" si="141"/>
        <v>58.974170235372476</v>
      </c>
      <c r="Q136" s="20">
        <f t="shared" si="108"/>
        <v>525.04382649327385</v>
      </c>
      <c r="R136" s="59">
        <f t="shared" si="109"/>
        <v>818.37715982660711</v>
      </c>
      <c r="S136" s="59">
        <f ca="1">AVERAGE(OFFSET($R$3,0,0,'Données projet'!$E$9+1,1))-AVERAGE(OFFSET($H$3,0,0,'Données projet'!$E$9+1,1))</f>
        <v>371.7282125501186</v>
      </c>
      <c r="T136" s="59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45.101695494176589</v>
      </c>
      <c r="AA136" s="21">
        <f>EXP(-LN(2)/25)*AA135+(1-EXP(-LN(2)/25))/(LN(2)/25)*Calculateur!V136*Calculateur!X136*VLOOKUP('Données projet'!$B$9,Paramètres!$A$1:$I$89,3,0)*0.475*44/12</f>
        <v>1.7248401876541706</v>
      </c>
      <c r="AB136" s="21">
        <f>EXP(-LN(2)/2)*AB135+(1-EXP(-LN(2)/2))/(LN(2)/2)*V136*Y136*VLOOKUP('Données projet'!$B$9,Paramètres!$A$1:$I$89,3,0)*0.475*44/12</f>
        <v>1.183424659967292E-2</v>
      </c>
      <c r="AC136" s="22">
        <f t="shared" si="111"/>
        <v>46.838369928430438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1.7053025658242404E-13</v>
      </c>
      <c r="AJ136" s="13">
        <f>AI136*VLOOKUP('Données projet'!$B$10,Paramètres!$A$1:$I$89,3,0)*VLOOKUP('Données projet'!$B$10,Paramètres!$A$1:$I$89,5,0)</f>
        <v>7.9808160080574461E-14</v>
      </c>
      <c r="AK136" s="13">
        <f t="shared" si="143"/>
        <v>1.2308384591775343E-12</v>
      </c>
      <c r="AL136" s="20">
        <f t="shared" si="112"/>
        <v>2.282709528541206E-12</v>
      </c>
      <c r="AM136" s="59">
        <f t="shared" si="113"/>
        <v>293.33333333333559</v>
      </c>
      <c r="AN136" s="59">
        <f ca="1">AVERAGE(OFFSET($AM$3,0,0,'Données projet'!$E$10+1,1))-AVERAGE(OFFSET($H$3,0,0,'Données projet'!$E$10+1,1))</f>
        <v>218.32525311070435</v>
      </c>
      <c r="AO136" s="59">
        <f t="shared" si="144"/>
        <v>275.36315264099204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20.543708602044813</v>
      </c>
      <c r="AV136" s="21">
        <f>EXP(-LN(2)/25)*AV135+(1-EXP(-LN(2)/25))/(LN(2)/25)*Calculateur!AQ136*Calculateur!AS136*VLOOKUP('Données projet'!$B$10,Paramètres!$A$1:$I$89,3,0)*0.475*44/12</f>
        <v>4.973632192020113</v>
      </c>
      <c r="AW136" s="21">
        <f>EXP(-LN(2)/2)*AW135+(1-EXP(-LN(2)/2))/(LN(2)/2)*AQ136*AT136*VLOOKUP('Données projet'!$B$10,Paramètres!$A$1:$I$89,3,0)*0.475*44/12</f>
        <v>6.7149968179834631E-10</v>
      </c>
      <c r="AX136" s="21">
        <f t="shared" si="114"/>
        <v>25.517340794736423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343</v>
      </c>
      <c r="BE136" s="13">
        <f>BD136*VLOOKUP('Données projet'!$B$11,Paramètres!$A$1:$I$89,3,0)*VLOOKUP('Données projet'!$B$11,Paramètres!$A$1:$I$89,5,0)</f>
        <v>326.39879999999999</v>
      </c>
      <c r="BF136" s="13">
        <f t="shared" si="145"/>
        <v>76.683210401884097</v>
      </c>
      <c r="BG136" s="20">
        <f t="shared" si="115"/>
        <v>702.03450144994804</v>
      </c>
      <c r="BH136" s="59">
        <f t="shared" si="116"/>
        <v>995.3678347832813</v>
      </c>
      <c r="BI136" s="59">
        <f ca="1">AVERAGE(OFFSET($BH$3,0,0,'Données projet'!$E$11+1,1))-AVERAGE(OFFSET($H$3,0,0,'Données projet'!$E$11+1,1))</f>
        <v>446.62872871405051</v>
      </c>
      <c r="BJ136" s="59">
        <f t="shared" si="146"/>
        <v>471.28934889691658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17.087805217933127</v>
      </c>
      <c r="BQ136" s="21">
        <f>EXP(-LN(2)/25)*BQ135+(1-EXP(-LN(2)/25))/(LN(2)/25)*Calculateur!BL136*Calculateur!BN136*VLOOKUP('Données projet'!$B$11,Paramètres!$A$1:$I$89,3,0)*0.475*44/12</f>
        <v>0.58612887751993303</v>
      </c>
      <c r="BR136" s="21">
        <f>EXP(-LN(2)/2)*BR135+(1-EXP(-LN(2)/2))/(LN(2)/2)*BL136*BO136*VLOOKUP('Données projet'!$B$11,Paramètres!$A$1:$I$89,3,0)*0.475*44/12</f>
        <v>5.6418543318416394E-10</v>
      </c>
      <c r="BS136" s="22">
        <f t="shared" si="117"/>
        <v>17.673934096017245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991.00000000000011</v>
      </c>
      <c r="BZ136" s="13">
        <f>BY136*VLOOKUP('Données projet'!$B$12,Paramètres!$A$1:$I$89,3,0)*VLOOKUP('Données projet'!$B$12,Paramètres!$A$1:$I$89,5,0)</f>
        <v>438.02200000000011</v>
      </c>
      <c r="CA136" s="13">
        <f t="shared" si="147"/>
        <v>99.443834741543355</v>
      </c>
      <c r="CB136" s="20">
        <f t="shared" si="118"/>
        <v>936.08632884152132</v>
      </c>
      <c r="CC136" s="59">
        <f t="shared" si="119"/>
        <v>1229.4196621748547</v>
      </c>
      <c r="CD136" s="59">
        <f ca="1">AVERAGE(OFFSET($CC$3,0,0,'Données projet'!$E$12+1,1))-AVERAGE(OFFSET($H$3,0,0,'Données projet'!$E$12+1,1))</f>
        <v>534.99316143569899</v>
      </c>
      <c r="CE136" s="59">
        <f t="shared" si="148"/>
        <v>449.56965858934262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24.545818959563938</v>
      </c>
      <c r="CL136" s="21">
        <f>EXP(-LN(2)/25)*CL135+(1-EXP(-LN(2)/25))/(LN(2)/25)*Calculateur!CG136*Calculateur!CI136*VLOOKUP('Données projet'!$B$12,Paramètres!$A$1:$I$89,3,0)*0.475*44/12</f>
        <v>7.3711520857595971</v>
      </c>
      <c r="CM136" s="21">
        <f>EXP(-LN(2)/2)*CM135+(1-EXP(-LN(2)/2))/(LN(2)/2)*CG136*CJ136*VLOOKUP('Données projet'!$B$12,Paramètres!$A$1:$I$89,3,0)*0.475*44/12</f>
        <v>2.8725778343523523E-8</v>
      </c>
      <c r="CN136" s="22">
        <f t="shared" si="120"/>
        <v>31.916971074049314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251.00000000000006</v>
      </c>
      <c r="CU136" s="17">
        <f>CT136*VLOOKUP('Données projet'!$B$13,Paramètres!$A$1:$I$89,3,0)*VLOOKUP('Données projet'!$B$13,Paramètres!$A$1:$I$89,5,0)</f>
        <v>285.83880000000011</v>
      </c>
      <c r="CV136" s="13">
        <f t="shared" si="149"/>
        <v>68.199429147498265</v>
      </c>
      <c r="CW136" s="20">
        <f t="shared" si="121"/>
        <v>616.61658243189299</v>
      </c>
      <c r="CX136" s="59">
        <f t="shared" si="122"/>
        <v>909.94991576522625</v>
      </c>
      <c r="CY136" s="59">
        <f ca="1">AVERAGE(OFFSET($CX$3,0,0,'Données projet'!$E$13+1,1))-AVERAGE(OFFSET($H$3,0,0,'Données projet'!$E$13+1,1))</f>
        <v>389.89050053480827</v>
      </c>
      <c r="CZ136" s="59">
        <f t="shared" si="150"/>
        <v>216.40816051909616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10.586049913184169</v>
      </c>
      <c r="DG136" s="21">
        <f>EXP(-LN(2)/25)*DG135+(1-EXP(-LN(2)/25))/(LN(2)/25)*Calculateur!DB136*Calculateur!DD136*VLOOKUP('Données projet'!$B$13,Paramètres!$A$1:$I$89,3,0)*0.475*44/12</f>
        <v>0.99731203939664292</v>
      </c>
      <c r="DH136" s="21">
        <f>EXP(-LN(2)/2)*DH135+(1-EXP(-LN(2)/2))/(LN(2)/2)*DB136*DE136*VLOOKUP('Données projet'!$B$13,Paramètres!$A$1:$I$89,3,0)*0.475*44/12</f>
        <v>6.9267866014519671E-3</v>
      </c>
      <c r="DI136" s="22">
        <f t="shared" si="123"/>
        <v>11.590288739182265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268.00000000000011</v>
      </c>
      <c r="O137" s="13">
        <f>N137*VLOOKUP('Données projet'!$B$9,Paramètres!$A$1:$I$89,3,0)*VLOOKUP('Données projet'!$B$9,Paramètres!$A$1:$I$89,5,0)</f>
        <v>242.48640000000009</v>
      </c>
      <c r="P137" s="13">
        <f t="shared" si="141"/>
        <v>58.974170235372476</v>
      </c>
      <c r="Q137" s="20">
        <f t="shared" si="108"/>
        <v>525.04382649327385</v>
      </c>
      <c r="R137" s="59">
        <f t="shared" si="109"/>
        <v>818.37715982660711</v>
      </c>
      <c r="S137" s="59">
        <f ca="1">AVERAGE(OFFSET($R$3,0,0,'Données projet'!$E$9+1,1))-AVERAGE(OFFSET($H$3,0,0,'Données projet'!$E$9+1,1))</f>
        <v>371.7282125501186</v>
      </c>
      <c r="T137" s="59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44.217278754853716</v>
      </c>
      <c r="AA137" s="21">
        <f>EXP(-LN(2)/25)*AA136+(1-EXP(-LN(2)/25))/(LN(2)/25)*Calculateur!V137*Calculateur!X137*VLOOKUP('Données projet'!$B$9,Paramètres!$A$1:$I$89,3,0)*0.475*44/12</f>
        <v>1.6776743420173641</v>
      </c>
      <c r="AB137" s="21">
        <f>EXP(-LN(2)/2)*AB136+(1-EXP(-LN(2)/2))/(LN(2)/2)*V137*Y137*VLOOKUP('Données projet'!$B$9,Paramètres!$A$1:$I$89,3,0)*0.475*44/12</f>
        <v>8.3680760208625637E-3</v>
      </c>
      <c r="AC137" s="22">
        <f t="shared" si="111"/>
        <v>45.903321172891943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1.7053025658242404E-13</v>
      </c>
      <c r="AJ137" s="13">
        <f>AI137*VLOOKUP('Données projet'!$B$10,Paramètres!$A$1:$I$89,3,0)*VLOOKUP('Données projet'!$B$10,Paramètres!$A$1:$I$89,5,0)</f>
        <v>7.9808160080574461E-14</v>
      </c>
      <c r="AK137" s="13">
        <f t="shared" si="143"/>
        <v>1.2308384591775343E-12</v>
      </c>
      <c r="AL137" s="20">
        <f t="shared" si="112"/>
        <v>2.282709528541206E-12</v>
      </c>
      <c r="AM137" s="59">
        <f t="shared" si="113"/>
        <v>293.33333333333559</v>
      </c>
      <c r="AN137" s="59">
        <f ca="1">AVERAGE(OFFSET($AM$3,0,0,'Données projet'!$E$10+1,1))-AVERAGE(OFFSET($H$3,0,0,'Données projet'!$E$10+1,1))</f>
        <v>218.32525311070435</v>
      </c>
      <c r="AO137" s="59">
        <f t="shared" si="144"/>
        <v>275.36315264099204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20.140859006783685</v>
      </c>
      <c r="AV137" s="21">
        <f>EXP(-LN(2)/25)*AV136+(1-EXP(-LN(2)/25))/(LN(2)/25)*Calculateur!AQ137*Calculateur!AS137*VLOOKUP('Données projet'!$B$10,Paramètres!$A$1:$I$89,3,0)*0.475*44/12</f>
        <v>4.8376279581773733</v>
      </c>
      <c r="AW137" s="21">
        <f>EXP(-LN(2)/2)*AW136+(1-EXP(-LN(2)/2))/(LN(2)/2)*AQ137*AT137*VLOOKUP('Données projet'!$B$10,Paramètres!$A$1:$I$89,3,0)*0.475*44/12</f>
        <v>4.7482197856421955E-10</v>
      </c>
      <c r="AX137" s="21">
        <f t="shared" si="114"/>
        <v>24.978486965435881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343</v>
      </c>
      <c r="BE137" s="13">
        <f>BD137*VLOOKUP('Données projet'!$B$11,Paramètres!$A$1:$I$89,3,0)*VLOOKUP('Données projet'!$B$11,Paramètres!$A$1:$I$89,5,0)</f>
        <v>326.39879999999999</v>
      </c>
      <c r="BF137" s="13">
        <f t="shared" si="145"/>
        <v>76.683210401884097</v>
      </c>
      <c r="BG137" s="20">
        <f t="shared" si="115"/>
        <v>702.03450144994804</v>
      </c>
      <c r="BH137" s="59">
        <f t="shared" si="116"/>
        <v>995.3678347832813</v>
      </c>
      <c r="BI137" s="59">
        <f ca="1">AVERAGE(OFFSET($BH$3,0,0,'Données projet'!$E$11+1,1))-AVERAGE(OFFSET($H$3,0,0,'Données projet'!$E$11+1,1))</f>
        <v>446.62872871405051</v>
      </c>
      <c r="BJ137" s="59">
        <f t="shared" si="146"/>
        <v>471.28934889691658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16.752723780141501</v>
      </c>
      <c r="BQ137" s="21">
        <f>EXP(-LN(2)/25)*BQ136+(1-EXP(-LN(2)/25))/(LN(2)/25)*Calculateur!BL137*Calculateur!BN137*VLOOKUP('Données projet'!$B$11,Paramètres!$A$1:$I$89,3,0)*0.475*44/12</f>
        <v>0.57010115254097238</v>
      </c>
      <c r="BR137" s="21">
        <f>EXP(-LN(2)/2)*BR136+(1-EXP(-LN(2)/2))/(LN(2)/2)*BL137*BO137*VLOOKUP('Données projet'!$B$11,Paramètres!$A$1:$I$89,3,0)*0.475*44/12</f>
        <v>3.9893934565119214E-10</v>
      </c>
      <c r="BS137" s="22">
        <f t="shared" si="117"/>
        <v>17.32282493308141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991.00000000000011</v>
      </c>
      <c r="BZ137" s="13">
        <f>BY137*VLOOKUP('Données projet'!$B$12,Paramètres!$A$1:$I$89,3,0)*VLOOKUP('Données projet'!$B$12,Paramètres!$A$1:$I$89,5,0)</f>
        <v>438.02200000000011</v>
      </c>
      <c r="CA137" s="13">
        <f t="shared" si="147"/>
        <v>99.443834741543355</v>
      </c>
      <c r="CB137" s="20">
        <f t="shared" si="118"/>
        <v>936.08632884152132</v>
      </c>
      <c r="CC137" s="59">
        <f t="shared" si="119"/>
        <v>1229.4196621748547</v>
      </c>
      <c r="CD137" s="59">
        <f ca="1">AVERAGE(OFFSET($CC$3,0,0,'Données projet'!$E$12+1,1))-AVERAGE(OFFSET($H$3,0,0,'Données projet'!$E$12+1,1))</f>
        <v>534.99316143569899</v>
      </c>
      <c r="CE137" s="59">
        <f t="shared" si="148"/>
        <v>449.56965858934262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24.064490421238144</v>
      </c>
      <c r="CL137" s="21">
        <f>EXP(-LN(2)/25)*CL136+(1-EXP(-LN(2)/25))/(LN(2)/25)*Calculateur!CG137*Calculateur!CI137*VLOOKUP('Données projet'!$B$12,Paramètres!$A$1:$I$89,3,0)*0.475*44/12</f>
        <v>7.1695875443424599</v>
      </c>
      <c r="CM137" s="21">
        <f>EXP(-LN(2)/2)*CM136+(1-EXP(-LN(2)/2))/(LN(2)/2)*CG137*CJ137*VLOOKUP('Données projet'!$B$12,Paramètres!$A$1:$I$89,3,0)*0.475*44/12</f>
        <v>2.0312192661567154E-8</v>
      </c>
      <c r="CN137" s="22">
        <f t="shared" si="120"/>
        <v>31.234077985892796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251.00000000000006</v>
      </c>
      <c r="CU137" s="17">
        <f>CT137*VLOOKUP('Données projet'!$B$13,Paramètres!$A$1:$I$89,3,0)*VLOOKUP('Données projet'!$B$13,Paramètres!$A$1:$I$89,5,0)</f>
        <v>285.83880000000011</v>
      </c>
      <c r="CV137" s="13">
        <f t="shared" si="149"/>
        <v>68.199429147498265</v>
      </c>
      <c r="CW137" s="20">
        <f t="shared" si="121"/>
        <v>616.61658243189299</v>
      </c>
      <c r="CX137" s="59">
        <f t="shared" si="122"/>
        <v>909.94991576522625</v>
      </c>
      <c r="CY137" s="59">
        <f ca="1">AVERAGE(OFFSET($CX$3,0,0,'Données projet'!$E$13+1,1))-AVERAGE(OFFSET($H$3,0,0,'Données projet'!$E$13+1,1))</f>
        <v>389.89050053480827</v>
      </c>
      <c r="CZ137" s="59">
        <f t="shared" si="150"/>
        <v>216.40816051909616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10.378463931239514</v>
      </c>
      <c r="DG137" s="21">
        <f>EXP(-LN(2)/25)*DG136+(1-EXP(-LN(2)/25))/(LN(2)/25)*Calculateur!DB137*Calculateur!DD137*VLOOKUP('Données projet'!$B$13,Paramètres!$A$1:$I$89,3,0)*0.475*44/12</f>
        <v>0.97004048923298092</v>
      </c>
      <c r="DH137" s="21">
        <f>EXP(-LN(2)/2)*DH136+(1-EXP(-LN(2)/2))/(LN(2)/2)*DB137*DE137*VLOOKUP('Données projet'!$B$13,Paramètres!$A$1:$I$89,3,0)*0.475*44/12</f>
        <v>4.8979777777188056E-3</v>
      </c>
      <c r="DI137" s="22">
        <f t="shared" si="123"/>
        <v>11.353402398250212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268.00000000000011</v>
      </c>
      <c r="O138" s="13">
        <f>N138*VLOOKUP('Données projet'!$B$9,Paramètres!$A$1:$I$89,3,0)*VLOOKUP('Données projet'!$B$9,Paramètres!$A$1:$I$89,5,0)</f>
        <v>242.48640000000009</v>
      </c>
      <c r="P138" s="13">
        <f t="shared" si="141"/>
        <v>58.974170235372476</v>
      </c>
      <c r="Q138" s="20">
        <f t="shared" si="108"/>
        <v>525.04382649327385</v>
      </c>
      <c r="R138" s="59">
        <f t="shared" si="109"/>
        <v>818.37715982660711</v>
      </c>
      <c r="S138" s="59">
        <f ca="1">AVERAGE(OFFSET($R$3,0,0,'Données projet'!$E$9+1,1))-AVERAGE(OFFSET($H$3,0,0,'Données projet'!$E$9+1,1))</f>
        <v>371.7282125501186</v>
      </c>
      <c r="T138" s="59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43.350204888348024</v>
      </c>
      <c r="AA138" s="21">
        <f>EXP(-LN(2)/25)*AA137+(1-EXP(-LN(2)/25))/(LN(2)/25)*Calculateur!V138*Calculateur!X138*VLOOKUP('Données projet'!$B$9,Paramètres!$A$1:$I$89,3,0)*0.475*44/12</f>
        <v>1.6317982489098399</v>
      </c>
      <c r="AB138" s="21">
        <f>EXP(-LN(2)/2)*AB137+(1-EXP(-LN(2)/2))/(LN(2)/2)*V138*Y138*VLOOKUP('Données projet'!$B$9,Paramètres!$A$1:$I$89,3,0)*0.475*44/12</f>
        <v>5.9171232998364602E-3</v>
      </c>
      <c r="AC138" s="22">
        <f t="shared" si="111"/>
        <v>44.987920260557701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1.7053025658242404E-13</v>
      </c>
      <c r="AJ138" s="13">
        <f>AI138*VLOOKUP('Données projet'!$B$10,Paramètres!$A$1:$I$89,3,0)*VLOOKUP('Données projet'!$B$10,Paramètres!$A$1:$I$89,5,0)</f>
        <v>7.9808160080574461E-14</v>
      </c>
      <c r="AK138" s="13">
        <f t="shared" si="143"/>
        <v>1.2308384591775343E-12</v>
      </c>
      <c r="AL138" s="20">
        <f t="shared" si="112"/>
        <v>2.282709528541206E-12</v>
      </c>
      <c r="AM138" s="59">
        <f t="shared" si="113"/>
        <v>293.33333333333559</v>
      </c>
      <c r="AN138" s="59">
        <f ca="1">AVERAGE(OFFSET($AM$3,0,0,'Données projet'!$E$10+1,1))-AVERAGE(OFFSET($H$3,0,0,'Données projet'!$E$10+1,1))</f>
        <v>218.32525311070435</v>
      </c>
      <c r="AO138" s="59">
        <f t="shared" si="144"/>
        <v>275.36315264099204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19.745909046371636</v>
      </c>
      <c r="AV138" s="21">
        <f>EXP(-LN(2)/25)*AV137+(1-EXP(-LN(2)/25))/(LN(2)/25)*Calculateur!AQ138*Calculateur!AS138*VLOOKUP('Données projet'!$B$10,Paramètres!$A$1:$I$89,3,0)*0.475*44/12</f>
        <v>4.7053427672612154</v>
      </c>
      <c r="AW138" s="21">
        <f>EXP(-LN(2)/2)*AW137+(1-EXP(-LN(2)/2))/(LN(2)/2)*AQ138*AT138*VLOOKUP('Données projet'!$B$10,Paramètres!$A$1:$I$89,3,0)*0.475*44/12</f>
        <v>3.3574984089917315E-10</v>
      </c>
      <c r="AX138" s="21">
        <f t="shared" si="114"/>
        <v>24.4512518139686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343</v>
      </c>
      <c r="BE138" s="13">
        <f>BD138*VLOOKUP('Données projet'!$B$11,Paramètres!$A$1:$I$89,3,0)*VLOOKUP('Données projet'!$B$11,Paramètres!$A$1:$I$89,5,0)</f>
        <v>326.39879999999999</v>
      </c>
      <c r="BF138" s="13">
        <f t="shared" si="145"/>
        <v>76.683210401884097</v>
      </c>
      <c r="BG138" s="20">
        <f t="shared" si="115"/>
        <v>702.03450144994804</v>
      </c>
      <c r="BH138" s="59">
        <f t="shared" si="116"/>
        <v>995.3678347832813</v>
      </c>
      <c r="BI138" s="59">
        <f ca="1">AVERAGE(OFFSET($BH$3,0,0,'Données projet'!$E$11+1,1))-AVERAGE(OFFSET($H$3,0,0,'Données projet'!$E$11+1,1))</f>
        <v>446.62872871405051</v>
      </c>
      <c r="BJ138" s="59">
        <f t="shared" si="146"/>
        <v>471.28934889691658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16.424213084965473</v>
      </c>
      <c r="BQ138" s="21">
        <f>EXP(-LN(2)/25)*BQ137+(1-EXP(-LN(2)/25))/(LN(2)/25)*Calculateur!BL138*Calculateur!BN138*VLOOKUP('Données projet'!$B$11,Paramètres!$A$1:$I$89,3,0)*0.475*44/12</f>
        <v>0.55451170654442283</v>
      </c>
      <c r="BR138" s="21">
        <f>EXP(-LN(2)/2)*BR137+(1-EXP(-LN(2)/2))/(LN(2)/2)*BL138*BO138*VLOOKUP('Données projet'!$B$11,Paramètres!$A$1:$I$89,3,0)*0.475*44/12</f>
        <v>2.8209271659208197E-10</v>
      </c>
      <c r="BS138" s="22">
        <f t="shared" si="117"/>
        <v>16.97872479179199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991.00000000000011</v>
      </c>
      <c r="BZ138" s="13">
        <f>BY138*VLOOKUP('Données projet'!$B$12,Paramètres!$A$1:$I$89,3,0)*VLOOKUP('Données projet'!$B$12,Paramètres!$A$1:$I$89,5,0)</f>
        <v>438.02200000000011</v>
      </c>
      <c r="CA138" s="13">
        <f t="shared" si="147"/>
        <v>99.443834741543355</v>
      </c>
      <c r="CB138" s="20">
        <f t="shared" si="118"/>
        <v>936.08632884152132</v>
      </c>
      <c r="CC138" s="59">
        <f t="shared" si="119"/>
        <v>1229.4196621748547</v>
      </c>
      <c r="CD138" s="59">
        <f ca="1">AVERAGE(OFFSET($CC$3,0,0,'Données projet'!$E$12+1,1))-AVERAGE(OFFSET($H$3,0,0,'Données projet'!$E$12+1,1))</f>
        <v>534.99316143569899</v>
      </c>
      <c r="CE138" s="59">
        <f t="shared" si="148"/>
        <v>449.56965858934262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23.592600441967498</v>
      </c>
      <c r="CL138" s="21">
        <f>EXP(-LN(2)/25)*CL137+(1-EXP(-LN(2)/25))/(LN(2)/25)*Calculateur!CG138*Calculateur!CI138*VLOOKUP('Données projet'!$B$12,Paramètres!$A$1:$I$89,3,0)*0.475*44/12</f>
        <v>6.9735347959101928</v>
      </c>
      <c r="CM138" s="21">
        <f>EXP(-LN(2)/2)*CM137+(1-EXP(-LN(2)/2))/(LN(2)/2)*CG138*CJ138*VLOOKUP('Données projet'!$B$12,Paramètres!$A$1:$I$89,3,0)*0.475*44/12</f>
        <v>1.4362889171761763E-8</v>
      </c>
      <c r="CN138" s="22">
        <f t="shared" si="120"/>
        <v>30.566135252240581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251.00000000000006</v>
      </c>
      <c r="CU138" s="17">
        <f>CT138*VLOOKUP('Données projet'!$B$13,Paramètres!$A$1:$I$89,3,0)*VLOOKUP('Données projet'!$B$13,Paramètres!$A$1:$I$89,5,0)</f>
        <v>285.83880000000011</v>
      </c>
      <c r="CV138" s="13">
        <f t="shared" si="149"/>
        <v>68.199429147498265</v>
      </c>
      <c r="CW138" s="20">
        <f t="shared" si="121"/>
        <v>616.61658243189299</v>
      </c>
      <c r="CX138" s="59">
        <f t="shared" si="122"/>
        <v>909.94991576522625</v>
      </c>
      <c r="CY138" s="59">
        <f ca="1">AVERAGE(OFFSET($CX$3,0,0,'Données projet'!$E$13+1,1))-AVERAGE(OFFSET($H$3,0,0,'Données projet'!$E$13+1,1))</f>
        <v>389.89050053480827</v>
      </c>
      <c r="CZ138" s="59">
        <f t="shared" si="150"/>
        <v>216.40816051909616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10.174948583785847</v>
      </c>
      <c r="DG138" s="21">
        <f>EXP(-LN(2)/25)*DG137+(1-EXP(-LN(2)/25))/(LN(2)/25)*Calculateur!DB138*Calculateur!DD138*VLOOKUP('Données projet'!$B$13,Paramètres!$A$1:$I$89,3,0)*0.475*44/12</f>
        <v>0.94351468104269276</v>
      </c>
      <c r="DH138" s="21">
        <f>EXP(-LN(2)/2)*DH137+(1-EXP(-LN(2)/2))/(LN(2)/2)*DB138*DE138*VLOOKUP('Données projet'!$B$13,Paramètres!$A$1:$I$89,3,0)*0.475*44/12</f>
        <v>3.463393300725984E-3</v>
      </c>
      <c r="DI138" s="22">
        <f t="shared" si="123"/>
        <v>11.121926658129265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268.00000000000011</v>
      </c>
      <c r="O139" s="13">
        <f>N139*VLOOKUP('Données projet'!$B$9,Paramètres!$A$1:$I$89,3,0)*VLOOKUP('Données projet'!$B$9,Paramètres!$A$1:$I$89,5,0)</f>
        <v>242.48640000000009</v>
      </c>
      <c r="P139" s="13">
        <f t="shared" si="141"/>
        <v>58.974170235372476</v>
      </c>
      <c r="Q139" s="20">
        <f t="shared" si="108"/>
        <v>525.04382649327385</v>
      </c>
      <c r="R139" s="59">
        <f t="shared" si="109"/>
        <v>818.37715982660711</v>
      </c>
      <c r="S139" s="59">
        <f ca="1">AVERAGE(OFFSET($R$3,0,0,'Données projet'!$E$9+1,1))-AVERAGE(OFFSET($H$3,0,0,'Données projet'!$E$9+1,1))</f>
        <v>371.7282125501186</v>
      </c>
      <c r="T139" s="59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42.500133811501669</v>
      </c>
      <c r="AA139" s="21">
        <f>EXP(-LN(2)/25)*AA138+(1-EXP(-LN(2)/25))/(LN(2)/25)*Calculateur!V139*Calculateur!X139*VLOOKUP('Données projet'!$B$9,Paramètres!$A$1:$I$89,3,0)*0.475*44/12</f>
        <v>1.58717663998086</v>
      </c>
      <c r="AB139" s="21">
        <f>EXP(-LN(2)/2)*AB138+(1-EXP(-LN(2)/2))/(LN(2)/2)*V139*Y139*VLOOKUP('Données projet'!$B$9,Paramètres!$A$1:$I$89,3,0)*0.475*44/12</f>
        <v>4.1840380104312819E-3</v>
      </c>
      <c r="AC139" s="22">
        <f t="shared" si="111"/>
        <v>44.091494489492959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1.7053025658242404E-13</v>
      </c>
      <c r="AJ139" s="13">
        <f>AI139*VLOOKUP('Données projet'!$B$10,Paramètres!$A$1:$I$89,3,0)*VLOOKUP('Données projet'!$B$10,Paramètres!$A$1:$I$89,5,0)</f>
        <v>7.9808160080574461E-14</v>
      </c>
      <c r="AK139" s="13">
        <f t="shared" si="143"/>
        <v>1.2308384591775343E-12</v>
      </c>
      <c r="AL139" s="20">
        <f t="shared" si="112"/>
        <v>2.282709528541206E-12</v>
      </c>
      <c r="AM139" s="59">
        <f t="shared" si="113"/>
        <v>293.33333333333559</v>
      </c>
      <c r="AN139" s="59">
        <f ca="1">AVERAGE(OFFSET($AM$3,0,0,'Données projet'!$E$10+1,1))-AVERAGE(OFFSET($H$3,0,0,'Données projet'!$E$10+1,1))</f>
        <v>218.32525311070435</v>
      </c>
      <c r="AO139" s="59">
        <f t="shared" si="144"/>
        <v>275.36315264099204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19.358703813787578</v>
      </c>
      <c r="AV139" s="21">
        <f>EXP(-LN(2)/25)*AV138+(1-EXP(-LN(2)/25))/(LN(2)/25)*Calculateur!AQ139*Calculateur!AS139*VLOOKUP('Données projet'!$B$10,Paramètres!$A$1:$I$89,3,0)*0.475*44/12</f>
        <v>4.5766749218472356</v>
      </c>
      <c r="AW139" s="21">
        <f>EXP(-LN(2)/2)*AW138+(1-EXP(-LN(2)/2))/(LN(2)/2)*AQ139*AT139*VLOOKUP('Données projet'!$B$10,Paramètres!$A$1:$I$89,3,0)*0.475*44/12</f>
        <v>2.3741098928210977E-10</v>
      </c>
      <c r="AX139" s="21">
        <f t="shared" si="114"/>
        <v>23.935378735872224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343</v>
      </c>
      <c r="BE139" s="13">
        <f>BD139*VLOOKUP('Données projet'!$B$11,Paramètres!$A$1:$I$89,3,0)*VLOOKUP('Données projet'!$B$11,Paramètres!$A$1:$I$89,5,0)</f>
        <v>326.39879999999999</v>
      </c>
      <c r="BF139" s="13">
        <f t="shared" si="145"/>
        <v>76.683210401884097</v>
      </c>
      <c r="BG139" s="20">
        <f t="shared" si="115"/>
        <v>702.03450144994804</v>
      </c>
      <c r="BH139" s="59">
        <f t="shared" si="116"/>
        <v>995.3678347832813</v>
      </c>
      <c r="BI139" s="59">
        <f ca="1">AVERAGE(OFFSET($BH$3,0,0,'Données projet'!$E$11+1,1))-AVERAGE(OFFSET($H$3,0,0,'Données projet'!$E$11+1,1))</f>
        <v>446.62872871405051</v>
      </c>
      <c r="BJ139" s="59">
        <f t="shared" si="146"/>
        <v>471.28934889691658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16.102144284150107</v>
      </c>
      <c r="BQ139" s="21">
        <f>EXP(-LN(2)/25)*BQ138+(1-EXP(-LN(2)/25))/(LN(2)/25)*Calculateur!BL139*Calculateur!BN139*VLOOKUP('Données projet'!$B$11,Paramètres!$A$1:$I$89,3,0)*0.475*44/12</f>
        <v>0.53934855476846233</v>
      </c>
      <c r="BR139" s="21">
        <f>EXP(-LN(2)/2)*BR138+(1-EXP(-LN(2)/2))/(LN(2)/2)*BL139*BO139*VLOOKUP('Données projet'!$B$11,Paramètres!$A$1:$I$89,3,0)*0.475*44/12</f>
        <v>1.9946967282559607E-10</v>
      </c>
      <c r="BS139" s="22">
        <f t="shared" si="117"/>
        <v>16.64149283911804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991.00000000000011</v>
      </c>
      <c r="BZ139" s="13">
        <f>BY139*VLOOKUP('Données projet'!$B$12,Paramètres!$A$1:$I$89,3,0)*VLOOKUP('Données projet'!$B$12,Paramètres!$A$1:$I$89,5,0)</f>
        <v>438.02200000000011</v>
      </c>
      <c r="CA139" s="13">
        <f t="shared" si="147"/>
        <v>99.443834741543355</v>
      </c>
      <c r="CB139" s="20">
        <f t="shared" si="118"/>
        <v>936.08632884152132</v>
      </c>
      <c r="CC139" s="59">
        <f t="shared" si="119"/>
        <v>1229.4196621748547</v>
      </c>
      <c r="CD139" s="59">
        <f ca="1">AVERAGE(OFFSET($CC$3,0,0,'Données projet'!$E$12+1,1))-AVERAGE(OFFSET($H$3,0,0,'Données projet'!$E$12+1,1))</f>
        <v>534.99316143569899</v>
      </c>
      <c r="CE139" s="59">
        <f t="shared" si="148"/>
        <v>449.56965858934262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23.129963937365883</v>
      </c>
      <c r="CL139" s="21">
        <f>EXP(-LN(2)/25)*CL138+(1-EXP(-LN(2)/25))/(LN(2)/25)*Calculateur!CG139*Calculateur!CI139*VLOOKUP('Données projet'!$B$12,Paramètres!$A$1:$I$89,3,0)*0.475*44/12</f>
        <v>6.782843120193772</v>
      </c>
      <c r="CM139" s="21">
        <f>EXP(-LN(2)/2)*CM138+(1-EXP(-LN(2)/2))/(LN(2)/2)*CG139*CJ139*VLOOKUP('Données projet'!$B$12,Paramètres!$A$1:$I$89,3,0)*0.475*44/12</f>
        <v>1.0156096330783579E-8</v>
      </c>
      <c r="CN139" s="22">
        <f t="shared" si="120"/>
        <v>29.91280706771575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251.00000000000006</v>
      </c>
      <c r="CU139" s="17">
        <f>CT139*VLOOKUP('Données projet'!$B$13,Paramètres!$A$1:$I$89,3,0)*VLOOKUP('Données projet'!$B$13,Paramètres!$A$1:$I$89,5,0)</f>
        <v>285.83880000000011</v>
      </c>
      <c r="CV139" s="13">
        <f t="shared" si="149"/>
        <v>68.199429147498265</v>
      </c>
      <c r="CW139" s="20">
        <f t="shared" si="121"/>
        <v>616.61658243189299</v>
      </c>
      <c r="CX139" s="59">
        <f t="shared" si="122"/>
        <v>909.94991576522625</v>
      </c>
      <c r="CY139" s="59">
        <f ca="1">AVERAGE(OFFSET($CX$3,0,0,'Données projet'!$E$13+1,1))-AVERAGE(OFFSET($H$3,0,0,'Données projet'!$E$13+1,1))</f>
        <v>389.89050053480827</v>
      </c>
      <c r="CZ139" s="59">
        <f t="shared" si="150"/>
        <v>216.40816051909616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9.9754240481636405</v>
      </c>
      <c r="DG139" s="21">
        <f>EXP(-LN(2)/25)*DG138+(1-EXP(-LN(2)/25))/(LN(2)/25)*Calculateur!DB139*Calculateur!DD139*VLOOKUP('Données projet'!$B$13,Paramètres!$A$1:$I$89,3,0)*0.475*44/12</f>
        <v>0.91771422247229972</v>
      </c>
      <c r="DH139" s="21">
        <f>EXP(-LN(2)/2)*DH138+(1-EXP(-LN(2)/2))/(LN(2)/2)*DB139*DE139*VLOOKUP('Données projet'!$B$13,Paramètres!$A$1:$I$89,3,0)*0.475*44/12</f>
        <v>2.4489888888594032E-3</v>
      </c>
      <c r="DI139" s="22">
        <f t="shared" si="123"/>
        <v>10.895587259524801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268.00000000000011</v>
      </c>
      <c r="O140" s="13">
        <f>N140*VLOOKUP('Données projet'!$B$9,Paramètres!$A$1:$I$89,3,0)*VLOOKUP('Données projet'!$B$9,Paramètres!$A$1:$I$89,5,0)</f>
        <v>242.48640000000009</v>
      </c>
      <c r="P140" s="13">
        <f t="shared" si="141"/>
        <v>58.974170235372476</v>
      </c>
      <c r="Q140" s="20">
        <f t="shared" si="108"/>
        <v>525.04382649327385</v>
      </c>
      <c r="R140" s="59">
        <f t="shared" si="109"/>
        <v>818.37715982660711</v>
      </c>
      <c r="S140" s="59">
        <f ca="1">AVERAGE(OFFSET($R$3,0,0,'Données projet'!$E$9+1,1))-AVERAGE(OFFSET($H$3,0,0,'Données projet'!$E$9+1,1))</f>
        <v>371.7282125501186</v>
      </c>
      <c r="T140" s="59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41.66673210998011</v>
      </c>
      <c r="AA140" s="21">
        <f>EXP(-LN(2)/25)*AA139+(1-EXP(-LN(2)/25))/(LN(2)/25)*Calculateur!V140*Calculateur!X140*VLOOKUP('Données projet'!$B$9,Paramètres!$A$1:$I$89,3,0)*0.475*44/12</f>
        <v>1.5437752112945915</v>
      </c>
      <c r="AB140" s="21">
        <f>EXP(-LN(2)/2)*AB139+(1-EXP(-LN(2)/2))/(LN(2)/2)*V140*Y140*VLOOKUP('Données projet'!$B$9,Paramètres!$A$1:$I$89,3,0)*0.475*44/12</f>
        <v>2.9585616499182301E-3</v>
      </c>
      <c r="AC140" s="22">
        <f t="shared" si="111"/>
        <v>43.213465882924623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1.7053025658242404E-13</v>
      </c>
      <c r="AJ140" s="13">
        <f>AI140*VLOOKUP('Données projet'!$B$10,Paramètres!$A$1:$I$89,3,0)*VLOOKUP('Données projet'!$B$10,Paramètres!$A$1:$I$89,5,0)</f>
        <v>7.9808160080574461E-14</v>
      </c>
      <c r="AK140" s="13">
        <f t="shared" si="143"/>
        <v>1.2308384591775343E-12</v>
      </c>
      <c r="AL140" s="20">
        <f t="shared" si="112"/>
        <v>2.282709528541206E-12</v>
      </c>
      <c r="AM140" s="59">
        <f t="shared" si="113"/>
        <v>293.33333333333559</v>
      </c>
      <c r="AN140" s="59">
        <f ca="1">AVERAGE(OFFSET($AM$3,0,0,'Données projet'!$E$10+1,1))-AVERAGE(OFFSET($H$3,0,0,'Données projet'!$E$10+1,1))</f>
        <v>218.32525311070435</v>
      </c>
      <c r="AO140" s="59">
        <f t="shared" si="144"/>
        <v>275.36315264099204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18.979091439642623</v>
      </c>
      <c r="AV140" s="21">
        <f>EXP(-LN(2)/25)*AV139+(1-EXP(-LN(2)/25))/(LN(2)/25)*Calculateur!AQ140*Calculateur!AS140*VLOOKUP('Données projet'!$B$10,Paramètres!$A$1:$I$89,3,0)*0.475*44/12</f>
        <v>4.451525505432449</v>
      </c>
      <c r="AW140" s="21">
        <f>EXP(-LN(2)/2)*AW139+(1-EXP(-LN(2)/2))/(LN(2)/2)*AQ140*AT140*VLOOKUP('Données projet'!$B$10,Paramètres!$A$1:$I$89,3,0)*0.475*44/12</f>
        <v>1.6787492044958658E-10</v>
      </c>
      <c r="AX140" s="21">
        <f t="shared" si="114"/>
        <v>23.430616945242949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343</v>
      </c>
      <c r="BE140" s="13">
        <f>BD140*VLOOKUP('Données projet'!$B$11,Paramètres!$A$1:$I$89,3,0)*VLOOKUP('Données projet'!$B$11,Paramètres!$A$1:$I$89,5,0)</f>
        <v>326.39879999999999</v>
      </c>
      <c r="BF140" s="13">
        <f t="shared" si="145"/>
        <v>76.683210401884097</v>
      </c>
      <c r="BG140" s="20">
        <f t="shared" si="115"/>
        <v>702.03450144994804</v>
      </c>
      <c r="BH140" s="59">
        <f t="shared" si="116"/>
        <v>995.3678347832813</v>
      </c>
      <c r="BI140" s="59">
        <f ca="1">AVERAGE(OFFSET($BH$3,0,0,'Données projet'!$E$11+1,1))-AVERAGE(OFFSET($H$3,0,0,'Données projet'!$E$11+1,1))</f>
        <v>446.62872871405051</v>
      </c>
      <c r="BJ140" s="59">
        <f t="shared" si="146"/>
        <v>471.28934889691658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15.786391056076161</v>
      </c>
      <c r="BQ140" s="21">
        <f>EXP(-LN(2)/25)*BQ139+(1-EXP(-LN(2)/25))/(LN(2)/25)*Calculateur!BL140*Calculateur!BN140*VLOOKUP('Données projet'!$B$11,Paramètres!$A$1:$I$89,3,0)*0.475*44/12</f>
        <v>0.52460004017521089</v>
      </c>
      <c r="BR140" s="21">
        <f>EXP(-LN(2)/2)*BR139+(1-EXP(-LN(2)/2))/(LN(2)/2)*BL140*BO140*VLOOKUP('Données projet'!$B$11,Paramètres!$A$1:$I$89,3,0)*0.475*44/12</f>
        <v>1.4104635829604099E-10</v>
      </c>
      <c r="BS140" s="22">
        <f t="shared" si="117"/>
        <v>16.310991096392417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991.00000000000011</v>
      </c>
      <c r="BZ140" s="13">
        <f>BY140*VLOOKUP('Données projet'!$B$12,Paramètres!$A$1:$I$89,3,0)*VLOOKUP('Données projet'!$B$12,Paramètres!$A$1:$I$89,5,0)</f>
        <v>438.02200000000011</v>
      </c>
      <c r="CA140" s="13">
        <f t="shared" si="147"/>
        <v>99.443834741543355</v>
      </c>
      <c r="CB140" s="20">
        <f t="shared" si="118"/>
        <v>936.08632884152132</v>
      </c>
      <c r="CC140" s="59">
        <f t="shared" si="119"/>
        <v>1229.4196621748547</v>
      </c>
      <c r="CD140" s="59">
        <f ca="1">AVERAGE(OFFSET($CC$3,0,0,'Données projet'!$E$12+1,1))-AVERAGE(OFFSET($H$3,0,0,'Données projet'!$E$12+1,1))</f>
        <v>534.99316143569899</v>
      </c>
      <c r="CE140" s="59">
        <f t="shared" si="148"/>
        <v>449.56965858934262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22.676399452439103</v>
      </c>
      <c r="CL140" s="21">
        <f>EXP(-LN(2)/25)*CL139+(1-EXP(-LN(2)/25))/(LN(2)/25)*Calculateur!CG140*Calculateur!CI140*VLOOKUP('Données projet'!$B$12,Paramètres!$A$1:$I$89,3,0)*0.475*44/12</f>
        <v>6.5973659183778564</v>
      </c>
      <c r="CM140" s="21">
        <f>EXP(-LN(2)/2)*CM139+(1-EXP(-LN(2)/2))/(LN(2)/2)*CG140*CJ140*VLOOKUP('Données projet'!$B$12,Paramètres!$A$1:$I$89,3,0)*0.475*44/12</f>
        <v>7.1814445858808824E-9</v>
      </c>
      <c r="CN140" s="22">
        <f t="shared" si="120"/>
        <v>29.273765377998405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251.00000000000006</v>
      </c>
      <c r="CU140" s="17">
        <f>CT140*VLOOKUP('Données projet'!$B$13,Paramètres!$A$1:$I$89,3,0)*VLOOKUP('Données projet'!$B$13,Paramètres!$A$1:$I$89,5,0)</f>
        <v>285.83880000000011</v>
      </c>
      <c r="CV140" s="13">
        <f t="shared" si="149"/>
        <v>68.199429147498265</v>
      </c>
      <c r="CW140" s="20">
        <f t="shared" si="121"/>
        <v>616.61658243189299</v>
      </c>
      <c r="CX140" s="59">
        <f t="shared" si="122"/>
        <v>909.94991576522625</v>
      </c>
      <c r="CY140" s="59">
        <f ca="1">AVERAGE(OFFSET($CX$3,0,0,'Données projet'!$E$13+1,1))-AVERAGE(OFFSET($H$3,0,0,'Données projet'!$E$13+1,1))</f>
        <v>389.89050053480827</v>
      </c>
      <c r="CZ140" s="59">
        <f t="shared" si="150"/>
        <v>216.40816051909616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9.7798120669870361</v>
      </c>
      <c r="DG140" s="21">
        <f>EXP(-LN(2)/25)*DG139+(1-EXP(-LN(2)/25))/(LN(2)/25)*Calculateur!DB140*Calculateur!DD140*VLOOKUP('Données projet'!$B$13,Paramètres!$A$1:$I$89,3,0)*0.475*44/12</f>
        <v>0.89261927879830116</v>
      </c>
      <c r="DH140" s="21">
        <f>EXP(-LN(2)/2)*DH139+(1-EXP(-LN(2)/2))/(LN(2)/2)*DB140*DE140*VLOOKUP('Données projet'!$B$13,Paramètres!$A$1:$I$89,3,0)*0.475*44/12</f>
        <v>1.7316966503629922E-3</v>
      </c>
      <c r="DI140" s="22">
        <f t="shared" si="123"/>
        <v>10.674163042435701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268.00000000000011</v>
      </c>
      <c r="O141" s="13">
        <f>N141*VLOOKUP('Données projet'!$B$9,Paramètres!$A$1:$I$89,3,0)*VLOOKUP('Données projet'!$B$9,Paramètres!$A$1:$I$89,5,0)</f>
        <v>242.48640000000009</v>
      </c>
      <c r="P141" s="13">
        <f t="shared" si="141"/>
        <v>58.974170235372476</v>
      </c>
      <c r="Q141" s="20">
        <f t="shared" si="108"/>
        <v>525.04382649327385</v>
      </c>
      <c r="R141" s="59">
        <f t="shared" si="109"/>
        <v>818.37715982660711</v>
      </c>
      <c r="S141" s="59">
        <f ca="1">AVERAGE(OFFSET($R$3,0,0,'Données projet'!$E$9+1,1))-AVERAGE(OFFSET($H$3,0,0,'Données projet'!$E$9+1,1))</f>
        <v>371.7282125501186</v>
      </c>
      <c r="T141" s="59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40.84967290750054</v>
      </c>
      <c r="AA141" s="21">
        <f>EXP(-LN(2)/25)*AA140+(1-EXP(-LN(2)/25))/(LN(2)/25)*Calculateur!V141*Calculateur!X141*VLOOKUP('Données projet'!$B$9,Paramètres!$A$1:$I$89,3,0)*0.475*44/12</f>
        <v>1.5015605969581309</v>
      </c>
      <c r="AB141" s="21">
        <f>EXP(-LN(2)/2)*AB140+(1-EXP(-LN(2)/2))/(LN(2)/2)*V141*Y141*VLOOKUP('Données projet'!$B$9,Paramètres!$A$1:$I$89,3,0)*0.475*44/12</f>
        <v>2.0920190052156409E-3</v>
      </c>
      <c r="AC141" s="22">
        <f t="shared" si="111"/>
        <v>42.353325523463887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1.7053025658242404E-13</v>
      </c>
      <c r="AJ141" s="13">
        <f>AI141*VLOOKUP('Données projet'!$B$10,Paramètres!$A$1:$I$89,3,0)*VLOOKUP('Données projet'!$B$10,Paramètres!$A$1:$I$89,5,0)</f>
        <v>7.9808160080574461E-14</v>
      </c>
      <c r="AK141" s="13">
        <f t="shared" si="143"/>
        <v>1.2308384591775343E-12</v>
      </c>
      <c r="AL141" s="20">
        <f t="shared" si="112"/>
        <v>2.282709528541206E-12</v>
      </c>
      <c r="AM141" s="59">
        <f t="shared" si="113"/>
        <v>293.33333333333559</v>
      </c>
      <c r="AN141" s="59">
        <f ca="1">AVERAGE(OFFSET($AM$3,0,0,'Données projet'!$E$10+1,1))-AVERAGE(OFFSET($H$3,0,0,'Données projet'!$E$10+1,1))</f>
        <v>218.32525311070435</v>
      </c>
      <c r="AO141" s="59">
        <f t="shared" si="144"/>
        <v>275.36315264099204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18.606923032613963</v>
      </c>
      <c r="AV141" s="21">
        <f>EXP(-LN(2)/25)*AV140+(1-EXP(-LN(2)/25))/(LN(2)/25)*Calculateur!AQ141*Calculateur!AS141*VLOOKUP('Données projet'!$B$10,Paramètres!$A$1:$I$89,3,0)*0.475*44/12</f>
        <v>4.3297983063908463</v>
      </c>
      <c r="AW141" s="21">
        <f>EXP(-LN(2)/2)*AW140+(1-EXP(-LN(2)/2))/(LN(2)/2)*AQ141*AT141*VLOOKUP('Données projet'!$B$10,Paramètres!$A$1:$I$89,3,0)*0.475*44/12</f>
        <v>1.1870549464105489E-10</v>
      </c>
      <c r="AX141" s="21">
        <f t="shared" si="114"/>
        <v>22.936721339123515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343</v>
      </c>
      <c r="BE141" s="13">
        <f>BD141*VLOOKUP('Données projet'!$B$11,Paramètres!$A$1:$I$89,3,0)*VLOOKUP('Données projet'!$B$11,Paramètres!$A$1:$I$89,5,0)</f>
        <v>326.39879999999999</v>
      </c>
      <c r="BF141" s="13">
        <f t="shared" si="145"/>
        <v>76.683210401884097</v>
      </c>
      <c r="BG141" s="20">
        <f t="shared" si="115"/>
        <v>702.03450144994804</v>
      </c>
      <c r="BH141" s="59">
        <f t="shared" si="116"/>
        <v>995.3678347832813</v>
      </c>
      <c r="BI141" s="59">
        <f ca="1">AVERAGE(OFFSET($BH$3,0,0,'Données projet'!$E$11+1,1))-AVERAGE(OFFSET($H$3,0,0,'Données projet'!$E$11+1,1))</f>
        <v>446.62872871405051</v>
      </c>
      <c r="BJ141" s="59">
        <f t="shared" si="146"/>
        <v>471.28934889691658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15.476829556214291</v>
      </c>
      <c r="BQ141" s="21">
        <f>EXP(-LN(2)/25)*BQ140+(1-EXP(-LN(2)/25))/(LN(2)/25)*Calculateur!BL141*Calculateur!BN141*VLOOKUP('Données projet'!$B$11,Paramètres!$A$1:$I$89,3,0)*0.475*44/12</f>
        <v>0.51025482448910264</v>
      </c>
      <c r="BR141" s="21">
        <f>EXP(-LN(2)/2)*BR140+(1-EXP(-LN(2)/2))/(LN(2)/2)*BL141*BO141*VLOOKUP('Données projet'!$B$11,Paramètres!$A$1:$I$89,3,0)*0.475*44/12</f>
        <v>9.9734836412798036E-11</v>
      </c>
      <c r="BS141" s="22">
        <f t="shared" si="117"/>
        <v>15.987084380803129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991.00000000000011</v>
      </c>
      <c r="BZ141" s="13">
        <f>BY141*VLOOKUP('Données projet'!$B$12,Paramètres!$A$1:$I$89,3,0)*VLOOKUP('Données projet'!$B$12,Paramètres!$A$1:$I$89,5,0)</f>
        <v>438.02200000000011</v>
      </c>
      <c r="CA141" s="13">
        <f t="shared" si="147"/>
        <v>99.443834741543355</v>
      </c>
      <c r="CB141" s="20">
        <f t="shared" si="118"/>
        <v>936.08632884152132</v>
      </c>
      <c r="CC141" s="59">
        <f t="shared" si="119"/>
        <v>1229.4196621748547</v>
      </c>
      <c r="CD141" s="59">
        <f ca="1">AVERAGE(OFFSET($CC$3,0,0,'Données projet'!$E$12+1,1))-AVERAGE(OFFSET($H$3,0,0,'Données projet'!$E$12+1,1))</f>
        <v>534.99316143569899</v>
      </c>
      <c r="CE141" s="59">
        <f t="shared" si="148"/>
        <v>449.56965858934262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22.231729090414717</v>
      </c>
      <c r="CL141" s="21">
        <f>EXP(-LN(2)/25)*CL140+(1-EXP(-LN(2)/25))/(LN(2)/25)*Calculateur!CG141*Calculateur!CI141*VLOOKUP('Données projet'!$B$12,Paramètres!$A$1:$I$89,3,0)*0.475*44/12</f>
        <v>6.4169606003994186</v>
      </c>
      <c r="CM141" s="21">
        <f>EXP(-LN(2)/2)*CM140+(1-EXP(-LN(2)/2))/(LN(2)/2)*CG141*CJ141*VLOOKUP('Données projet'!$B$12,Paramètres!$A$1:$I$89,3,0)*0.475*44/12</f>
        <v>5.0780481653917902E-9</v>
      </c>
      <c r="CN141" s="22">
        <f t="shared" si="120"/>
        <v>28.648689695892184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251.00000000000006</v>
      </c>
      <c r="CU141" s="17">
        <f>CT141*VLOOKUP('Données projet'!$B$13,Paramètres!$A$1:$I$89,3,0)*VLOOKUP('Données projet'!$B$13,Paramètres!$A$1:$I$89,5,0)</f>
        <v>285.83880000000011</v>
      </c>
      <c r="CV141" s="13">
        <f t="shared" si="149"/>
        <v>68.199429147498265</v>
      </c>
      <c r="CW141" s="20">
        <f t="shared" si="121"/>
        <v>616.61658243189299</v>
      </c>
      <c r="CX141" s="59">
        <f t="shared" si="122"/>
        <v>909.94991576522625</v>
      </c>
      <c r="CY141" s="59">
        <f ca="1">AVERAGE(OFFSET($CX$3,0,0,'Données projet'!$E$13+1,1))-AVERAGE(OFFSET($H$3,0,0,'Données projet'!$E$13+1,1))</f>
        <v>389.89050053480827</v>
      </c>
      <c r="CZ141" s="59">
        <f t="shared" si="150"/>
        <v>216.40816051909616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9.5880359174497762</v>
      </c>
      <c r="DG141" s="21">
        <f>EXP(-LN(2)/25)*DG140+(1-EXP(-LN(2)/25))/(LN(2)/25)*Calculateur!DB141*Calculateur!DD141*VLOOKUP('Données projet'!$B$13,Paramètres!$A$1:$I$89,3,0)*0.475*44/12</f>
        <v>0.86821055767875388</v>
      </c>
      <c r="DH141" s="21">
        <f>EXP(-LN(2)/2)*DH140+(1-EXP(-LN(2)/2))/(LN(2)/2)*DB141*DE141*VLOOKUP('Données projet'!$B$13,Paramètres!$A$1:$I$89,3,0)*0.475*44/12</f>
        <v>1.2244944444297016E-3</v>
      </c>
      <c r="DI141" s="22">
        <f t="shared" si="123"/>
        <v>10.45747096957296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268.00000000000011</v>
      </c>
      <c r="O142" s="13">
        <f>N142*VLOOKUP('Données projet'!$B$9,Paramètres!$A$1:$I$89,3,0)*VLOOKUP('Données projet'!$B$9,Paramètres!$A$1:$I$89,5,0)</f>
        <v>242.48640000000009</v>
      </c>
      <c r="P142" s="13">
        <f t="shared" si="141"/>
        <v>58.974170235372476</v>
      </c>
      <c r="Q142" s="20">
        <f t="shared" si="108"/>
        <v>525.04382649327385</v>
      </c>
      <c r="R142" s="59">
        <f t="shared" si="109"/>
        <v>818.37715982660711</v>
      </c>
      <c r="S142" s="59">
        <f ca="1">AVERAGE(OFFSET($R$3,0,0,'Données projet'!$E$9+1,1))-AVERAGE(OFFSET($H$3,0,0,'Données projet'!$E$9+1,1))</f>
        <v>371.7282125501186</v>
      </c>
      <c r="T142" s="59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40.048635737624693</v>
      </c>
      <c r="AA142" s="21">
        <f>EXP(-LN(2)/25)*AA141+(1-EXP(-LN(2)/25))/(LN(2)/25)*Calculateur!V142*Calculateur!X142*VLOOKUP('Données projet'!$B$9,Paramètres!$A$1:$I$89,3,0)*0.475*44/12</f>
        <v>1.4605003434706709</v>
      </c>
      <c r="AB142" s="21">
        <f>EXP(-LN(2)/2)*AB141+(1-EXP(-LN(2)/2))/(LN(2)/2)*V142*Y142*VLOOKUP('Données projet'!$B$9,Paramètres!$A$1:$I$89,3,0)*0.475*44/12</f>
        <v>1.479280824959115E-3</v>
      </c>
      <c r="AC142" s="22">
        <f t="shared" si="111"/>
        <v>41.510615361920323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1.7053025658242404E-13</v>
      </c>
      <c r="AJ142" s="13">
        <f>AI142*VLOOKUP('Données projet'!$B$10,Paramètres!$A$1:$I$89,3,0)*VLOOKUP('Données projet'!$B$10,Paramètres!$A$1:$I$89,5,0)</f>
        <v>7.9808160080574461E-14</v>
      </c>
      <c r="AK142" s="13">
        <f t="shared" si="143"/>
        <v>1.2308384591775343E-12</v>
      </c>
      <c r="AL142" s="20">
        <f t="shared" si="112"/>
        <v>2.282709528541206E-12</v>
      </c>
      <c r="AM142" s="59">
        <f t="shared" si="113"/>
        <v>293.33333333333559</v>
      </c>
      <c r="AN142" s="59">
        <f ca="1">AVERAGE(OFFSET($AM$3,0,0,'Données projet'!$E$10+1,1))-AVERAGE(OFFSET($H$3,0,0,'Données projet'!$E$10+1,1))</f>
        <v>218.32525311070435</v>
      </c>
      <c r="AO142" s="59">
        <f t="shared" si="144"/>
        <v>275.36315264099204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18.242052621046824</v>
      </c>
      <c r="AV142" s="21">
        <f>EXP(-LN(2)/25)*AV141+(1-EXP(-LN(2)/25))/(LN(2)/25)*Calculateur!AQ142*Calculateur!AS142*VLOOKUP('Données projet'!$B$10,Paramètres!$A$1:$I$89,3,0)*0.475*44/12</f>
        <v>4.2113997440083919</v>
      </c>
      <c r="AW142" s="21">
        <f>EXP(-LN(2)/2)*AW141+(1-EXP(-LN(2)/2))/(LN(2)/2)*AQ142*AT142*VLOOKUP('Données projet'!$B$10,Paramètres!$A$1:$I$89,3,0)*0.475*44/12</f>
        <v>8.3937460224793289E-11</v>
      </c>
      <c r="AX142" s="21">
        <f t="shared" si="114"/>
        <v>22.453452365139153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343</v>
      </c>
      <c r="BE142" s="13">
        <f>BD142*VLOOKUP('Données projet'!$B$11,Paramètres!$A$1:$I$89,3,0)*VLOOKUP('Données projet'!$B$11,Paramètres!$A$1:$I$89,5,0)</f>
        <v>326.39879999999999</v>
      </c>
      <c r="BF142" s="13">
        <f t="shared" si="145"/>
        <v>76.683210401884097</v>
      </c>
      <c r="BG142" s="20">
        <f t="shared" si="115"/>
        <v>702.03450144994804</v>
      </c>
      <c r="BH142" s="59">
        <f t="shared" si="116"/>
        <v>995.3678347832813</v>
      </c>
      <c r="BI142" s="59">
        <f ca="1">AVERAGE(OFFSET($BH$3,0,0,'Données projet'!$E$11+1,1))-AVERAGE(OFFSET($H$3,0,0,'Données projet'!$E$11+1,1))</f>
        <v>446.62872871405051</v>
      </c>
      <c r="BJ142" s="59">
        <f t="shared" si="146"/>
        <v>471.28934889691658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15.173338368550843</v>
      </c>
      <c r="BQ142" s="21">
        <f>EXP(-LN(2)/25)*BQ141+(1-EXP(-LN(2)/25))/(LN(2)/25)*Calculateur!BL142*Calculateur!BN142*VLOOKUP('Données projet'!$B$11,Paramètres!$A$1:$I$89,3,0)*0.475*44/12</f>
        <v>0.49630187948031312</v>
      </c>
      <c r="BR142" s="21">
        <f>EXP(-LN(2)/2)*BR141+(1-EXP(-LN(2)/2))/(LN(2)/2)*BL142*BO142*VLOOKUP('Données projet'!$B$11,Paramètres!$A$1:$I$89,3,0)*0.475*44/12</f>
        <v>7.0523179148020493E-11</v>
      </c>
      <c r="BS142" s="22">
        <f t="shared" si="117"/>
        <v>15.669640248101679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991.00000000000011</v>
      </c>
      <c r="BZ142" s="13">
        <f>BY142*VLOOKUP('Données projet'!$B$12,Paramètres!$A$1:$I$89,3,0)*VLOOKUP('Données projet'!$B$12,Paramètres!$A$1:$I$89,5,0)</f>
        <v>438.02200000000011</v>
      </c>
      <c r="CA142" s="13">
        <f t="shared" si="147"/>
        <v>99.443834741543355</v>
      </c>
      <c r="CB142" s="20">
        <f t="shared" si="118"/>
        <v>936.08632884152132</v>
      </c>
      <c r="CC142" s="59">
        <f t="shared" si="119"/>
        <v>1229.4196621748547</v>
      </c>
      <c r="CD142" s="59">
        <f ca="1">AVERAGE(OFFSET($CC$3,0,0,'Données projet'!$E$12+1,1))-AVERAGE(OFFSET($H$3,0,0,'Données projet'!$E$12+1,1))</f>
        <v>534.99316143569899</v>
      </c>
      <c r="CE142" s="59">
        <f t="shared" si="148"/>
        <v>449.56965858934262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21.795778442967489</v>
      </c>
      <c r="CL142" s="21">
        <f>EXP(-LN(2)/25)*CL141+(1-EXP(-LN(2)/25))/(LN(2)/25)*Calculateur!CG142*Calculateur!CI142*VLOOKUP('Données projet'!$B$12,Paramètres!$A$1:$I$89,3,0)*0.475*44/12</f>
        <v>6.2414884753282047</v>
      </c>
      <c r="CM142" s="21">
        <f>EXP(-LN(2)/2)*CM141+(1-EXP(-LN(2)/2))/(LN(2)/2)*CG142*CJ142*VLOOKUP('Données projet'!$B$12,Paramètres!$A$1:$I$89,3,0)*0.475*44/12</f>
        <v>3.590722292940442E-9</v>
      </c>
      <c r="CN142" s="22">
        <f t="shared" si="120"/>
        <v>28.037266921886413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251.00000000000006</v>
      </c>
      <c r="CU142" s="17">
        <f>CT142*VLOOKUP('Données projet'!$B$13,Paramètres!$A$1:$I$89,3,0)*VLOOKUP('Données projet'!$B$13,Paramètres!$A$1:$I$89,5,0)</f>
        <v>285.83880000000011</v>
      </c>
      <c r="CV142" s="13">
        <f t="shared" si="149"/>
        <v>68.199429147498265</v>
      </c>
      <c r="CW142" s="20">
        <f t="shared" si="121"/>
        <v>616.61658243189299</v>
      </c>
      <c r="CX142" s="59">
        <f t="shared" si="122"/>
        <v>909.94991576522625</v>
      </c>
      <c r="CY142" s="59">
        <f ca="1">AVERAGE(OFFSET($CX$3,0,0,'Données projet'!$E$13+1,1))-AVERAGE(OFFSET($H$3,0,0,'Données projet'!$E$13+1,1))</f>
        <v>389.89050053480827</v>
      </c>
      <c r="CZ142" s="59">
        <f t="shared" si="150"/>
        <v>216.40816051909616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9.4000203812330412</v>
      </c>
      <c r="DG142" s="21">
        <f>EXP(-LN(2)/25)*DG141+(1-EXP(-LN(2)/25))/(LN(2)/25)*Calculateur!DB142*Calculateur!DD142*VLOOKUP('Données projet'!$B$13,Paramètres!$A$1:$I$89,3,0)*0.475*44/12</f>
        <v>0.8444692943218195</v>
      </c>
      <c r="DH142" s="21">
        <f>EXP(-LN(2)/2)*DH141+(1-EXP(-LN(2)/2))/(LN(2)/2)*DB142*DE142*VLOOKUP('Données projet'!$B$13,Paramètres!$A$1:$I$89,3,0)*0.475*44/12</f>
        <v>8.658483251814961E-4</v>
      </c>
      <c r="DI142" s="22">
        <f t="shared" si="123"/>
        <v>10.245355523880042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268.00000000000011</v>
      </c>
      <c r="O143" s="13">
        <f>N143*VLOOKUP('Données projet'!$B$9,Paramètres!$A$1:$I$89,3,0)*VLOOKUP('Données projet'!$B$9,Paramètres!$A$1:$I$89,5,0)</f>
        <v>242.48640000000009</v>
      </c>
      <c r="P143" s="13">
        <f t="shared" si="141"/>
        <v>58.974170235372476</v>
      </c>
      <c r="Q143" s="20">
        <f t="shared" si="108"/>
        <v>525.04382649327385</v>
      </c>
      <c r="R143" s="59">
        <f t="shared" si="109"/>
        <v>818.37715982660711</v>
      </c>
      <c r="S143" s="59">
        <f ca="1">AVERAGE(OFFSET($R$3,0,0,'Données projet'!$E$9+1,1))-AVERAGE(OFFSET($H$3,0,0,'Données projet'!$E$9+1,1))</f>
        <v>371.7282125501186</v>
      </c>
      <c r="T143" s="59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39.263306418065682</v>
      </c>
      <c r="AA143" s="21">
        <f>EXP(-LN(2)/25)*AA142+(1-EXP(-LN(2)/25))/(LN(2)/25)*Calculateur!V143*Calculateur!X143*VLOOKUP('Données projet'!$B$9,Paramètres!$A$1:$I$89,3,0)*0.475*44/12</f>
        <v>1.4205628847740903</v>
      </c>
      <c r="AB143" s="21">
        <f>EXP(-LN(2)/2)*AB142+(1-EXP(-LN(2)/2))/(LN(2)/2)*V143*Y143*VLOOKUP('Données projet'!$B$9,Paramètres!$A$1:$I$89,3,0)*0.475*44/12</f>
        <v>1.0460095026078205E-3</v>
      </c>
      <c r="AC143" s="22">
        <f t="shared" si="111"/>
        <v>40.684915312342383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1.7053025658242404E-13</v>
      </c>
      <c r="AJ143" s="13">
        <f>AI143*VLOOKUP('Données projet'!$B$10,Paramètres!$A$1:$I$89,3,0)*VLOOKUP('Données projet'!$B$10,Paramètres!$A$1:$I$89,5,0)</f>
        <v>7.9808160080574461E-14</v>
      </c>
      <c r="AK143" s="13">
        <f t="shared" si="143"/>
        <v>1.2308384591775343E-12</v>
      </c>
      <c r="AL143" s="20">
        <f t="shared" si="112"/>
        <v>2.282709528541206E-12</v>
      </c>
      <c r="AM143" s="59">
        <f t="shared" si="113"/>
        <v>293.33333333333559</v>
      </c>
      <c r="AN143" s="59">
        <f ca="1">AVERAGE(OFFSET($AM$3,0,0,'Données projet'!$E$10+1,1))-AVERAGE(OFFSET($H$3,0,0,'Données projet'!$E$10+1,1))</f>
        <v>218.32525311070435</v>
      </c>
      <c r="AO143" s="59">
        <f t="shared" si="144"/>
        <v>275.36315264099204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17.88433709570154</v>
      </c>
      <c r="AV143" s="21">
        <f>EXP(-LN(2)/25)*AV142+(1-EXP(-LN(2)/25))/(LN(2)/25)*Calculateur!AQ143*Calculateur!AS143*VLOOKUP('Données projet'!$B$10,Paramètres!$A$1:$I$89,3,0)*0.475*44/12</f>
        <v>4.0962387965405949</v>
      </c>
      <c r="AW143" s="21">
        <f>EXP(-LN(2)/2)*AW142+(1-EXP(-LN(2)/2))/(LN(2)/2)*AQ143*AT143*VLOOKUP('Données projet'!$B$10,Paramètres!$A$1:$I$89,3,0)*0.475*44/12</f>
        <v>5.9352747320527443E-11</v>
      </c>
      <c r="AX143" s="21">
        <f t="shared" si="114"/>
        <v>21.980575892301488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343</v>
      </c>
      <c r="BE143" s="13">
        <f>BD143*VLOOKUP('Données projet'!$B$11,Paramètres!$A$1:$I$89,3,0)*VLOOKUP('Données projet'!$B$11,Paramètres!$A$1:$I$89,5,0)</f>
        <v>326.39879999999999</v>
      </c>
      <c r="BF143" s="13">
        <f t="shared" si="145"/>
        <v>76.683210401884097</v>
      </c>
      <c r="BG143" s="20">
        <f t="shared" si="115"/>
        <v>702.03450144994804</v>
      </c>
      <c r="BH143" s="59">
        <f t="shared" si="116"/>
        <v>995.3678347832813</v>
      </c>
      <c r="BI143" s="59">
        <f ca="1">AVERAGE(OFFSET($BH$3,0,0,'Données projet'!$E$11+1,1))-AVERAGE(OFFSET($H$3,0,0,'Données projet'!$E$11+1,1))</f>
        <v>446.62872871405051</v>
      </c>
      <c r="BJ143" s="59">
        <f t="shared" si="146"/>
        <v>471.28934889691658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14.875798457966127</v>
      </c>
      <c r="BQ143" s="21">
        <f>EXP(-LN(2)/25)*BQ142+(1-EXP(-LN(2)/25))/(LN(2)/25)*Calculateur!BL143*Calculateur!BN143*VLOOKUP('Données projet'!$B$11,Paramètres!$A$1:$I$89,3,0)*0.475*44/12</f>
        <v>0.48273047848654244</v>
      </c>
      <c r="BR143" s="21">
        <f>EXP(-LN(2)/2)*BR142+(1-EXP(-LN(2)/2))/(LN(2)/2)*BL143*BO143*VLOOKUP('Données projet'!$B$11,Paramètres!$A$1:$I$89,3,0)*0.475*44/12</f>
        <v>4.9867418206399018E-11</v>
      </c>
      <c r="BS143" s="22">
        <f t="shared" si="117"/>
        <v>15.358528936502537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991.00000000000011</v>
      </c>
      <c r="BZ143" s="13">
        <f>BY143*VLOOKUP('Données projet'!$B$12,Paramètres!$A$1:$I$89,3,0)*VLOOKUP('Données projet'!$B$12,Paramètres!$A$1:$I$89,5,0)</f>
        <v>438.02200000000011</v>
      </c>
      <c r="CA143" s="13">
        <f t="shared" si="147"/>
        <v>99.443834741543355</v>
      </c>
      <c r="CB143" s="20">
        <f t="shared" si="118"/>
        <v>936.08632884152132</v>
      </c>
      <c r="CC143" s="59">
        <f t="shared" si="119"/>
        <v>1229.4196621748547</v>
      </c>
      <c r="CD143" s="59">
        <f ca="1">AVERAGE(OFFSET($CC$3,0,0,'Données projet'!$E$12+1,1))-AVERAGE(OFFSET($H$3,0,0,'Données projet'!$E$12+1,1))</f>
        <v>534.99316143569899</v>
      </c>
      <c r="CE143" s="59">
        <f t="shared" si="148"/>
        <v>449.56965858934262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21.368376521813062</v>
      </c>
      <c r="CL143" s="21">
        <f>EXP(-LN(2)/25)*CL142+(1-EXP(-LN(2)/25))/(LN(2)/25)*Calculateur!CG143*Calculateur!CI143*VLOOKUP('Données projet'!$B$12,Paramètres!$A$1:$I$89,3,0)*0.475*44/12</f>
        <v>6.0708146447447415</v>
      </c>
      <c r="CM143" s="21">
        <f>EXP(-LN(2)/2)*CM142+(1-EXP(-LN(2)/2))/(LN(2)/2)*CG143*CJ143*VLOOKUP('Données projet'!$B$12,Paramètres!$A$1:$I$89,3,0)*0.475*44/12</f>
        <v>2.5390240826958955E-9</v>
      </c>
      <c r="CN143" s="22">
        <f t="shared" si="120"/>
        <v>27.43919116909683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251.00000000000006</v>
      </c>
      <c r="CU143" s="17">
        <f>CT143*VLOOKUP('Données projet'!$B$13,Paramètres!$A$1:$I$89,3,0)*VLOOKUP('Données projet'!$B$13,Paramètres!$A$1:$I$89,5,0)</f>
        <v>285.83880000000011</v>
      </c>
      <c r="CV143" s="13">
        <f t="shared" si="149"/>
        <v>68.199429147498265</v>
      </c>
      <c r="CW143" s="20">
        <f t="shared" si="121"/>
        <v>616.61658243189299</v>
      </c>
      <c r="CX143" s="59">
        <f t="shared" si="122"/>
        <v>909.94991576522625</v>
      </c>
      <c r="CY143" s="59">
        <f ca="1">AVERAGE(OFFSET($CX$3,0,0,'Données projet'!$E$13+1,1))-AVERAGE(OFFSET($H$3,0,0,'Données projet'!$E$13+1,1))</f>
        <v>389.89050053480827</v>
      </c>
      <c r="CZ143" s="59">
        <f t="shared" si="150"/>
        <v>216.40816051909616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9.2156917150033628</v>
      </c>
      <c r="DG143" s="21">
        <f>EXP(-LN(2)/25)*DG142+(1-EXP(-LN(2)/25))/(LN(2)/25)*Calculateur!DB143*Calculateur!DD143*VLOOKUP('Données projet'!$B$13,Paramètres!$A$1:$I$89,3,0)*0.475*44/12</f>
        <v>0.82137723705987919</v>
      </c>
      <c r="DH143" s="21">
        <f>EXP(-LN(2)/2)*DH142+(1-EXP(-LN(2)/2))/(LN(2)/2)*DB143*DE143*VLOOKUP('Données projet'!$B$13,Paramètres!$A$1:$I$89,3,0)*0.475*44/12</f>
        <v>6.122472222148508E-4</v>
      </c>
      <c r="DI143" s="22">
        <f t="shared" si="123"/>
        <v>10.037681199285457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268.00000000000011</v>
      </c>
      <c r="O144" s="13">
        <f>N144*VLOOKUP('Données projet'!$B$9,Paramètres!$A$1:$I$89,3,0)*VLOOKUP('Données projet'!$B$9,Paramètres!$A$1:$I$89,5,0)</f>
        <v>242.48640000000009</v>
      </c>
      <c r="P144" s="13">
        <f t="shared" si="141"/>
        <v>58.974170235372476</v>
      </c>
      <c r="Q144" s="20">
        <f t="shared" si="108"/>
        <v>525.04382649327385</v>
      </c>
      <c r="R144" s="59">
        <f t="shared" si="109"/>
        <v>818.37715982660711</v>
      </c>
      <c r="S144" s="59">
        <f ca="1">AVERAGE(OFFSET($R$3,0,0,'Données projet'!$E$9+1,1))-AVERAGE(OFFSET($H$3,0,0,'Données projet'!$E$9+1,1))</f>
        <v>371.7282125501186</v>
      </c>
      <c r="T144" s="59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38.493376927459636</v>
      </c>
      <c r="AA144" s="21">
        <f>EXP(-LN(2)/25)*AA143+(1-EXP(-LN(2)/25))/(LN(2)/25)*Calculateur!V144*Calculateur!X144*VLOOKUP('Données projet'!$B$9,Paramètres!$A$1:$I$89,3,0)*0.475*44/12</f>
        <v>1.3817175179857875</v>
      </c>
      <c r="AB144" s="21">
        <f>EXP(-LN(2)/2)*AB143+(1-EXP(-LN(2)/2))/(LN(2)/2)*V144*Y144*VLOOKUP('Données projet'!$B$9,Paramètres!$A$1:$I$89,3,0)*0.475*44/12</f>
        <v>7.3964041247955752E-4</v>
      </c>
      <c r="AC144" s="22">
        <f t="shared" si="111"/>
        <v>39.875834085857896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1.7053025658242404E-13</v>
      </c>
      <c r="AJ144" s="13">
        <f>AI144*VLOOKUP('Données projet'!$B$10,Paramètres!$A$1:$I$89,3,0)*VLOOKUP('Données projet'!$B$10,Paramètres!$A$1:$I$89,5,0)</f>
        <v>7.9808160080574461E-14</v>
      </c>
      <c r="AK144" s="13">
        <f t="shared" si="143"/>
        <v>1.2308384591775343E-12</v>
      </c>
      <c r="AL144" s="20">
        <f t="shared" si="112"/>
        <v>2.282709528541206E-12</v>
      </c>
      <c r="AM144" s="59">
        <f t="shared" si="113"/>
        <v>293.33333333333559</v>
      </c>
      <c r="AN144" s="59">
        <f ca="1">AVERAGE(OFFSET($AM$3,0,0,'Données projet'!$E$10+1,1))-AVERAGE(OFFSET($H$3,0,0,'Données projet'!$E$10+1,1))</f>
        <v>218.32525311070435</v>
      </c>
      <c r="AO144" s="59">
        <f t="shared" si="144"/>
        <v>275.36315264099204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17.533636153623348</v>
      </c>
      <c r="AV144" s="21">
        <f>EXP(-LN(2)/25)*AV143+(1-EXP(-LN(2)/25))/(LN(2)/25)*Calculateur!AQ144*Calculateur!AS144*VLOOKUP('Données projet'!$B$10,Paramètres!$A$1:$I$89,3,0)*0.475*44/12</f>
        <v>3.9842269312373562</v>
      </c>
      <c r="AW144" s="21">
        <f>EXP(-LN(2)/2)*AW143+(1-EXP(-LN(2)/2))/(LN(2)/2)*AQ144*AT144*VLOOKUP('Données projet'!$B$10,Paramètres!$A$1:$I$89,3,0)*0.475*44/12</f>
        <v>4.1968730112396644E-11</v>
      </c>
      <c r="AX144" s="21">
        <f t="shared" si="114"/>
        <v>21.517863084902672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343</v>
      </c>
      <c r="BE144" s="13">
        <f>BD144*VLOOKUP('Données projet'!$B$11,Paramètres!$A$1:$I$89,3,0)*VLOOKUP('Données projet'!$B$11,Paramètres!$A$1:$I$89,5,0)</f>
        <v>326.39879999999999</v>
      </c>
      <c r="BF144" s="13">
        <f t="shared" si="145"/>
        <v>76.683210401884097</v>
      </c>
      <c r="BG144" s="20">
        <f t="shared" si="115"/>
        <v>702.03450144994804</v>
      </c>
      <c r="BH144" s="59">
        <f t="shared" si="116"/>
        <v>995.3678347832813</v>
      </c>
      <c r="BI144" s="59">
        <f ca="1">AVERAGE(OFFSET($BH$3,0,0,'Données projet'!$E$11+1,1))-AVERAGE(OFFSET($H$3,0,0,'Données projet'!$E$11+1,1))</f>
        <v>446.62872871405051</v>
      </c>
      <c r="BJ144" s="59">
        <f t="shared" si="146"/>
        <v>471.28934889691658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14.584093123546552</v>
      </c>
      <c r="BQ144" s="21">
        <f>EXP(-LN(2)/25)*BQ143+(1-EXP(-LN(2)/25))/(LN(2)/25)*Calculateur!BL144*Calculateur!BN144*VLOOKUP('Données projet'!$B$11,Paramètres!$A$1:$I$89,3,0)*0.475*44/12</f>
        <v>0.46953018816663539</v>
      </c>
      <c r="BR144" s="21">
        <f>EXP(-LN(2)/2)*BR143+(1-EXP(-LN(2)/2))/(LN(2)/2)*BL144*BO144*VLOOKUP('Données projet'!$B$11,Paramètres!$A$1:$I$89,3,0)*0.475*44/12</f>
        <v>3.5261589574010246E-11</v>
      </c>
      <c r="BS144" s="22">
        <f t="shared" si="117"/>
        <v>15.053623311748449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991.00000000000011</v>
      </c>
      <c r="BZ144" s="13">
        <f>BY144*VLOOKUP('Données projet'!$B$12,Paramètres!$A$1:$I$89,3,0)*VLOOKUP('Données projet'!$B$12,Paramètres!$A$1:$I$89,5,0)</f>
        <v>438.02200000000011</v>
      </c>
      <c r="CA144" s="13">
        <f t="shared" si="147"/>
        <v>99.443834741543355</v>
      </c>
      <c r="CB144" s="20">
        <f t="shared" si="118"/>
        <v>936.08632884152132</v>
      </c>
      <c r="CC144" s="59">
        <f t="shared" si="119"/>
        <v>1229.4196621748547</v>
      </c>
      <c r="CD144" s="59">
        <f ca="1">AVERAGE(OFFSET($CC$3,0,0,'Données projet'!$E$12+1,1))-AVERAGE(OFFSET($H$3,0,0,'Données projet'!$E$12+1,1))</f>
        <v>534.99316143569899</v>
      </c>
      <c r="CE144" s="59">
        <f t="shared" si="148"/>
        <v>449.56965858934262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20.949355691643042</v>
      </c>
      <c r="CL144" s="21">
        <f>EXP(-LN(2)/25)*CL143+(1-EXP(-LN(2)/25))/(LN(2)/25)*Calculateur!CG144*Calculateur!CI144*VLOOKUP('Données projet'!$B$12,Paramètres!$A$1:$I$89,3,0)*0.475*44/12</f>
        <v>5.904807899033929</v>
      </c>
      <c r="CM144" s="21">
        <f>EXP(-LN(2)/2)*CM143+(1-EXP(-LN(2)/2))/(LN(2)/2)*CG144*CJ144*VLOOKUP('Données projet'!$B$12,Paramètres!$A$1:$I$89,3,0)*0.475*44/12</f>
        <v>1.7953611464702212E-9</v>
      </c>
      <c r="CN144" s="22">
        <f t="shared" si="120"/>
        <v>26.854163592472332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251.00000000000006</v>
      </c>
      <c r="CU144" s="17">
        <f>CT144*VLOOKUP('Données projet'!$B$13,Paramètres!$A$1:$I$89,3,0)*VLOOKUP('Données projet'!$B$13,Paramètres!$A$1:$I$89,5,0)</f>
        <v>285.83880000000011</v>
      </c>
      <c r="CV144" s="13">
        <f t="shared" si="149"/>
        <v>68.199429147498265</v>
      </c>
      <c r="CW144" s="20">
        <f t="shared" si="121"/>
        <v>616.61658243189299</v>
      </c>
      <c r="CX144" s="59">
        <f t="shared" si="122"/>
        <v>909.94991576522625</v>
      </c>
      <c r="CY144" s="59">
        <f ca="1">AVERAGE(OFFSET($CX$3,0,0,'Données projet'!$E$13+1,1))-AVERAGE(OFFSET($H$3,0,0,'Données projet'!$E$13+1,1))</f>
        <v>389.89050053480827</v>
      </c>
      <c r="CZ144" s="59">
        <f t="shared" si="150"/>
        <v>216.40816051909616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9.0349776214890642</v>
      </c>
      <c r="DG144" s="21">
        <f>EXP(-LN(2)/25)*DG143+(1-EXP(-LN(2)/25))/(LN(2)/25)*Calculateur!DB144*Calculateur!DD144*VLOOKUP('Données projet'!$B$13,Paramètres!$A$1:$I$89,3,0)*0.475*44/12</f>
        <v>0.79891663331812524</v>
      </c>
      <c r="DH144" s="21">
        <f>EXP(-LN(2)/2)*DH143+(1-EXP(-LN(2)/2))/(LN(2)/2)*DB144*DE144*VLOOKUP('Données projet'!$B$13,Paramètres!$A$1:$I$89,3,0)*0.475*44/12</f>
        <v>4.3292416259074805E-4</v>
      </c>
      <c r="DI144" s="22">
        <f t="shared" si="123"/>
        <v>9.8343271789697795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268.00000000000011</v>
      </c>
      <c r="O145" s="13">
        <f>N145*VLOOKUP('Données projet'!$B$9,Paramètres!$A$1:$I$89,3,0)*VLOOKUP('Données projet'!$B$9,Paramètres!$A$1:$I$89,5,0)</f>
        <v>242.48640000000009</v>
      </c>
      <c r="P145" s="13">
        <f t="shared" si="141"/>
        <v>58.974170235372476</v>
      </c>
      <c r="Q145" s="20">
        <f t="shared" si="108"/>
        <v>525.04382649327385</v>
      </c>
      <c r="R145" s="59">
        <f t="shared" si="109"/>
        <v>818.37715982660711</v>
      </c>
      <c r="S145" s="59">
        <f ca="1">AVERAGE(OFFSET($R$3,0,0,'Données projet'!$E$9+1,1))-AVERAGE(OFFSET($H$3,0,0,'Données projet'!$E$9+1,1))</f>
        <v>371.7282125501186</v>
      </c>
      <c r="T145" s="59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37.738545284553751</v>
      </c>
      <c r="AA145" s="21">
        <f>EXP(-LN(2)/25)*AA144+(1-EXP(-LN(2)/25))/(LN(2)/25)*Calculateur!V145*Calculateur!X145*VLOOKUP('Données projet'!$B$9,Paramètres!$A$1:$I$89,3,0)*0.475*44/12</f>
        <v>1.3439343797950998</v>
      </c>
      <c r="AB145" s="21">
        <f>EXP(-LN(2)/2)*AB144+(1-EXP(-LN(2)/2))/(LN(2)/2)*V145*Y145*VLOOKUP('Données projet'!$B$9,Paramètres!$A$1:$I$89,3,0)*0.475*44/12</f>
        <v>5.2300475130391023E-4</v>
      </c>
      <c r="AC145" s="22">
        <f t="shared" si="111"/>
        <v>39.083002669100154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1.7053025658242404E-13</v>
      </c>
      <c r="AJ145" s="13">
        <f>AI145*VLOOKUP('Données projet'!$B$10,Paramètres!$A$1:$I$89,3,0)*VLOOKUP('Données projet'!$B$10,Paramètres!$A$1:$I$89,5,0)</f>
        <v>7.9808160080574461E-14</v>
      </c>
      <c r="AK145" s="13">
        <f t="shared" si="143"/>
        <v>1.2308384591775343E-12</v>
      </c>
      <c r="AL145" s="20">
        <f t="shared" si="112"/>
        <v>2.282709528541206E-12</v>
      </c>
      <c r="AM145" s="59">
        <f t="shared" si="113"/>
        <v>293.33333333333559</v>
      </c>
      <c r="AN145" s="59">
        <f ca="1">AVERAGE(OFFSET($AM$3,0,0,'Données projet'!$E$10+1,1))-AVERAGE(OFFSET($H$3,0,0,'Données projet'!$E$10+1,1))</f>
        <v>218.32525311070435</v>
      </c>
      <c r="AO145" s="59">
        <f t="shared" si="144"/>
        <v>275.36315264099204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17.189812243112858</v>
      </c>
      <c r="AV145" s="21">
        <f>EXP(-LN(2)/25)*AV144+(1-EXP(-LN(2)/25))/(LN(2)/25)*Calculateur!AQ145*Calculateur!AS145*VLOOKUP('Données projet'!$B$10,Paramètres!$A$1:$I$89,3,0)*0.475*44/12</f>
        <v>3.8752780362812822</v>
      </c>
      <c r="AW145" s="21">
        <f>EXP(-LN(2)/2)*AW144+(1-EXP(-LN(2)/2))/(LN(2)/2)*AQ145*AT145*VLOOKUP('Données projet'!$B$10,Paramètres!$A$1:$I$89,3,0)*0.475*44/12</f>
        <v>2.9676373660263722E-11</v>
      </c>
      <c r="AX145" s="21">
        <f t="shared" si="114"/>
        <v>21.065090279423817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343</v>
      </c>
      <c r="BE145" s="13">
        <f>BD145*VLOOKUP('Données projet'!$B$11,Paramètres!$A$1:$I$89,3,0)*VLOOKUP('Données projet'!$B$11,Paramètres!$A$1:$I$89,5,0)</f>
        <v>326.39879999999999</v>
      </c>
      <c r="BF145" s="13">
        <f t="shared" si="145"/>
        <v>76.683210401884097</v>
      </c>
      <c r="BG145" s="20">
        <f t="shared" si="115"/>
        <v>702.03450144994804</v>
      </c>
      <c r="BH145" s="59">
        <f t="shared" si="116"/>
        <v>995.3678347832813</v>
      </c>
      <c r="BI145" s="59">
        <f ca="1">AVERAGE(OFFSET($BH$3,0,0,'Données projet'!$E$11+1,1))-AVERAGE(OFFSET($H$3,0,0,'Données projet'!$E$11+1,1))</f>
        <v>446.62872871405051</v>
      </c>
      <c r="BJ145" s="59">
        <f t="shared" si="146"/>
        <v>471.28934889691658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14.298107952812259</v>
      </c>
      <c r="BQ145" s="21">
        <f>EXP(-LN(2)/25)*BQ144+(1-EXP(-LN(2)/25))/(LN(2)/25)*Calculateur!BL145*Calculateur!BN145*VLOOKUP('Données projet'!$B$11,Paramètres!$A$1:$I$89,3,0)*0.475*44/12</f>
        <v>0.45669086047969926</v>
      </c>
      <c r="BR145" s="21">
        <f>EXP(-LN(2)/2)*BR144+(1-EXP(-LN(2)/2))/(LN(2)/2)*BL145*BO145*VLOOKUP('Données projet'!$B$11,Paramètres!$A$1:$I$89,3,0)*0.475*44/12</f>
        <v>2.4933709103199509E-11</v>
      </c>
      <c r="BS145" s="22">
        <f t="shared" si="117"/>
        <v>14.754798813316892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991.00000000000011</v>
      </c>
      <c r="BZ145" s="13">
        <f>BY145*VLOOKUP('Données projet'!$B$12,Paramètres!$A$1:$I$89,3,0)*VLOOKUP('Données projet'!$B$12,Paramètres!$A$1:$I$89,5,0)</f>
        <v>438.02200000000011</v>
      </c>
      <c r="CA145" s="13">
        <f t="shared" si="147"/>
        <v>99.443834741543355</v>
      </c>
      <c r="CB145" s="20">
        <f t="shared" si="118"/>
        <v>936.08632884152132</v>
      </c>
      <c r="CC145" s="59">
        <f t="shared" si="119"/>
        <v>1229.4196621748547</v>
      </c>
      <c r="CD145" s="59">
        <f ca="1">AVERAGE(OFFSET($CC$3,0,0,'Données projet'!$E$12+1,1))-AVERAGE(OFFSET($H$3,0,0,'Données projet'!$E$12+1,1))</f>
        <v>534.99316143569899</v>
      </c>
      <c r="CE145" s="59">
        <f t="shared" si="148"/>
        <v>449.56965858934262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20.538551604375186</v>
      </c>
      <c r="CL145" s="21">
        <f>EXP(-LN(2)/25)*CL144+(1-EXP(-LN(2)/25))/(LN(2)/25)*Calculateur!CG145*Calculateur!CI145*VLOOKUP('Données projet'!$B$12,Paramètres!$A$1:$I$89,3,0)*0.475*44/12</f>
        <v>5.7433406165144945</v>
      </c>
      <c r="CM145" s="21">
        <f>EXP(-LN(2)/2)*CM144+(1-EXP(-LN(2)/2))/(LN(2)/2)*CG145*CJ145*VLOOKUP('Données projet'!$B$12,Paramètres!$A$1:$I$89,3,0)*0.475*44/12</f>
        <v>1.269512041347948E-9</v>
      </c>
      <c r="CN145" s="22">
        <f t="shared" si="120"/>
        <v>26.281892222159193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251.00000000000006</v>
      </c>
      <c r="CU145" s="17">
        <f>CT145*VLOOKUP('Données projet'!$B$13,Paramètres!$A$1:$I$89,3,0)*VLOOKUP('Données projet'!$B$13,Paramètres!$A$1:$I$89,5,0)</f>
        <v>285.83880000000011</v>
      </c>
      <c r="CV145" s="13">
        <f t="shared" si="149"/>
        <v>68.199429147498265</v>
      </c>
      <c r="CW145" s="20">
        <f t="shared" si="121"/>
        <v>616.61658243189299</v>
      </c>
      <c r="CX145" s="59">
        <f t="shared" si="122"/>
        <v>909.94991576522625</v>
      </c>
      <c r="CY145" s="59">
        <f ca="1">AVERAGE(OFFSET($CX$3,0,0,'Données projet'!$E$13+1,1))-AVERAGE(OFFSET($H$3,0,0,'Données projet'!$E$13+1,1))</f>
        <v>389.89050053480827</v>
      </c>
      <c r="CZ145" s="59">
        <f t="shared" si="150"/>
        <v>216.40816051909616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8.857807221123867</v>
      </c>
      <c r="DG145" s="21">
        <f>EXP(-LN(2)/25)*DG144+(1-EXP(-LN(2)/25))/(LN(2)/25)*Calculateur!DB145*Calculateur!DD145*VLOOKUP('Données projet'!$B$13,Paramètres!$A$1:$I$89,3,0)*0.475*44/12</f>
        <v>0.77707021596684134</v>
      </c>
      <c r="DH145" s="21">
        <f>EXP(-LN(2)/2)*DH144+(1-EXP(-LN(2)/2))/(LN(2)/2)*DB145*DE145*VLOOKUP('Données projet'!$B$13,Paramètres!$A$1:$I$89,3,0)*0.475*44/12</f>
        <v>3.061236111074254E-4</v>
      </c>
      <c r="DI145" s="22">
        <f t="shared" si="123"/>
        <v>9.6351835607018153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268.00000000000011</v>
      </c>
      <c r="O146" s="13">
        <f>N146*VLOOKUP('Données projet'!$B$9,Paramètres!$A$1:$I$89,3,0)*VLOOKUP('Données projet'!$B$9,Paramètres!$A$1:$I$89,5,0)</f>
        <v>242.48640000000009</v>
      </c>
      <c r="P146" s="13">
        <f t="shared" si="141"/>
        <v>58.974170235372476</v>
      </c>
      <c r="Q146" s="20">
        <f t="shared" si="108"/>
        <v>525.04382649327385</v>
      </c>
      <c r="R146" s="59">
        <f t="shared" si="109"/>
        <v>818.37715982660711</v>
      </c>
      <c r="S146" s="59">
        <f ca="1">AVERAGE(OFFSET($R$3,0,0,'Données projet'!$E$9+1,1))-AVERAGE(OFFSET($H$3,0,0,'Données projet'!$E$9+1,1))</f>
        <v>371.7282125501186</v>
      </c>
      <c r="T146" s="59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36.998515429763415</v>
      </c>
      <c r="AA146" s="21">
        <f>EXP(-LN(2)/25)*AA145+(1-EXP(-LN(2)/25))/(LN(2)/25)*Calculateur!V146*Calculateur!X146*VLOOKUP('Données projet'!$B$9,Paramètres!$A$1:$I$89,3,0)*0.475*44/12</f>
        <v>1.3071844235051653</v>
      </c>
      <c r="AB146" s="21">
        <f>EXP(-LN(2)/2)*AB145+(1-EXP(-LN(2)/2))/(LN(2)/2)*V146*Y146*VLOOKUP('Données projet'!$B$9,Paramètres!$A$1:$I$89,3,0)*0.475*44/12</f>
        <v>3.6982020623977876E-4</v>
      </c>
      <c r="AC146" s="22">
        <f t="shared" si="111"/>
        <v>38.306069673474816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1.7053025658242404E-13</v>
      </c>
      <c r="AJ146" s="13">
        <f>AI146*VLOOKUP('Données projet'!$B$10,Paramètres!$A$1:$I$89,3,0)*VLOOKUP('Données projet'!$B$10,Paramètres!$A$1:$I$89,5,0)</f>
        <v>7.9808160080574461E-14</v>
      </c>
      <c r="AK146" s="13">
        <f t="shared" si="143"/>
        <v>1.2308384591775343E-12</v>
      </c>
      <c r="AL146" s="20">
        <f t="shared" si="112"/>
        <v>2.282709528541206E-12</v>
      </c>
      <c r="AM146" s="59">
        <f t="shared" si="113"/>
        <v>293.33333333333559</v>
      </c>
      <c r="AN146" s="59">
        <f ca="1">AVERAGE(OFFSET($AM$3,0,0,'Données projet'!$E$10+1,1))-AVERAGE(OFFSET($H$3,0,0,'Données projet'!$E$10+1,1))</f>
        <v>218.32525311070435</v>
      </c>
      <c r="AO146" s="59">
        <f t="shared" si="144"/>
        <v>275.36315264099204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16.852730509775601</v>
      </c>
      <c r="AV146" s="21">
        <f>EXP(-LN(2)/25)*AV145+(1-EXP(-LN(2)/25))/(LN(2)/25)*Calculateur!AQ146*Calculateur!AS146*VLOOKUP('Données projet'!$B$10,Paramètres!$A$1:$I$89,3,0)*0.475*44/12</f>
        <v>3.7693083545871557</v>
      </c>
      <c r="AW146" s="21">
        <f>EXP(-LN(2)/2)*AW145+(1-EXP(-LN(2)/2))/(LN(2)/2)*AQ146*AT146*VLOOKUP('Données projet'!$B$10,Paramètres!$A$1:$I$89,3,0)*0.475*44/12</f>
        <v>2.0984365056198322E-11</v>
      </c>
      <c r="AX146" s="21">
        <f t="shared" si="114"/>
        <v>20.622038864383743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343</v>
      </c>
      <c r="BE146" s="13">
        <f>BD146*VLOOKUP('Données projet'!$B$11,Paramètres!$A$1:$I$89,3,0)*VLOOKUP('Données projet'!$B$11,Paramètres!$A$1:$I$89,5,0)</f>
        <v>326.39879999999999</v>
      </c>
      <c r="BF146" s="13">
        <f t="shared" si="145"/>
        <v>76.683210401884097</v>
      </c>
      <c r="BG146" s="20">
        <f t="shared" si="115"/>
        <v>702.03450144994804</v>
      </c>
      <c r="BH146" s="59">
        <f t="shared" si="116"/>
        <v>995.3678347832813</v>
      </c>
      <c r="BI146" s="59">
        <f ca="1">AVERAGE(OFFSET($BH$3,0,0,'Données projet'!$E$11+1,1))-AVERAGE(OFFSET($H$3,0,0,'Données projet'!$E$11+1,1))</f>
        <v>446.62872871405051</v>
      </c>
      <c r="BJ146" s="59">
        <f t="shared" si="146"/>
        <v>471.28934889691658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14.017730776842336</v>
      </c>
      <c r="BQ146" s="21">
        <f>EXP(-LN(2)/25)*BQ145+(1-EXP(-LN(2)/25))/(LN(2)/25)*Calculateur!BL146*Calculateur!BN146*VLOOKUP('Données projet'!$B$11,Paramètres!$A$1:$I$89,3,0)*0.475*44/12</f>
        <v>0.44420262488355333</v>
      </c>
      <c r="BR146" s="21">
        <f>EXP(-LN(2)/2)*BR145+(1-EXP(-LN(2)/2))/(LN(2)/2)*BL146*BO146*VLOOKUP('Données projet'!$B$11,Paramètres!$A$1:$I$89,3,0)*0.475*44/12</f>
        <v>1.7630794787005123E-11</v>
      </c>
      <c r="BS146" s="22">
        <f t="shared" si="117"/>
        <v>14.46193340174352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991.00000000000011</v>
      </c>
      <c r="BZ146" s="13">
        <f>BY146*VLOOKUP('Données projet'!$B$12,Paramètres!$A$1:$I$89,3,0)*VLOOKUP('Données projet'!$B$12,Paramètres!$A$1:$I$89,5,0)</f>
        <v>438.02200000000011</v>
      </c>
      <c r="CA146" s="13">
        <f t="shared" si="147"/>
        <v>99.443834741543355</v>
      </c>
      <c r="CB146" s="20">
        <f t="shared" si="118"/>
        <v>936.08632884152132</v>
      </c>
      <c r="CC146" s="59">
        <f t="shared" si="119"/>
        <v>1229.4196621748547</v>
      </c>
      <c r="CD146" s="59">
        <f ca="1">AVERAGE(OFFSET($CC$3,0,0,'Données projet'!$E$12+1,1))-AVERAGE(OFFSET($H$3,0,0,'Données projet'!$E$12+1,1))</f>
        <v>534.99316143569899</v>
      </c>
      <c r="CE146" s="59">
        <f t="shared" si="148"/>
        <v>449.56965858934262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20.135803134692903</v>
      </c>
      <c r="CL146" s="21">
        <f>EXP(-LN(2)/25)*CL145+(1-EXP(-LN(2)/25))/(LN(2)/25)*Calculateur!CG146*Calculateur!CI146*VLOOKUP('Données projet'!$B$12,Paramètres!$A$1:$I$89,3,0)*0.475*44/12</f>
        <v>5.5862886653267489</v>
      </c>
      <c r="CM146" s="21">
        <f>EXP(-LN(2)/2)*CM145+(1-EXP(-LN(2)/2))/(LN(2)/2)*CG146*CJ146*VLOOKUP('Données projet'!$B$12,Paramètres!$A$1:$I$89,3,0)*0.475*44/12</f>
        <v>8.9768057323511082E-10</v>
      </c>
      <c r="CN146" s="22">
        <f t="shared" si="120"/>
        <v>25.722091800917333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251.00000000000006</v>
      </c>
      <c r="CU146" s="17">
        <f>CT146*VLOOKUP('Données projet'!$B$13,Paramètres!$A$1:$I$89,3,0)*VLOOKUP('Données projet'!$B$13,Paramètres!$A$1:$I$89,5,0)</f>
        <v>285.83880000000011</v>
      </c>
      <c r="CV146" s="13">
        <f t="shared" si="149"/>
        <v>68.199429147498265</v>
      </c>
      <c r="CW146" s="20">
        <f t="shared" si="121"/>
        <v>616.61658243189299</v>
      </c>
      <c r="CX146" s="59">
        <f t="shared" si="122"/>
        <v>909.94991576522625</v>
      </c>
      <c r="CY146" s="59">
        <f ca="1">AVERAGE(OFFSET($CX$3,0,0,'Données projet'!$E$13+1,1))-AVERAGE(OFFSET($H$3,0,0,'Données projet'!$E$13+1,1))</f>
        <v>389.89050053480827</v>
      </c>
      <c r="CZ146" s="59">
        <f t="shared" si="150"/>
        <v>216.40816051909616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8.6841110242465582</v>
      </c>
      <c r="DG146" s="21">
        <f>EXP(-LN(2)/25)*DG145+(1-EXP(-LN(2)/25))/(LN(2)/25)*Calculateur!DB146*Calculateur!DD146*VLOOKUP('Données projet'!$B$13,Paramètres!$A$1:$I$89,3,0)*0.475*44/12</f>
        <v>0.75582119004688142</v>
      </c>
      <c r="DH146" s="21">
        <f>EXP(-LN(2)/2)*DH145+(1-EXP(-LN(2)/2))/(LN(2)/2)*DB146*DE146*VLOOKUP('Données projet'!$B$13,Paramètres!$A$1:$I$89,3,0)*0.475*44/12</f>
        <v>2.1646208129537403E-4</v>
      </c>
      <c r="DI146" s="22">
        <f t="shared" si="123"/>
        <v>9.4401486763747346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268.00000000000011</v>
      </c>
      <c r="O147" s="13">
        <f>N147*VLOOKUP('Données projet'!$B$9,Paramètres!$A$1:$I$89,3,0)*VLOOKUP('Données projet'!$B$9,Paramètres!$A$1:$I$89,5,0)</f>
        <v>242.48640000000009</v>
      </c>
      <c r="P147" s="13">
        <f t="shared" si="141"/>
        <v>58.974170235372476</v>
      </c>
      <c r="Q147" s="20">
        <f t="shared" si="108"/>
        <v>525.04382649327385</v>
      </c>
      <c r="R147" s="59">
        <f t="shared" si="109"/>
        <v>818.37715982660711</v>
      </c>
      <c r="S147" s="59">
        <f ca="1">AVERAGE(OFFSET($R$3,0,0,'Données projet'!$E$9+1,1))-AVERAGE(OFFSET($H$3,0,0,'Données projet'!$E$9+1,1))</f>
        <v>371.7282125501186</v>
      </c>
      <c r="T147" s="59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36.272997109051872</v>
      </c>
      <c r="AA147" s="21">
        <f>EXP(-LN(2)/25)*AA146+(1-EXP(-LN(2)/25))/(LN(2)/25)*Calculateur!V147*Calculateur!X147*VLOOKUP('Données projet'!$B$9,Paramètres!$A$1:$I$89,3,0)*0.475*44/12</f>
        <v>1.2714393967025752</v>
      </c>
      <c r="AB147" s="21">
        <f>EXP(-LN(2)/2)*AB146+(1-EXP(-LN(2)/2))/(LN(2)/2)*V147*Y147*VLOOKUP('Données projet'!$B$9,Paramètres!$A$1:$I$89,3,0)*0.475*44/12</f>
        <v>2.6150237565195512E-4</v>
      </c>
      <c r="AC147" s="22">
        <f t="shared" si="111"/>
        <v>37.544698008130098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1.7053025658242404E-13</v>
      </c>
      <c r="AJ147" s="13">
        <f>AI147*VLOOKUP('Données projet'!$B$10,Paramètres!$A$1:$I$89,3,0)*VLOOKUP('Données projet'!$B$10,Paramètres!$A$1:$I$89,5,0)</f>
        <v>7.9808160080574461E-14</v>
      </c>
      <c r="AK147" s="13">
        <f t="shared" si="143"/>
        <v>1.2308384591775343E-12</v>
      </c>
      <c r="AL147" s="20">
        <f t="shared" si="112"/>
        <v>2.282709528541206E-12</v>
      </c>
      <c r="AM147" s="59">
        <f t="shared" si="113"/>
        <v>293.33333333333559</v>
      </c>
      <c r="AN147" s="59">
        <f ca="1">AVERAGE(OFFSET($AM$3,0,0,'Données projet'!$E$10+1,1))-AVERAGE(OFFSET($H$3,0,0,'Données projet'!$E$10+1,1))</f>
        <v>218.32525311070435</v>
      </c>
      <c r="AO147" s="59">
        <f t="shared" si="144"/>
        <v>275.36315264099204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16.522258743629529</v>
      </c>
      <c r="AV147" s="21">
        <f>EXP(-LN(2)/25)*AV146+(1-EXP(-LN(2)/25))/(LN(2)/25)*Calculateur!AQ147*Calculateur!AS147*VLOOKUP('Données projet'!$B$10,Paramètres!$A$1:$I$89,3,0)*0.475*44/12</f>
        <v>3.6662364194116583</v>
      </c>
      <c r="AW147" s="21">
        <f>EXP(-LN(2)/2)*AW146+(1-EXP(-LN(2)/2))/(LN(2)/2)*AQ147*AT147*VLOOKUP('Données projet'!$B$10,Paramètres!$A$1:$I$89,3,0)*0.475*44/12</f>
        <v>1.4838186830131861E-11</v>
      </c>
      <c r="AX147" s="21">
        <f t="shared" si="114"/>
        <v>20.188495163056025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343</v>
      </c>
      <c r="BE147" s="13">
        <f>BD147*VLOOKUP('Données projet'!$B$11,Paramètres!$A$1:$I$89,3,0)*VLOOKUP('Données projet'!$B$11,Paramètres!$A$1:$I$89,5,0)</f>
        <v>326.39879999999999</v>
      </c>
      <c r="BF147" s="13">
        <f t="shared" si="145"/>
        <v>76.683210401884097</v>
      </c>
      <c r="BG147" s="20">
        <f t="shared" si="115"/>
        <v>702.03450144994804</v>
      </c>
      <c r="BH147" s="59">
        <f t="shared" si="116"/>
        <v>995.3678347832813</v>
      </c>
      <c r="BI147" s="59">
        <f ca="1">AVERAGE(OFFSET($BH$3,0,0,'Données projet'!$E$11+1,1))-AVERAGE(OFFSET($H$3,0,0,'Données projet'!$E$11+1,1))</f>
        <v>446.62872871405051</v>
      </c>
      <c r="BJ147" s="59">
        <f t="shared" si="146"/>
        <v>471.28934889691658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13.742851626279993</v>
      </c>
      <c r="BQ147" s="21">
        <f>EXP(-LN(2)/25)*BQ146+(1-EXP(-LN(2)/25))/(LN(2)/25)*Calculateur!BL147*Calculateur!BN147*VLOOKUP('Données projet'!$B$11,Paramètres!$A$1:$I$89,3,0)*0.475*44/12</f>
        <v>0.43205588074651174</v>
      </c>
      <c r="BR147" s="21">
        <f>EXP(-LN(2)/2)*BR146+(1-EXP(-LN(2)/2))/(LN(2)/2)*BL147*BO147*VLOOKUP('Données projet'!$B$11,Paramètres!$A$1:$I$89,3,0)*0.475*44/12</f>
        <v>1.2466854551599755E-11</v>
      </c>
      <c r="BS147" s="22">
        <f t="shared" si="117"/>
        <v>14.174907507038972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991.00000000000011</v>
      </c>
      <c r="BZ147" s="13">
        <f>BY147*VLOOKUP('Données projet'!$B$12,Paramètres!$A$1:$I$89,3,0)*VLOOKUP('Données projet'!$B$12,Paramètres!$A$1:$I$89,5,0)</f>
        <v>438.02200000000011</v>
      </c>
      <c r="CA147" s="13">
        <f t="shared" si="147"/>
        <v>99.443834741543355</v>
      </c>
      <c r="CB147" s="20">
        <f t="shared" si="118"/>
        <v>936.08632884152132</v>
      </c>
      <c r="CC147" s="59">
        <f t="shared" si="119"/>
        <v>1229.4196621748547</v>
      </c>
      <c r="CD147" s="59">
        <f ca="1">AVERAGE(OFFSET($CC$3,0,0,'Données projet'!$E$12+1,1))-AVERAGE(OFFSET($H$3,0,0,'Données projet'!$E$12+1,1))</f>
        <v>534.99316143569899</v>
      </c>
      <c r="CE147" s="59">
        <f t="shared" si="148"/>
        <v>449.56965858934262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19.740952316848777</v>
      </c>
      <c r="CL147" s="21">
        <f>EXP(-LN(2)/25)*CL146+(1-EXP(-LN(2)/25))/(LN(2)/25)*Calculateur!CG147*Calculateur!CI147*VLOOKUP('Données projet'!$B$12,Paramètres!$A$1:$I$89,3,0)*0.475*44/12</f>
        <v>5.4335313080032357</v>
      </c>
      <c r="CM147" s="21">
        <f>EXP(-LN(2)/2)*CM146+(1-EXP(-LN(2)/2))/(LN(2)/2)*CG147*CJ147*VLOOKUP('Données projet'!$B$12,Paramètres!$A$1:$I$89,3,0)*0.475*44/12</f>
        <v>6.3475602067397409E-10</v>
      </c>
      <c r="CN147" s="22">
        <f t="shared" si="120"/>
        <v>25.174483625486769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251.00000000000006</v>
      </c>
      <c r="CU147" s="17">
        <f>CT147*VLOOKUP('Données projet'!$B$13,Paramètres!$A$1:$I$89,3,0)*VLOOKUP('Données projet'!$B$13,Paramètres!$A$1:$I$89,5,0)</f>
        <v>285.83880000000011</v>
      </c>
      <c r="CV147" s="13">
        <f t="shared" si="149"/>
        <v>68.199429147498265</v>
      </c>
      <c r="CW147" s="20">
        <f t="shared" si="121"/>
        <v>616.61658243189299</v>
      </c>
      <c r="CX147" s="59">
        <f t="shared" si="122"/>
        <v>909.94991576522625</v>
      </c>
      <c r="CY147" s="59">
        <f ca="1">AVERAGE(OFFSET($CX$3,0,0,'Données projet'!$E$13+1,1))-AVERAGE(OFFSET($H$3,0,0,'Données projet'!$E$13+1,1))</f>
        <v>389.89050053480827</v>
      </c>
      <c r="CZ147" s="59">
        <f t="shared" si="150"/>
        <v>216.40816051909616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8.5138209038457937</v>
      </c>
      <c r="DG147" s="21">
        <f>EXP(-LN(2)/25)*DG146+(1-EXP(-LN(2)/25))/(LN(2)/25)*Calculateur!DB147*Calculateur!DD147*VLOOKUP('Données projet'!$B$13,Paramètres!$A$1:$I$89,3,0)*0.475*44/12</f>
        <v>0.73515321985814053</v>
      </c>
      <c r="DH147" s="21">
        <f>EXP(-LN(2)/2)*DH146+(1-EXP(-LN(2)/2))/(LN(2)/2)*DB147*DE147*VLOOKUP('Données projet'!$B$13,Paramètres!$A$1:$I$89,3,0)*0.475*44/12</f>
        <v>1.530618055537127E-4</v>
      </c>
      <c r="DI147" s="22">
        <f t="shared" si="123"/>
        <v>9.2491271855094883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268.00000000000011</v>
      </c>
      <c r="O148" s="13">
        <f>N148*VLOOKUP('Données projet'!$B$9,Paramètres!$A$1:$I$89,3,0)*VLOOKUP('Données projet'!$B$9,Paramètres!$A$1:$I$89,5,0)</f>
        <v>242.48640000000009</v>
      </c>
      <c r="P148" s="13">
        <f t="shared" si="141"/>
        <v>58.974170235372476</v>
      </c>
      <c r="Q148" s="20">
        <f t="shared" si="108"/>
        <v>525.04382649327385</v>
      </c>
      <c r="R148" s="59">
        <f t="shared" si="109"/>
        <v>818.37715982660711</v>
      </c>
      <c r="S148" s="59">
        <f ca="1">AVERAGE(OFFSET($R$3,0,0,'Données projet'!$E$9+1,1))-AVERAGE(OFFSET($H$3,0,0,'Données projet'!$E$9+1,1))</f>
        <v>371.7282125501186</v>
      </c>
      <c r="T148" s="59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35.561705760087001</v>
      </c>
      <c r="AA148" s="21">
        <f>EXP(-LN(2)/25)*AA147+(1-EXP(-LN(2)/25))/(LN(2)/25)*Calculateur!V148*Calculateur!X148*VLOOKUP('Données projet'!$B$9,Paramètres!$A$1:$I$89,3,0)*0.475*44/12</f>
        <v>1.2366718195376514</v>
      </c>
      <c r="AB148" s="21">
        <f>EXP(-LN(2)/2)*AB147+(1-EXP(-LN(2)/2))/(LN(2)/2)*V148*Y148*VLOOKUP('Données projet'!$B$9,Paramètres!$A$1:$I$89,3,0)*0.475*44/12</f>
        <v>1.8491010311988938E-4</v>
      </c>
      <c r="AC148" s="22">
        <f t="shared" si="111"/>
        <v>36.798562489727779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1.7053025658242404E-13</v>
      </c>
      <c r="AJ148" s="13">
        <f>AI148*VLOOKUP('Données projet'!$B$10,Paramètres!$A$1:$I$89,3,0)*VLOOKUP('Données projet'!$B$10,Paramètres!$A$1:$I$89,5,0)</f>
        <v>7.9808160080574461E-14</v>
      </c>
      <c r="AK148" s="13">
        <f t="shared" si="143"/>
        <v>1.2308384591775343E-12</v>
      </c>
      <c r="AL148" s="20">
        <f t="shared" si="112"/>
        <v>2.282709528541206E-12</v>
      </c>
      <c r="AM148" s="59">
        <f t="shared" si="113"/>
        <v>293.33333333333559</v>
      </c>
      <c r="AN148" s="59">
        <f ca="1">AVERAGE(OFFSET($AM$3,0,0,'Données projet'!$E$10+1,1))-AVERAGE(OFFSET($H$3,0,0,'Données projet'!$E$10+1,1))</f>
        <v>218.32525311070435</v>
      </c>
      <c r="AO148" s="59">
        <f t="shared" si="144"/>
        <v>275.36315264099204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16.19826732724971</v>
      </c>
      <c r="AV148" s="21">
        <f>EXP(-LN(2)/25)*AV147+(1-EXP(-LN(2)/25))/(LN(2)/25)*Calculateur!AQ148*Calculateur!AS148*VLOOKUP('Données projet'!$B$10,Paramètres!$A$1:$I$89,3,0)*0.475*44/12</f>
        <v>3.5659829917238524</v>
      </c>
      <c r="AW148" s="21">
        <f>EXP(-LN(2)/2)*AW147+(1-EXP(-LN(2)/2))/(LN(2)/2)*AQ148*AT148*VLOOKUP('Données projet'!$B$10,Paramètres!$A$1:$I$89,3,0)*0.475*44/12</f>
        <v>1.0492182528099161E-11</v>
      </c>
      <c r="AX148" s="21">
        <f t="shared" si="114"/>
        <v>19.764250318984054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343</v>
      </c>
      <c r="BE148" s="13">
        <f>BD148*VLOOKUP('Données projet'!$B$11,Paramètres!$A$1:$I$89,3,0)*VLOOKUP('Données projet'!$B$11,Paramètres!$A$1:$I$89,5,0)</f>
        <v>326.39879999999999</v>
      </c>
      <c r="BF148" s="13">
        <f t="shared" si="145"/>
        <v>76.683210401884097</v>
      </c>
      <c r="BG148" s="20">
        <f t="shared" si="115"/>
        <v>702.03450144994804</v>
      </c>
      <c r="BH148" s="59">
        <f t="shared" si="116"/>
        <v>995.3678347832813</v>
      </c>
      <c r="BI148" s="59">
        <f ca="1">AVERAGE(OFFSET($BH$3,0,0,'Données projet'!$E$11+1,1))-AVERAGE(OFFSET($H$3,0,0,'Données projet'!$E$11+1,1))</f>
        <v>446.62872871405051</v>
      </c>
      <c r="BJ148" s="59">
        <f t="shared" si="146"/>
        <v>471.28934889691658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13.473362688200449</v>
      </c>
      <c r="BQ148" s="21">
        <f>EXP(-LN(2)/25)*BQ147+(1-EXP(-LN(2)/25))/(LN(2)/25)*Calculateur!BL148*Calculateur!BN148*VLOOKUP('Données projet'!$B$11,Paramètres!$A$1:$I$89,3,0)*0.475*44/12</f>
        <v>0.4202412899666671</v>
      </c>
      <c r="BR148" s="21">
        <f>EXP(-LN(2)/2)*BR147+(1-EXP(-LN(2)/2))/(LN(2)/2)*BL148*BO148*VLOOKUP('Données projet'!$B$11,Paramètres!$A$1:$I$89,3,0)*0.475*44/12</f>
        <v>8.8153973935025616E-12</v>
      </c>
      <c r="BS148" s="22">
        <f t="shared" si="117"/>
        <v>13.893603978175932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991.00000000000011</v>
      </c>
      <c r="BZ148" s="13">
        <f>BY148*VLOOKUP('Données projet'!$B$12,Paramètres!$A$1:$I$89,3,0)*VLOOKUP('Données projet'!$B$12,Paramètres!$A$1:$I$89,5,0)</f>
        <v>438.02200000000011</v>
      </c>
      <c r="CA148" s="13">
        <f t="shared" si="147"/>
        <v>99.443834741543355</v>
      </c>
      <c r="CB148" s="20">
        <f t="shared" si="118"/>
        <v>936.08632884152132</v>
      </c>
      <c r="CC148" s="59">
        <f t="shared" si="119"/>
        <v>1229.4196621748547</v>
      </c>
      <c r="CD148" s="59">
        <f ca="1">AVERAGE(OFFSET($CC$3,0,0,'Données projet'!$E$12+1,1))-AVERAGE(OFFSET($H$3,0,0,'Données projet'!$E$12+1,1))</f>
        <v>534.99316143569899</v>
      </c>
      <c r="CE148" s="59">
        <f t="shared" si="148"/>
        <v>449.56965858934262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19.353844282707357</v>
      </c>
      <c r="CL148" s="21">
        <f>EXP(-LN(2)/25)*CL147+(1-EXP(-LN(2)/25))/(LN(2)/25)*Calculateur!CG148*Calculateur!CI148*VLOOKUP('Données projet'!$B$12,Paramètres!$A$1:$I$89,3,0)*0.475*44/12</f>
        <v>5.2849511086488938</v>
      </c>
      <c r="CM148" s="21">
        <f>EXP(-LN(2)/2)*CM147+(1-EXP(-LN(2)/2))/(LN(2)/2)*CG148*CJ148*VLOOKUP('Données projet'!$B$12,Paramètres!$A$1:$I$89,3,0)*0.475*44/12</f>
        <v>4.4884028661755546E-10</v>
      </c>
      <c r="CN148" s="22">
        <f t="shared" si="120"/>
        <v>24.63879539180509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251.00000000000006</v>
      </c>
      <c r="CU148" s="17">
        <f>CT148*VLOOKUP('Données projet'!$B$13,Paramètres!$A$1:$I$89,3,0)*VLOOKUP('Données projet'!$B$13,Paramètres!$A$1:$I$89,5,0)</f>
        <v>285.83880000000011</v>
      </c>
      <c r="CV148" s="13">
        <f t="shared" si="149"/>
        <v>68.199429147498265</v>
      </c>
      <c r="CW148" s="20">
        <f t="shared" si="121"/>
        <v>616.61658243189299</v>
      </c>
      <c r="CX148" s="59">
        <f t="shared" si="122"/>
        <v>909.94991576522625</v>
      </c>
      <c r="CY148" s="59">
        <f ca="1">AVERAGE(OFFSET($CX$3,0,0,'Données projet'!$E$13+1,1))-AVERAGE(OFFSET($H$3,0,0,'Données projet'!$E$13+1,1))</f>
        <v>389.89050053480827</v>
      </c>
      <c r="CZ148" s="59">
        <f t="shared" si="150"/>
        <v>216.40816051909616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8.3468700688393707</v>
      </c>
      <c r="DG148" s="21">
        <f>EXP(-LN(2)/25)*DG147+(1-EXP(-LN(2)/25))/(LN(2)/25)*Calculateur!DB148*Calculateur!DD148*VLOOKUP('Données projet'!$B$13,Paramètres!$A$1:$I$89,3,0)*0.475*44/12</f>
        <v>0.71505041640109201</v>
      </c>
      <c r="DH148" s="21">
        <f>EXP(-LN(2)/2)*DH147+(1-EXP(-LN(2)/2))/(LN(2)/2)*DB148*DE148*VLOOKUP('Données projet'!$B$13,Paramètres!$A$1:$I$89,3,0)*0.475*44/12</f>
        <v>1.0823104064768701E-4</v>
      </c>
      <c r="DI148" s="22">
        <f t="shared" si="123"/>
        <v>9.0620287162811106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268.00000000000011</v>
      </c>
      <c r="O149" s="13">
        <f>N149*VLOOKUP('Données projet'!$B$9,Paramètres!$A$1:$I$89,3,0)*VLOOKUP('Données projet'!$B$9,Paramètres!$A$1:$I$89,5,0)</f>
        <v>242.48640000000009</v>
      </c>
      <c r="P149" s="13">
        <f t="shared" si="141"/>
        <v>58.974170235372476</v>
      </c>
      <c r="Q149" s="20">
        <f t="shared" si="108"/>
        <v>525.04382649327385</v>
      </c>
      <c r="R149" s="59">
        <f t="shared" si="109"/>
        <v>818.37715982660711</v>
      </c>
      <c r="S149" s="59">
        <f ca="1">AVERAGE(OFFSET($R$3,0,0,'Données projet'!$E$9+1,1))-AVERAGE(OFFSET($H$3,0,0,'Données projet'!$E$9+1,1))</f>
        <v>371.7282125501186</v>
      </c>
      <c r="T149" s="59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34.864362400630448</v>
      </c>
      <c r="AA149" s="21">
        <f>EXP(-LN(2)/25)*AA148+(1-EXP(-LN(2)/25))/(LN(2)/25)*Calculateur!V149*Calculateur!X149*VLOOKUP('Données projet'!$B$9,Paramètres!$A$1:$I$89,3,0)*0.475*44/12</f>
        <v>1.2028549635986499</v>
      </c>
      <c r="AB149" s="21">
        <f>EXP(-LN(2)/2)*AB148+(1-EXP(-LN(2)/2))/(LN(2)/2)*V149*Y149*VLOOKUP('Données projet'!$B$9,Paramètres!$A$1:$I$89,3,0)*0.475*44/12</f>
        <v>1.3075118782597756E-4</v>
      </c>
      <c r="AC149" s="22">
        <f t="shared" si="111"/>
        <v>36.06734811541692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1.7053025658242404E-13</v>
      </c>
      <c r="AJ149" s="13">
        <f>AI149*VLOOKUP('Données projet'!$B$10,Paramètres!$A$1:$I$89,3,0)*VLOOKUP('Données projet'!$B$10,Paramètres!$A$1:$I$89,5,0)</f>
        <v>7.9808160080574461E-14</v>
      </c>
      <c r="AK149" s="13">
        <f t="shared" si="143"/>
        <v>1.2308384591775343E-12</v>
      </c>
      <c r="AL149" s="20">
        <f t="shared" si="112"/>
        <v>2.282709528541206E-12</v>
      </c>
      <c r="AM149" s="59">
        <f t="shared" si="113"/>
        <v>293.33333333333559</v>
      </c>
      <c r="AN149" s="59">
        <f ca="1">AVERAGE(OFFSET($AM$3,0,0,'Données projet'!$E$10+1,1))-AVERAGE(OFFSET($H$3,0,0,'Données projet'!$E$10+1,1))</f>
        <v>218.32525311070435</v>
      </c>
      <c r="AO149" s="59">
        <f t="shared" si="144"/>
        <v>275.36315264099204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15.880629184929846</v>
      </c>
      <c r="AV149" s="21">
        <f>EXP(-LN(2)/25)*AV148+(1-EXP(-LN(2)/25))/(LN(2)/25)*Calculateur!AQ149*Calculateur!AS149*VLOOKUP('Données projet'!$B$10,Paramètres!$A$1:$I$89,3,0)*0.475*44/12</f>
        <v>3.4684709992882681</v>
      </c>
      <c r="AW149" s="21">
        <f>EXP(-LN(2)/2)*AW148+(1-EXP(-LN(2)/2))/(LN(2)/2)*AQ149*AT149*VLOOKUP('Données projet'!$B$10,Paramètres!$A$1:$I$89,3,0)*0.475*44/12</f>
        <v>7.4190934150659304E-12</v>
      </c>
      <c r="AX149" s="21">
        <f t="shared" si="114"/>
        <v>19.349100184225534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343</v>
      </c>
      <c r="BE149" s="13">
        <f>BD149*VLOOKUP('Données projet'!$B$11,Paramètres!$A$1:$I$89,3,0)*VLOOKUP('Données projet'!$B$11,Paramètres!$A$1:$I$89,5,0)</f>
        <v>326.39879999999999</v>
      </c>
      <c r="BF149" s="13">
        <f t="shared" si="145"/>
        <v>76.683210401884097</v>
      </c>
      <c r="BG149" s="20">
        <f t="shared" si="115"/>
        <v>702.03450144994804</v>
      </c>
      <c r="BH149" s="59">
        <f t="shared" si="116"/>
        <v>995.3678347832813</v>
      </c>
      <c r="BI149" s="59">
        <f ca="1">AVERAGE(OFFSET($BH$3,0,0,'Données projet'!$E$11+1,1))-AVERAGE(OFFSET($H$3,0,0,'Données projet'!$E$11+1,1))</f>
        <v>446.62872871405051</v>
      </c>
      <c r="BJ149" s="59">
        <f t="shared" si="146"/>
        <v>471.28934889691658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13.209158263824625</v>
      </c>
      <c r="BQ149" s="21">
        <f>EXP(-LN(2)/25)*BQ148+(1-EXP(-LN(2)/25))/(LN(2)/25)*Calculateur!BL149*Calculateur!BN149*VLOOKUP('Données projet'!$B$11,Paramètres!$A$1:$I$89,3,0)*0.475*44/12</f>
        <v>0.4087497697929996</v>
      </c>
      <c r="BR149" s="21">
        <f>EXP(-LN(2)/2)*BR148+(1-EXP(-LN(2)/2))/(LN(2)/2)*BL149*BO149*VLOOKUP('Données projet'!$B$11,Paramètres!$A$1:$I$89,3,0)*0.475*44/12</f>
        <v>6.2334272757998773E-12</v>
      </c>
      <c r="BS149" s="22">
        <f t="shared" si="117"/>
        <v>13.617908033623857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991.00000000000011</v>
      </c>
      <c r="BZ149" s="13">
        <f>BY149*VLOOKUP('Données projet'!$B$12,Paramètres!$A$1:$I$89,3,0)*VLOOKUP('Données projet'!$B$12,Paramètres!$A$1:$I$89,5,0)</f>
        <v>438.02200000000011</v>
      </c>
      <c r="CA149" s="13">
        <f t="shared" si="147"/>
        <v>99.443834741543355</v>
      </c>
      <c r="CB149" s="20">
        <f t="shared" si="118"/>
        <v>936.08632884152132</v>
      </c>
      <c r="CC149" s="59">
        <f t="shared" si="119"/>
        <v>1229.4196621748547</v>
      </c>
      <c r="CD149" s="59">
        <f ca="1">AVERAGE(OFFSET($CC$3,0,0,'Données projet'!$E$12+1,1))-AVERAGE(OFFSET($H$3,0,0,'Données projet'!$E$12+1,1))</f>
        <v>534.99316143569899</v>
      </c>
      <c r="CE149" s="59">
        <f t="shared" si="148"/>
        <v>449.56965858934262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18.974327201002861</v>
      </c>
      <c r="CL149" s="21">
        <f>EXP(-LN(2)/25)*CL148+(1-EXP(-LN(2)/25))/(LN(2)/25)*Calculateur!CG149*Calculateur!CI149*VLOOKUP('Données projet'!$B$12,Paramètres!$A$1:$I$89,3,0)*0.475*44/12</f>
        <v>5.1404338426593901</v>
      </c>
      <c r="CM149" s="21">
        <f>EXP(-LN(2)/2)*CM148+(1-EXP(-LN(2)/2))/(LN(2)/2)*CG149*CJ149*VLOOKUP('Données projet'!$B$12,Paramètres!$A$1:$I$89,3,0)*0.475*44/12</f>
        <v>3.173780103369871E-10</v>
      </c>
      <c r="CN149" s="22">
        <f t="shared" si="120"/>
        <v>24.11476104397963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251.00000000000006</v>
      </c>
      <c r="CU149" s="17">
        <f>CT149*VLOOKUP('Données projet'!$B$13,Paramètres!$A$1:$I$89,3,0)*VLOOKUP('Données projet'!$B$13,Paramètres!$A$1:$I$89,5,0)</f>
        <v>285.83880000000011</v>
      </c>
      <c r="CV149" s="13">
        <f t="shared" si="149"/>
        <v>68.199429147498265</v>
      </c>
      <c r="CW149" s="20">
        <f t="shared" si="121"/>
        <v>616.61658243189299</v>
      </c>
      <c r="CX149" s="59">
        <f t="shared" si="122"/>
        <v>909.94991576522625</v>
      </c>
      <c r="CY149" s="59">
        <f ca="1">AVERAGE(OFFSET($CX$3,0,0,'Données projet'!$E$13+1,1))-AVERAGE(OFFSET($H$3,0,0,'Données projet'!$E$13+1,1))</f>
        <v>389.89050053480827</v>
      </c>
      <c r="CZ149" s="59">
        <f t="shared" si="150"/>
        <v>216.40816051909616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8.1831930378774693</v>
      </c>
      <c r="DG149" s="21">
        <f>EXP(-LN(2)/25)*DG148+(1-EXP(-LN(2)/25))/(LN(2)/25)*Calculateur!DB149*Calculateur!DD149*VLOOKUP('Données projet'!$B$13,Paramètres!$A$1:$I$89,3,0)*0.475*44/12</f>
        <v>0.69549732516173701</v>
      </c>
      <c r="DH149" s="21">
        <f>EXP(-LN(2)/2)*DH148+(1-EXP(-LN(2)/2))/(LN(2)/2)*DB149*DE149*VLOOKUP('Données projet'!$B$13,Paramètres!$A$1:$I$89,3,0)*0.475*44/12</f>
        <v>7.653090277685635E-5</v>
      </c>
      <c r="DI149" s="22">
        <f t="shared" si="123"/>
        <v>8.8787668939419842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268.00000000000011</v>
      </c>
      <c r="O150" s="13">
        <f>N150*VLOOKUP('Données projet'!$B$9,Paramètres!$A$1:$I$89,3,0)*VLOOKUP('Données projet'!$B$9,Paramètres!$A$1:$I$89,5,0)</f>
        <v>242.48640000000009</v>
      </c>
      <c r="P150" s="13">
        <f t="shared" si="141"/>
        <v>58.974170235372476</v>
      </c>
      <c r="Q150" s="20">
        <f t="shared" si="108"/>
        <v>525.04382649327385</v>
      </c>
      <c r="R150" s="59">
        <f t="shared" si="109"/>
        <v>818.37715982660711</v>
      </c>
      <c r="S150" s="59">
        <f ca="1">AVERAGE(OFFSET($R$3,0,0,'Données projet'!$E$9+1,1))-AVERAGE(OFFSET($H$3,0,0,'Données projet'!$E$9+1,1))</f>
        <v>371.7282125501186</v>
      </c>
      <c r="T150" s="59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34.180693519115387</v>
      </c>
      <c r="AA150" s="21">
        <f>EXP(-LN(2)/25)*AA149+(1-EXP(-LN(2)/25))/(LN(2)/25)*Calculateur!V150*Calculateur!X150*VLOOKUP('Données projet'!$B$9,Paramètres!$A$1:$I$89,3,0)*0.475*44/12</f>
        <v>1.1699628313636514</v>
      </c>
      <c r="AB150" s="21">
        <f>EXP(-LN(2)/2)*AB149+(1-EXP(-LN(2)/2))/(LN(2)/2)*V150*Y150*VLOOKUP('Données projet'!$B$9,Paramètres!$A$1:$I$89,3,0)*0.475*44/12</f>
        <v>9.245505155994469E-5</v>
      </c>
      <c r="AC150" s="22">
        <f t="shared" si="111"/>
        <v>35.350748805530593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1.7053025658242404E-13</v>
      </c>
      <c r="AJ150" s="13">
        <f>AI150*VLOOKUP('Données projet'!$B$10,Paramètres!$A$1:$I$89,3,0)*VLOOKUP('Données projet'!$B$10,Paramètres!$A$1:$I$89,5,0)</f>
        <v>7.9808160080574461E-14</v>
      </c>
      <c r="AK150" s="13">
        <f t="shared" si="143"/>
        <v>1.2308384591775343E-12</v>
      </c>
      <c r="AL150" s="20">
        <f t="shared" si="112"/>
        <v>2.282709528541206E-12</v>
      </c>
      <c r="AM150" s="59">
        <f t="shared" si="113"/>
        <v>293.33333333333559</v>
      </c>
      <c r="AN150" s="59">
        <f ca="1">AVERAGE(OFFSET($AM$3,0,0,'Données projet'!$E$10+1,1))-AVERAGE(OFFSET($H$3,0,0,'Données projet'!$E$10+1,1))</f>
        <v>218.32525311070435</v>
      </c>
      <c r="AO150" s="59">
        <f t="shared" si="144"/>
        <v>275.36315264099204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15.56921973284074</v>
      </c>
      <c r="AV150" s="21">
        <f>EXP(-LN(2)/25)*AV149+(1-EXP(-LN(2)/25))/(LN(2)/25)*Calculateur!AQ150*Calculateur!AS150*VLOOKUP('Données projet'!$B$10,Paramètres!$A$1:$I$89,3,0)*0.475*44/12</f>
        <v>3.3736254774137677</v>
      </c>
      <c r="AW150" s="21">
        <f>EXP(-LN(2)/2)*AW149+(1-EXP(-LN(2)/2))/(LN(2)/2)*AQ150*AT150*VLOOKUP('Données projet'!$B$10,Paramètres!$A$1:$I$89,3,0)*0.475*44/12</f>
        <v>5.2460912640495805E-12</v>
      </c>
      <c r="AX150" s="21">
        <f t="shared" si="114"/>
        <v>18.942845210259755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343</v>
      </c>
      <c r="BE150" s="13">
        <f>BD150*VLOOKUP('Données projet'!$B$11,Paramètres!$A$1:$I$89,3,0)*VLOOKUP('Données projet'!$B$11,Paramètres!$A$1:$I$89,5,0)</f>
        <v>326.39879999999999</v>
      </c>
      <c r="BF150" s="13">
        <f t="shared" si="145"/>
        <v>76.683210401884097</v>
      </c>
      <c r="BG150" s="20">
        <f t="shared" si="115"/>
        <v>702.03450144994804</v>
      </c>
      <c r="BH150" s="59">
        <f t="shared" si="116"/>
        <v>995.3678347832813</v>
      </c>
      <c r="BI150" s="59">
        <f ca="1">AVERAGE(OFFSET($BH$3,0,0,'Données projet'!$E$11+1,1))-AVERAGE(OFFSET($H$3,0,0,'Données projet'!$E$11+1,1))</f>
        <v>446.62872871405051</v>
      </c>
      <c r="BJ150" s="59">
        <f t="shared" si="146"/>
        <v>471.28934889691658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12.950134727062023</v>
      </c>
      <c r="BQ150" s="21">
        <f>EXP(-LN(2)/25)*BQ149+(1-EXP(-LN(2)/25))/(LN(2)/25)*Calculateur!BL150*Calculateur!BN150*VLOOKUP('Données projet'!$B$11,Paramètres!$A$1:$I$89,3,0)*0.475*44/12</f>
        <v>0.39757248584279387</v>
      </c>
      <c r="BR150" s="21">
        <f>EXP(-LN(2)/2)*BR149+(1-EXP(-LN(2)/2))/(LN(2)/2)*BL150*BO150*VLOOKUP('Données projet'!$B$11,Paramètres!$A$1:$I$89,3,0)*0.475*44/12</f>
        <v>4.4076986967512808E-12</v>
      </c>
      <c r="BS150" s="22">
        <f t="shared" si="117"/>
        <v>13.347707212909224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991.00000000000011</v>
      </c>
      <c r="BZ150" s="13">
        <f>BY150*VLOOKUP('Données projet'!$B$12,Paramètres!$A$1:$I$89,3,0)*VLOOKUP('Données projet'!$B$12,Paramètres!$A$1:$I$89,5,0)</f>
        <v>438.02200000000011</v>
      </c>
      <c r="CA150" s="13">
        <f t="shared" si="147"/>
        <v>99.443834741543355</v>
      </c>
      <c r="CB150" s="20">
        <f t="shared" si="118"/>
        <v>936.08632884152132</v>
      </c>
      <c r="CC150" s="59">
        <f t="shared" si="119"/>
        <v>1229.4196621748547</v>
      </c>
      <c r="CD150" s="59">
        <f ca="1">AVERAGE(OFFSET($CC$3,0,0,'Données projet'!$E$12+1,1))-AVERAGE(OFFSET($H$3,0,0,'Données projet'!$E$12+1,1))</f>
        <v>534.99316143569899</v>
      </c>
      <c r="CE150" s="59">
        <f t="shared" si="148"/>
        <v>449.56965858934262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18.602252217788031</v>
      </c>
      <c r="CL150" s="21">
        <f>EXP(-LN(2)/25)*CL149+(1-EXP(-LN(2)/25))/(LN(2)/25)*Calculateur!CG150*Calculateur!CI150*VLOOKUP('Données projet'!$B$12,Paramètres!$A$1:$I$89,3,0)*0.475*44/12</f>
        <v>4.9998684089082017</v>
      </c>
      <c r="CM150" s="21">
        <f>EXP(-LN(2)/2)*CM149+(1-EXP(-LN(2)/2))/(LN(2)/2)*CG150*CJ150*VLOOKUP('Données projet'!$B$12,Paramètres!$A$1:$I$89,3,0)*0.475*44/12</f>
        <v>2.2442014330877776E-10</v>
      </c>
      <c r="CN150" s="22">
        <f t="shared" si="120"/>
        <v>23.602120626920655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251.00000000000006</v>
      </c>
      <c r="CU150" s="17">
        <f>CT150*VLOOKUP('Données projet'!$B$13,Paramètres!$A$1:$I$89,3,0)*VLOOKUP('Données projet'!$B$13,Paramètres!$A$1:$I$89,5,0)</f>
        <v>285.83880000000011</v>
      </c>
      <c r="CV150" s="13">
        <f t="shared" si="149"/>
        <v>68.199429147498265</v>
      </c>
      <c r="CW150" s="20">
        <f t="shared" si="121"/>
        <v>616.61658243189299</v>
      </c>
      <c r="CX150" s="59">
        <f t="shared" si="122"/>
        <v>909.94991576522625</v>
      </c>
      <c r="CY150" s="59">
        <f ca="1">AVERAGE(OFFSET($CX$3,0,0,'Données projet'!$E$13+1,1))-AVERAGE(OFFSET($H$3,0,0,'Données projet'!$E$13+1,1))</f>
        <v>389.89050053480827</v>
      </c>
      <c r="CZ150" s="59">
        <f t="shared" si="150"/>
        <v>216.40816051909616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8.022725613659599</v>
      </c>
      <c r="DG150" s="21">
        <f>EXP(-LN(2)/25)*DG149+(1-EXP(-LN(2)/25))/(LN(2)/25)*Calculateur!DB150*Calculateur!DD150*VLOOKUP('Données projet'!$B$13,Paramètres!$A$1:$I$89,3,0)*0.475*44/12</f>
        <v>0.6764789142305746</v>
      </c>
      <c r="DH150" s="21">
        <f>EXP(-LN(2)/2)*DH149+(1-EXP(-LN(2)/2))/(LN(2)/2)*DB150*DE150*VLOOKUP('Données projet'!$B$13,Paramètres!$A$1:$I$89,3,0)*0.475*44/12</f>
        <v>5.4115520323843507E-5</v>
      </c>
      <c r="DI150" s="22">
        <f t="shared" si="123"/>
        <v>8.6992586434104986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268.00000000000011</v>
      </c>
      <c r="O151" s="13">
        <f>N151*VLOOKUP('Données projet'!$B$9,Paramètres!$A$1:$I$89,3,0)*VLOOKUP('Données projet'!$B$9,Paramètres!$A$1:$I$89,5,0)</f>
        <v>242.48640000000009</v>
      </c>
      <c r="P151" s="13">
        <f t="shared" si="141"/>
        <v>58.974170235372476</v>
      </c>
      <c r="Q151" s="20">
        <f t="shared" si="108"/>
        <v>525.04382649327385</v>
      </c>
      <c r="R151" s="59">
        <f t="shared" si="109"/>
        <v>818.37715982660711</v>
      </c>
      <c r="S151" s="59">
        <f ca="1">AVERAGE(OFFSET($R$3,0,0,'Données projet'!$E$9+1,1))-AVERAGE(OFFSET($H$3,0,0,'Données projet'!$E$9+1,1))</f>
        <v>371.7282125501186</v>
      </c>
      <c r="T151" s="59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33.510430967369999</v>
      </c>
      <c r="AA151" s="21">
        <f>EXP(-LN(2)/25)*AA150+(1-EXP(-LN(2)/25))/(LN(2)/25)*Calculateur!V151*Calculateur!X151*VLOOKUP('Données projet'!$B$9,Paramètres!$A$1:$I$89,3,0)*0.475*44/12</f>
        <v>1.1379701362143411</v>
      </c>
      <c r="AB151" s="21">
        <f>EXP(-LN(2)/2)*AB150+(1-EXP(-LN(2)/2))/(LN(2)/2)*V151*Y151*VLOOKUP('Données projet'!$B$9,Paramètres!$A$1:$I$89,3,0)*0.475*44/12</f>
        <v>6.5375593912988779E-5</v>
      </c>
      <c r="AC151" s="22">
        <f t="shared" si="111"/>
        <v>34.648466479178254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1.7053025658242404E-13</v>
      </c>
      <c r="AJ151" s="13">
        <f>AI151*VLOOKUP('Données projet'!$B$10,Paramètres!$A$1:$I$89,3,0)*VLOOKUP('Données projet'!$B$10,Paramètres!$A$1:$I$89,5,0)</f>
        <v>7.9808160080574461E-14</v>
      </c>
      <c r="AK151" s="13">
        <f t="shared" si="143"/>
        <v>1.2308384591775343E-12</v>
      </c>
      <c r="AL151" s="20">
        <f t="shared" si="112"/>
        <v>2.282709528541206E-12</v>
      </c>
      <c r="AM151" s="59">
        <f t="shared" si="113"/>
        <v>293.33333333333559</v>
      </c>
      <c r="AN151" s="59">
        <f ca="1">AVERAGE(OFFSET($AM$3,0,0,'Données projet'!$E$10+1,1))-AVERAGE(OFFSET($H$3,0,0,'Données projet'!$E$10+1,1))</f>
        <v>218.32525311070435</v>
      </c>
      <c r="AO151" s="59">
        <f t="shared" si="144"/>
        <v>275.36315264099204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15.263916830166089</v>
      </c>
      <c r="AV151" s="21">
        <f>EXP(-LN(2)/25)*AV150+(1-EXP(-LN(2)/25))/(LN(2)/25)*Calculateur!AQ151*Calculateur!AS151*VLOOKUP('Données projet'!$B$10,Paramètres!$A$1:$I$89,3,0)*0.475*44/12</f>
        <v>3.2813735113226348</v>
      </c>
      <c r="AW151" s="21">
        <f>EXP(-LN(2)/2)*AW150+(1-EXP(-LN(2)/2))/(LN(2)/2)*AQ151*AT151*VLOOKUP('Données projet'!$B$10,Paramètres!$A$1:$I$89,3,0)*0.475*44/12</f>
        <v>3.7095467075329652E-12</v>
      </c>
      <c r="AX151" s="21">
        <f t="shared" si="114"/>
        <v>18.545290341492432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343</v>
      </c>
      <c r="BE151" s="13">
        <f>BD151*VLOOKUP('Données projet'!$B$11,Paramètres!$A$1:$I$89,3,0)*VLOOKUP('Données projet'!$B$11,Paramètres!$A$1:$I$89,5,0)</f>
        <v>326.39879999999999</v>
      </c>
      <c r="BF151" s="13">
        <f t="shared" si="145"/>
        <v>76.683210401884097</v>
      </c>
      <c r="BG151" s="20">
        <f t="shared" si="115"/>
        <v>702.03450144994804</v>
      </c>
      <c r="BH151" s="59">
        <f t="shared" si="116"/>
        <v>995.3678347832813</v>
      </c>
      <c r="BI151" s="59">
        <f ca="1">AVERAGE(OFFSET($BH$3,0,0,'Données projet'!$E$11+1,1))-AVERAGE(OFFSET($H$3,0,0,'Données projet'!$E$11+1,1))</f>
        <v>446.62872871405051</v>
      </c>
      <c r="BJ151" s="59">
        <f t="shared" si="146"/>
        <v>471.28934889691658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12.696190483866578</v>
      </c>
      <c r="BQ151" s="21">
        <f>EXP(-LN(2)/25)*BQ150+(1-EXP(-LN(2)/25))/(LN(2)/25)*Calculateur!BL151*Calculateur!BN151*VLOOKUP('Données projet'!$B$11,Paramètres!$A$1:$I$89,3,0)*0.475*44/12</f>
        <v>0.38670084530999432</v>
      </c>
      <c r="BR151" s="21">
        <f>EXP(-LN(2)/2)*BR150+(1-EXP(-LN(2)/2))/(LN(2)/2)*BL151*BO151*VLOOKUP('Données projet'!$B$11,Paramètres!$A$1:$I$89,3,0)*0.475*44/12</f>
        <v>3.1167136378999386E-12</v>
      </c>
      <c r="BS151" s="22">
        <f t="shared" si="117"/>
        <v>13.08289132917969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991.00000000000011</v>
      </c>
      <c r="BZ151" s="13">
        <f>BY151*VLOOKUP('Données projet'!$B$12,Paramètres!$A$1:$I$89,3,0)*VLOOKUP('Données projet'!$B$12,Paramètres!$A$1:$I$89,5,0)</f>
        <v>438.02200000000011</v>
      </c>
      <c r="CA151" s="13">
        <f t="shared" si="147"/>
        <v>99.443834741543355</v>
      </c>
      <c r="CB151" s="20">
        <f t="shared" si="118"/>
        <v>936.08632884152132</v>
      </c>
      <c r="CC151" s="59">
        <f t="shared" si="119"/>
        <v>1229.4196621748547</v>
      </c>
      <c r="CD151" s="59">
        <f ca="1">AVERAGE(OFFSET($CC$3,0,0,'Données projet'!$E$12+1,1))-AVERAGE(OFFSET($H$3,0,0,'Données projet'!$E$12+1,1))</f>
        <v>534.99316143569899</v>
      </c>
      <c r="CE151" s="59">
        <f t="shared" si="148"/>
        <v>449.56965858934262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18.23747339805071</v>
      </c>
      <c r="CL151" s="21">
        <f>EXP(-LN(2)/25)*CL150+(1-EXP(-LN(2)/25))/(LN(2)/25)*Calculateur!CG151*Calculateur!CI151*VLOOKUP('Données projet'!$B$12,Paramètres!$A$1:$I$89,3,0)*0.475*44/12</f>
        <v>4.863146744334955</v>
      </c>
      <c r="CM151" s="21">
        <f>EXP(-LN(2)/2)*CM150+(1-EXP(-LN(2)/2))/(LN(2)/2)*CG151*CJ151*VLOOKUP('Données projet'!$B$12,Paramètres!$A$1:$I$89,3,0)*0.475*44/12</f>
        <v>1.5868900516849357E-10</v>
      </c>
      <c r="CN151" s="22">
        <f t="shared" si="120"/>
        <v>23.100620142544354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251.00000000000006</v>
      </c>
      <c r="CU151" s="17">
        <f>CT151*VLOOKUP('Données projet'!$B$13,Paramètres!$A$1:$I$89,3,0)*VLOOKUP('Données projet'!$B$13,Paramètres!$A$1:$I$89,5,0)</f>
        <v>285.83880000000011</v>
      </c>
      <c r="CV151" s="13">
        <f t="shared" si="149"/>
        <v>68.199429147498265</v>
      </c>
      <c r="CW151" s="20">
        <f t="shared" si="121"/>
        <v>616.61658243189299</v>
      </c>
      <c r="CX151" s="59">
        <f t="shared" si="122"/>
        <v>909.94991576522625</v>
      </c>
      <c r="CY151" s="59">
        <f ca="1">AVERAGE(OFFSET($CX$3,0,0,'Données projet'!$E$13+1,1))-AVERAGE(OFFSET($H$3,0,0,'Données projet'!$E$13+1,1))</f>
        <v>389.89050053480827</v>
      </c>
      <c r="CZ151" s="59">
        <f t="shared" si="150"/>
        <v>216.40816051909616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7.8654048577551778</v>
      </c>
      <c r="DG151" s="21">
        <f>EXP(-LN(2)/25)*DG150+(1-EXP(-LN(2)/25))/(LN(2)/25)*Calculateur!DB151*Calculateur!DD151*VLOOKUP('Données projet'!$B$13,Paramètres!$A$1:$I$89,3,0)*0.475*44/12</f>
        <v>0.65798056274645955</v>
      </c>
      <c r="DH151" s="21">
        <f>EXP(-LN(2)/2)*DH150+(1-EXP(-LN(2)/2))/(LN(2)/2)*DB151*DE151*VLOOKUP('Données projet'!$B$13,Paramètres!$A$1:$I$89,3,0)*0.475*44/12</f>
        <v>3.8265451388428175E-5</v>
      </c>
      <c r="DI151" s="22">
        <f t="shared" si="123"/>
        <v>8.523423685953027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268.00000000000011</v>
      </c>
      <c r="O152" s="13">
        <f>N152*VLOOKUP('Données projet'!$B$9,Paramètres!$A$1:$I$89,3,0)*VLOOKUP('Données projet'!$B$9,Paramètres!$A$1:$I$89,5,0)</f>
        <v>242.48640000000009</v>
      </c>
      <c r="P152" s="13">
        <f t="shared" si="141"/>
        <v>58.974170235372476</v>
      </c>
      <c r="Q152" s="20">
        <f t="shared" si="108"/>
        <v>525.04382649327385</v>
      </c>
      <c r="R152" s="59">
        <f t="shared" si="109"/>
        <v>818.37715982660711</v>
      </c>
      <c r="S152" s="59">
        <f ca="1">AVERAGE(OFFSET($R$3,0,0,'Données projet'!$E$9+1,1))-AVERAGE(OFFSET($H$3,0,0,'Données projet'!$E$9+1,1))</f>
        <v>371.7282125501186</v>
      </c>
      <c r="T152" s="59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32.853311855444545</v>
      </c>
      <c r="AA152" s="21">
        <f>EXP(-LN(2)/25)*AA151+(1-EXP(-LN(2)/25))/(LN(2)/25)*Calculateur!V152*Calculateur!X152*VLOOKUP('Données projet'!$B$9,Paramètres!$A$1:$I$89,3,0)*0.475*44/12</f>
        <v>1.1068522829963112</v>
      </c>
      <c r="AB152" s="21">
        <f>EXP(-LN(2)/2)*AB151+(1-EXP(-LN(2)/2))/(LN(2)/2)*V152*Y152*VLOOKUP('Données projet'!$B$9,Paramètres!$A$1:$I$89,3,0)*0.475*44/12</f>
        <v>4.6227525779972345E-5</v>
      </c>
      <c r="AC152" s="22">
        <f t="shared" si="111"/>
        <v>33.960210365966638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1.7053025658242404E-13</v>
      </c>
      <c r="AJ152" s="13">
        <f>AI152*VLOOKUP('Données projet'!$B$10,Paramètres!$A$1:$I$89,3,0)*VLOOKUP('Données projet'!$B$10,Paramètres!$A$1:$I$89,5,0)</f>
        <v>7.9808160080574461E-14</v>
      </c>
      <c r="AK152" s="13">
        <f t="shared" si="143"/>
        <v>1.2308384591775343E-12</v>
      </c>
      <c r="AL152" s="20">
        <f t="shared" si="112"/>
        <v>2.282709528541206E-12</v>
      </c>
      <c r="AM152" s="59">
        <f t="shared" si="113"/>
        <v>293.33333333333559</v>
      </c>
      <c r="AN152" s="59">
        <f ca="1">AVERAGE(OFFSET($AM$3,0,0,'Données projet'!$E$10+1,1))-AVERAGE(OFFSET($H$3,0,0,'Données projet'!$E$10+1,1))</f>
        <v>218.32525311070435</v>
      </c>
      <c r="AO152" s="59">
        <f t="shared" si="144"/>
        <v>275.36315264099204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14.964600731196505</v>
      </c>
      <c r="AV152" s="21">
        <f>EXP(-LN(2)/25)*AV151+(1-EXP(-LN(2)/25))/(LN(2)/25)*Calculateur!AQ152*Calculateur!AS152*VLOOKUP('Données projet'!$B$10,Paramètres!$A$1:$I$89,3,0)*0.475*44/12</f>
        <v>3.1916441800955839</v>
      </c>
      <c r="AW152" s="21">
        <f>EXP(-LN(2)/2)*AW151+(1-EXP(-LN(2)/2))/(LN(2)/2)*AQ152*AT152*VLOOKUP('Données projet'!$B$10,Paramètres!$A$1:$I$89,3,0)*0.475*44/12</f>
        <v>2.6230456320247903E-12</v>
      </c>
      <c r="AX152" s="21">
        <f t="shared" si="114"/>
        <v>18.15624491129471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343</v>
      </c>
      <c r="BE152" s="13">
        <f>BD152*VLOOKUP('Données projet'!$B$11,Paramètres!$A$1:$I$89,3,0)*VLOOKUP('Données projet'!$B$11,Paramètres!$A$1:$I$89,5,0)</f>
        <v>326.39879999999999</v>
      </c>
      <c r="BF152" s="13">
        <f t="shared" si="145"/>
        <v>76.683210401884097</v>
      </c>
      <c r="BG152" s="20">
        <f t="shared" si="115"/>
        <v>702.03450144994804</v>
      </c>
      <c r="BH152" s="59">
        <f t="shared" si="116"/>
        <v>995.3678347832813</v>
      </c>
      <c r="BI152" s="59">
        <f ca="1">AVERAGE(OFFSET($BH$3,0,0,'Données projet'!$E$11+1,1))-AVERAGE(OFFSET($H$3,0,0,'Données projet'!$E$11+1,1))</f>
        <v>446.62872871405051</v>
      </c>
      <c r="BJ152" s="59">
        <f t="shared" si="146"/>
        <v>471.28934889691658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12.447225932389502</v>
      </c>
      <c r="BQ152" s="21">
        <f>EXP(-LN(2)/25)*BQ151+(1-EXP(-LN(2)/25))/(LN(2)/25)*Calculateur!BL152*Calculateur!BN152*VLOOKUP('Données projet'!$B$11,Paramètres!$A$1:$I$89,3,0)*0.475*44/12</f>
        <v>0.37612649035927886</v>
      </c>
      <c r="BR152" s="21">
        <f>EXP(-LN(2)/2)*BR151+(1-EXP(-LN(2)/2))/(LN(2)/2)*BL152*BO152*VLOOKUP('Données projet'!$B$11,Paramètres!$A$1:$I$89,3,0)*0.475*44/12</f>
        <v>2.2038493483756404E-12</v>
      </c>
      <c r="BS152" s="22">
        <f t="shared" si="117"/>
        <v>12.823352422750986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991.00000000000011</v>
      </c>
      <c r="BZ152" s="13">
        <f>BY152*VLOOKUP('Données projet'!$B$12,Paramètres!$A$1:$I$89,3,0)*VLOOKUP('Données projet'!$B$12,Paramètres!$A$1:$I$89,5,0)</f>
        <v>438.02200000000011</v>
      </c>
      <c r="CA152" s="13">
        <f t="shared" si="147"/>
        <v>99.443834741543355</v>
      </c>
      <c r="CB152" s="20">
        <f t="shared" si="118"/>
        <v>936.08632884152132</v>
      </c>
      <c r="CC152" s="59">
        <f t="shared" si="119"/>
        <v>1229.4196621748547</v>
      </c>
      <c r="CD152" s="59">
        <f ca="1">AVERAGE(OFFSET($CC$3,0,0,'Données projet'!$E$12+1,1))-AVERAGE(OFFSET($H$3,0,0,'Données projet'!$E$12+1,1))</f>
        <v>534.99316143569899</v>
      </c>
      <c r="CE152" s="59">
        <f t="shared" si="148"/>
        <v>449.56965858934262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17.879847668475328</v>
      </c>
      <c r="CL152" s="21">
        <f>EXP(-LN(2)/25)*CL151+(1-EXP(-LN(2)/25))/(LN(2)/25)*Calculateur!CG152*Calculateur!CI152*VLOOKUP('Données projet'!$B$12,Paramètres!$A$1:$I$89,3,0)*0.475*44/12</f>
        <v>4.7301637408693429</v>
      </c>
      <c r="CM152" s="21">
        <f>EXP(-LN(2)/2)*CM151+(1-EXP(-LN(2)/2))/(LN(2)/2)*CG152*CJ152*VLOOKUP('Données projet'!$B$12,Paramètres!$A$1:$I$89,3,0)*0.475*44/12</f>
        <v>1.122100716543889E-10</v>
      </c>
      <c r="CN152" s="22">
        <f t="shared" si="120"/>
        <v>22.610011409456881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251.00000000000006</v>
      </c>
      <c r="CU152" s="17">
        <f>CT152*VLOOKUP('Données projet'!$B$13,Paramètres!$A$1:$I$89,3,0)*VLOOKUP('Données projet'!$B$13,Paramètres!$A$1:$I$89,5,0)</f>
        <v>285.83880000000011</v>
      </c>
      <c r="CV152" s="13">
        <f t="shared" si="149"/>
        <v>68.199429147498265</v>
      </c>
      <c r="CW152" s="20">
        <f t="shared" si="121"/>
        <v>616.61658243189299</v>
      </c>
      <c r="CX152" s="59">
        <f t="shared" si="122"/>
        <v>909.94991576522625</v>
      </c>
      <c r="CY152" s="59">
        <f ca="1">AVERAGE(OFFSET($CX$3,0,0,'Données projet'!$E$13+1,1))-AVERAGE(OFFSET($H$3,0,0,'Données projet'!$E$13+1,1))</f>
        <v>389.89050053480827</v>
      </c>
      <c r="CZ152" s="59">
        <f t="shared" si="150"/>
        <v>216.40816051909616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7.711169065917856</v>
      </c>
      <c r="DG152" s="21">
        <f>EXP(-LN(2)/25)*DG151+(1-EXP(-LN(2)/25))/(LN(2)/25)*Calculateur!DB152*Calculateur!DD152*VLOOKUP('Données projet'!$B$13,Paramètres!$A$1:$I$89,3,0)*0.475*44/12</f>
        <v>0.63998804965646361</v>
      </c>
      <c r="DH152" s="21">
        <f>EXP(-LN(2)/2)*DH151+(1-EXP(-LN(2)/2))/(LN(2)/2)*DB152*DE152*VLOOKUP('Données projet'!$B$13,Paramètres!$A$1:$I$89,3,0)*0.475*44/12</f>
        <v>2.7057760161921753E-5</v>
      </c>
      <c r="DI152" s="22">
        <f t="shared" si="123"/>
        <v>8.3511841733344827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268.00000000000011</v>
      </c>
      <c r="O153" s="13">
        <f>N153*VLOOKUP('Données projet'!$B$9,Paramètres!$A$1:$I$89,3,0)*VLOOKUP('Données projet'!$B$9,Paramètres!$A$1:$I$89,5,0)</f>
        <v>242.48640000000009</v>
      </c>
      <c r="P153" s="13">
        <f t="shared" si="141"/>
        <v>58.974170235372476</v>
      </c>
      <c r="Q153" s="20">
        <f t="shared" si="108"/>
        <v>525.04382649327385</v>
      </c>
      <c r="R153" s="59">
        <f t="shared" si="109"/>
        <v>818.37715982660711</v>
      </c>
      <c r="S153" s="59">
        <f ca="1">AVERAGE(OFFSET($R$3,0,0,'Données projet'!$E$9+1,1))-AVERAGE(OFFSET($H$3,0,0,'Données projet'!$E$9+1,1))</f>
        <v>371.7282125501186</v>
      </c>
      <c r="T153" s="59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32.209078448500868</v>
      </c>
      <c r="AA153" s="21">
        <f>EXP(-LN(2)/25)*AA152+(1-EXP(-LN(2)/25))/(LN(2)/25)*Calculateur!V153*Calculateur!X153*VLOOKUP('Données projet'!$B$9,Paramètres!$A$1:$I$89,3,0)*0.475*44/12</f>
        <v>1.0765853491109452</v>
      </c>
      <c r="AB153" s="21">
        <f>EXP(-LN(2)/2)*AB152+(1-EXP(-LN(2)/2))/(LN(2)/2)*V153*Y153*VLOOKUP('Données projet'!$B$9,Paramètres!$A$1:$I$89,3,0)*0.475*44/12</f>
        <v>3.268779695649439E-5</v>
      </c>
      <c r="AC153" s="22">
        <f t="shared" si="111"/>
        <v>33.285696485408771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1.7053025658242404E-13</v>
      </c>
      <c r="AJ153" s="13">
        <f>AI153*VLOOKUP('Données projet'!$B$10,Paramètres!$A$1:$I$89,3,0)*VLOOKUP('Données projet'!$B$10,Paramètres!$A$1:$I$89,5,0)</f>
        <v>7.9808160080574461E-14</v>
      </c>
      <c r="AK153" s="13">
        <f t="shared" si="143"/>
        <v>1.2308384591775343E-12</v>
      </c>
      <c r="AL153" s="20">
        <f t="shared" si="112"/>
        <v>2.282709528541206E-12</v>
      </c>
      <c r="AM153" s="59">
        <f t="shared" si="113"/>
        <v>293.33333333333559</v>
      </c>
      <c r="AN153" s="59">
        <f ca="1">AVERAGE(OFFSET($AM$3,0,0,'Données projet'!$E$10+1,1))-AVERAGE(OFFSET($H$3,0,0,'Données projet'!$E$10+1,1))</f>
        <v>218.32525311070435</v>
      </c>
      <c r="AO153" s="59">
        <f t="shared" si="144"/>
        <v>275.36315264099204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14.671154038362921</v>
      </c>
      <c r="AV153" s="21">
        <f>EXP(-LN(2)/25)*AV152+(1-EXP(-LN(2)/25))/(LN(2)/25)*Calculateur!AQ153*Calculateur!AS153*VLOOKUP('Données projet'!$B$10,Paramètres!$A$1:$I$89,3,0)*0.475*44/12</f>
        <v>3.1043685021495975</v>
      </c>
      <c r="AW153" s="21">
        <f>EXP(-LN(2)/2)*AW152+(1-EXP(-LN(2)/2))/(LN(2)/2)*AQ153*AT153*VLOOKUP('Données projet'!$B$10,Paramètres!$A$1:$I$89,3,0)*0.475*44/12</f>
        <v>1.8547733537664826E-12</v>
      </c>
      <c r="AX153" s="21">
        <f t="shared" si="114"/>
        <v>17.775522540514373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343</v>
      </c>
      <c r="BE153" s="13">
        <f>BD153*VLOOKUP('Données projet'!$B$11,Paramètres!$A$1:$I$89,3,0)*VLOOKUP('Données projet'!$B$11,Paramètres!$A$1:$I$89,5,0)</f>
        <v>326.39879999999999</v>
      </c>
      <c r="BF153" s="13">
        <f t="shared" si="145"/>
        <v>76.683210401884097</v>
      </c>
      <c r="BG153" s="20">
        <f t="shared" si="115"/>
        <v>702.03450144994804</v>
      </c>
      <c r="BH153" s="59">
        <f t="shared" si="116"/>
        <v>995.3678347832813</v>
      </c>
      <c r="BI153" s="59">
        <f ca="1">AVERAGE(OFFSET($BH$3,0,0,'Données projet'!$E$11+1,1))-AVERAGE(OFFSET($H$3,0,0,'Données projet'!$E$11+1,1))</f>
        <v>446.62872871405051</v>
      </c>
      <c r="BJ153" s="59">
        <f t="shared" si="146"/>
        <v>471.28934889691658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12.203143423913509</v>
      </c>
      <c r="BQ153" s="21">
        <f>EXP(-LN(2)/25)*BQ152+(1-EXP(-LN(2)/25))/(LN(2)/25)*Calculateur!BL153*Calculateur!BN153*VLOOKUP('Données projet'!$B$11,Paramètres!$A$1:$I$89,3,0)*0.475*44/12</f>
        <v>0.3658412917007719</v>
      </c>
      <c r="BR153" s="21">
        <f>EXP(-LN(2)/2)*BR152+(1-EXP(-LN(2)/2))/(LN(2)/2)*BL153*BO153*VLOOKUP('Données projet'!$B$11,Paramètres!$A$1:$I$89,3,0)*0.475*44/12</f>
        <v>1.5583568189499693E-12</v>
      </c>
      <c r="BS153" s="22">
        <f t="shared" si="117"/>
        <v>12.568984715615839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991.00000000000011</v>
      </c>
      <c r="BZ153" s="13">
        <f>BY153*VLOOKUP('Données projet'!$B$12,Paramètres!$A$1:$I$89,3,0)*VLOOKUP('Données projet'!$B$12,Paramètres!$A$1:$I$89,5,0)</f>
        <v>438.02200000000011</v>
      </c>
      <c r="CA153" s="13">
        <f t="shared" si="147"/>
        <v>99.443834741543355</v>
      </c>
      <c r="CB153" s="20">
        <f t="shared" si="118"/>
        <v>936.08632884152132</v>
      </c>
      <c r="CC153" s="59">
        <f t="shared" si="119"/>
        <v>1229.4196621748547</v>
      </c>
      <c r="CD153" s="59">
        <f ca="1">AVERAGE(OFFSET($CC$3,0,0,'Données projet'!$E$12+1,1))-AVERAGE(OFFSET($H$3,0,0,'Données projet'!$E$12+1,1))</f>
        <v>534.99316143569899</v>
      </c>
      <c r="CE153" s="59">
        <f t="shared" si="148"/>
        <v>449.56965858934262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17.529234761326762</v>
      </c>
      <c r="CL153" s="21">
        <f>EXP(-LN(2)/25)*CL152+(1-EXP(-LN(2)/25))/(LN(2)/25)*Calculateur!CG153*Calculateur!CI153*VLOOKUP('Données projet'!$B$12,Paramètres!$A$1:$I$89,3,0)*0.475*44/12</f>
        <v>4.6008171646267702</v>
      </c>
      <c r="CM153" s="21">
        <f>EXP(-LN(2)/2)*CM152+(1-EXP(-LN(2)/2))/(LN(2)/2)*CG153*CJ153*VLOOKUP('Données projet'!$B$12,Paramètres!$A$1:$I$89,3,0)*0.475*44/12</f>
        <v>7.93445025842468E-11</v>
      </c>
      <c r="CN153" s="22">
        <f t="shared" si="120"/>
        <v>22.130051926032873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251.00000000000006</v>
      </c>
      <c r="CU153" s="17">
        <f>CT153*VLOOKUP('Données projet'!$B$13,Paramètres!$A$1:$I$89,3,0)*VLOOKUP('Données projet'!$B$13,Paramètres!$A$1:$I$89,5,0)</f>
        <v>285.83880000000011</v>
      </c>
      <c r="CV153" s="13">
        <f t="shared" si="149"/>
        <v>68.199429147498265</v>
      </c>
      <c r="CW153" s="20">
        <f t="shared" si="121"/>
        <v>616.61658243189299</v>
      </c>
      <c r="CX153" s="59">
        <f t="shared" si="122"/>
        <v>909.94991576522625</v>
      </c>
      <c r="CY153" s="59">
        <f ca="1">AVERAGE(OFFSET($CX$3,0,0,'Données projet'!$E$13+1,1))-AVERAGE(OFFSET($H$3,0,0,'Données projet'!$E$13+1,1))</f>
        <v>389.89050053480827</v>
      </c>
      <c r="CZ153" s="59">
        <f t="shared" si="150"/>
        <v>216.40816051909616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7.5599577438839196</v>
      </c>
      <c r="DG153" s="21">
        <f>EXP(-LN(2)/25)*DG152+(1-EXP(-LN(2)/25))/(LN(2)/25)*Calculateur!DB153*Calculateur!DD153*VLOOKUP('Données projet'!$B$13,Paramètres!$A$1:$I$89,3,0)*0.475*44/12</f>
        <v>0.62248754278309881</v>
      </c>
      <c r="DH153" s="21">
        <f>EXP(-LN(2)/2)*DH152+(1-EXP(-LN(2)/2))/(LN(2)/2)*DB153*DE153*VLOOKUP('Données projet'!$B$13,Paramètres!$A$1:$I$89,3,0)*0.475*44/12</f>
        <v>1.9132725694214088E-5</v>
      </c>
      <c r="DI153" s="22">
        <f t="shared" si="123"/>
        <v>8.1824644193927121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268.00000000000011</v>
      </c>
      <c r="O154" s="13">
        <f>N154*VLOOKUP('Données projet'!$B$9,Paramètres!$A$1:$I$89,3,0)*VLOOKUP('Données projet'!$B$9,Paramètres!$A$1:$I$89,5,0)</f>
        <v>242.48640000000009</v>
      </c>
      <c r="P154" s="13">
        <f t="shared" si="141"/>
        <v>58.974170235372476</v>
      </c>
      <c r="Q154" s="20">
        <f t="shared" ref="Q154:Q203" si="162">(O154+P154)*0.475*44/12</f>
        <v>525.04382649327385</v>
      </c>
      <c r="R154" s="59">
        <f t="shared" si="109"/>
        <v>818.37715982660711</v>
      </c>
      <c r="S154" s="59">
        <f ca="1">AVERAGE(OFFSET($R$3,0,0,'Données projet'!$E$9+1,1))-AVERAGE(OFFSET($H$3,0,0,'Données projet'!$E$9+1,1))</f>
        <v>371.7282125501186</v>
      </c>
      <c r="T154" s="59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31.577478065723778</v>
      </c>
      <c r="AA154" s="21">
        <f>EXP(-LN(2)/25)*AA153+(1-EXP(-LN(2)/25))/(LN(2)/25)*Calculateur!V154*Calculateur!X154*VLOOKUP('Données projet'!$B$9,Paramètres!$A$1:$I$89,3,0)*0.475*44/12</f>
        <v>1.0471460661243435</v>
      </c>
      <c r="AB154" s="21">
        <f>EXP(-LN(2)/2)*AB153+(1-EXP(-LN(2)/2))/(LN(2)/2)*V154*Y154*VLOOKUP('Données projet'!$B$9,Paramètres!$A$1:$I$89,3,0)*0.475*44/12</f>
        <v>2.3113762889986173E-5</v>
      </c>
      <c r="AC154" s="22">
        <f t="shared" ref="AC154:AC203" si="163">SUM(Z154:AB154)</f>
        <v>32.624647245611015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1.7053025658242404E-13</v>
      </c>
      <c r="AJ154" s="13">
        <f>AI154*VLOOKUP('Données projet'!$B$10,Paramètres!$A$1:$I$89,3,0)*VLOOKUP('Données projet'!$B$10,Paramètres!$A$1:$I$89,5,0)</f>
        <v>7.9808160080574461E-14</v>
      </c>
      <c r="AK154" s="13">
        <f t="shared" ref="AK154:AK203" si="164">EXP(-1.0587+0.8836*LN(AJ154)+0.284)</f>
        <v>1.2308384591775343E-12</v>
      </c>
      <c r="AL154" s="20">
        <f t="shared" ref="AL154:AL203" si="165">(AJ154+AK154)*0.475*44/12</f>
        <v>2.282709528541206E-12</v>
      </c>
      <c r="AM154" s="59">
        <f t="shared" si="113"/>
        <v>293.33333333333559</v>
      </c>
      <c r="AN154" s="59">
        <f ca="1">AVERAGE(OFFSET($AM$3,0,0,'Données projet'!$E$10+1,1))-AVERAGE(OFFSET($H$3,0,0,'Données projet'!$E$10+1,1))</f>
        <v>218.32525311070435</v>
      </c>
      <c r="AO154" s="59">
        <f t="shared" si="144"/>
        <v>275.36315264099204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14.383461656190995</v>
      </c>
      <c r="AV154" s="21">
        <f>EXP(-LN(2)/25)*AV153+(1-EXP(-LN(2)/25))/(LN(2)/25)*Calculateur!AQ154*Calculateur!AS154*VLOOKUP('Données projet'!$B$10,Paramètres!$A$1:$I$89,3,0)*0.475*44/12</f>
        <v>3.0194793822066721</v>
      </c>
      <c r="AW154" s="21">
        <f>EXP(-LN(2)/2)*AW153+(1-EXP(-LN(2)/2))/(LN(2)/2)*AQ154*AT154*VLOOKUP('Données projet'!$B$10,Paramètres!$A$1:$I$89,3,0)*0.475*44/12</f>
        <v>1.3115228160123951E-12</v>
      </c>
      <c r="AX154" s="21">
        <f t="shared" ref="AX154:AX203" si="166">SUM(AU154:AW154)</f>
        <v>17.402941038398978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343</v>
      </c>
      <c r="BE154" s="13">
        <f>BD154*VLOOKUP('Données projet'!$B$11,Paramètres!$A$1:$I$89,3,0)*VLOOKUP('Données projet'!$B$11,Paramètres!$A$1:$I$89,5,0)</f>
        <v>326.39879999999999</v>
      </c>
      <c r="BF154" s="13">
        <f t="shared" ref="BF154:BF203" si="167">EXP(-1.0587+0.8836*LN(BE154)+0.284)</f>
        <v>76.683210401884097</v>
      </c>
      <c r="BG154" s="20">
        <f t="shared" ref="BG154:BG203" si="168">(BE154+BF154)*0.475*44/12</f>
        <v>702.03450144994804</v>
      </c>
      <c r="BH154" s="59">
        <f t="shared" si="116"/>
        <v>995.3678347832813</v>
      </c>
      <c r="BI154" s="59">
        <f ca="1">AVERAGE(OFFSET($BH$3,0,0,'Données projet'!$E$11+1,1))-AVERAGE(OFFSET($H$3,0,0,'Données projet'!$E$11+1,1))</f>
        <v>446.62872871405051</v>
      </c>
      <c r="BJ154" s="59">
        <f t="shared" si="146"/>
        <v>471.28934889691658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11.963847224553101</v>
      </c>
      <c r="BQ154" s="21">
        <f>EXP(-LN(2)/25)*BQ153+(1-EXP(-LN(2)/25))/(LN(2)/25)*Calculateur!BL154*Calculateur!BN154*VLOOKUP('Données projet'!$B$11,Paramètres!$A$1:$I$89,3,0)*0.475*44/12</f>
        <v>0.35583734234045689</v>
      </c>
      <c r="BR154" s="21">
        <f>EXP(-LN(2)/2)*BR153+(1-EXP(-LN(2)/2))/(LN(2)/2)*BL154*BO154*VLOOKUP('Données projet'!$B$11,Paramètres!$A$1:$I$89,3,0)*0.475*44/12</f>
        <v>1.1019246741878202E-12</v>
      </c>
      <c r="BS154" s="22">
        <f t="shared" ref="BS154:BS203" si="169">SUM(BP154:BR154)</f>
        <v>12.31968456689466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991.00000000000011</v>
      </c>
      <c r="BZ154" s="13">
        <f>BY154*VLOOKUP('Données projet'!$B$12,Paramètres!$A$1:$I$89,3,0)*VLOOKUP('Données projet'!$B$12,Paramètres!$A$1:$I$89,5,0)</f>
        <v>438.02200000000011</v>
      </c>
      <c r="CA154" s="13">
        <f t="shared" ref="CA154:CA203" si="170">EXP(-1.0587+0.8836*LN(BZ154)+0.284)</f>
        <v>99.443834741543355</v>
      </c>
      <c r="CB154" s="20">
        <f t="shared" ref="CB154:CB203" si="171">(BZ154+CA154)*0.475*44/12</f>
        <v>936.08632884152132</v>
      </c>
      <c r="CC154" s="59">
        <f t="shared" si="119"/>
        <v>1229.4196621748547</v>
      </c>
      <c r="CD154" s="59">
        <f ca="1">AVERAGE(OFFSET($CC$3,0,0,'Données projet'!$E$12+1,1))-AVERAGE(OFFSET($H$3,0,0,'Données projet'!$E$12+1,1))</f>
        <v>534.99316143569899</v>
      </c>
      <c r="CE154" s="59">
        <f t="shared" si="148"/>
        <v>449.56965858934262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17.185497159434625</v>
      </c>
      <c r="CL154" s="21">
        <f>EXP(-LN(2)/25)*CL153+(1-EXP(-LN(2)/25))/(LN(2)/25)*Calculateur!CG154*Calculateur!CI154*VLOOKUP('Données projet'!$B$12,Paramètres!$A$1:$I$89,3,0)*0.475*44/12</f>
        <v>4.4750075773135913</v>
      </c>
      <c r="CM154" s="21">
        <f>EXP(-LN(2)/2)*CM153+(1-EXP(-LN(2)/2))/(LN(2)/2)*CG154*CJ154*VLOOKUP('Données projet'!$B$12,Paramètres!$A$1:$I$89,3,0)*0.475*44/12</f>
        <v>5.6105035827194459E-11</v>
      </c>
      <c r="CN154" s="22">
        <f t="shared" ref="CN154:CN203" si="172">SUM(CK154:CM154)</f>
        <v>21.66050473680432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251.00000000000006</v>
      </c>
      <c r="CU154" s="17">
        <f>CT154*VLOOKUP('Données projet'!$B$13,Paramètres!$A$1:$I$89,3,0)*VLOOKUP('Données projet'!$B$13,Paramètres!$A$1:$I$89,5,0)</f>
        <v>285.83880000000011</v>
      </c>
      <c r="CV154" s="13">
        <f t="shared" ref="CV154:CV203" si="173">EXP(-1.0587+0.8836*LN(CU154)+0.284)</f>
        <v>68.199429147498265</v>
      </c>
      <c r="CW154" s="20">
        <f t="shared" ref="CW154:CW203" si="174">(CU154+CV154)*0.475*44/12</f>
        <v>616.61658243189299</v>
      </c>
      <c r="CX154" s="59">
        <f t="shared" si="122"/>
        <v>909.94991576522625</v>
      </c>
      <c r="CY154" s="59">
        <f ca="1">AVERAGE(OFFSET($CX$3,0,0,'Données projet'!$E$13+1,1))-AVERAGE(OFFSET($H$3,0,0,'Données projet'!$E$13+1,1))</f>
        <v>389.89050053480827</v>
      </c>
      <c r="CZ154" s="59">
        <f t="shared" si="150"/>
        <v>216.40816051909616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7.4117115836452694</v>
      </c>
      <c r="DG154" s="21">
        <f>EXP(-LN(2)/25)*DG153+(1-EXP(-LN(2)/25))/(LN(2)/25)*Calculateur!DB154*Calculateur!DD154*VLOOKUP('Données projet'!$B$13,Paramètres!$A$1:$I$89,3,0)*0.475*44/12</f>
        <v>0.60546558819049778</v>
      </c>
      <c r="DH154" s="21">
        <f>EXP(-LN(2)/2)*DH153+(1-EXP(-LN(2)/2))/(LN(2)/2)*DB154*DE154*VLOOKUP('Données projet'!$B$13,Paramètres!$A$1:$I$89,3,0)*0.475*44/12</f>
        <v>1.3528880080960877E-5</v>
      </c>
      <c r="DI154" s="22">
        <f t="shared" ref="DI154:DI203" si="175">SUM(DF154:DH154)</f>
        <v>8.0171907007158474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268.00000000000011</v>
      </c>
      <c r="O155" s="13">
        <f>N155*VLOOKUP('Données projet'!$B$9,Paramètres!$A$1:$I$89,3,0)*VLOOKUP('Données projet'!$B$9,Paramètres!$A$1:$I$89,5,0)</f>
        <v>242.48640000000009</v>
      </c>
      <c r="P155" s="13">
        <f t="shared" si="141"/>
        <v>58.974170235372476</v>
      </c>
      <c r="Q155" s="20">
        <f t="shared" si="162"/>
        <v>525.04382649327385</v>
      </c>
      <c r="R155" s="59">
        <f t="shared" si="109"/>
        <v>818.37715982660711</v>
      </c>
      <c r="S155" s="59">
        <f ca="1">AVERAGE(OFFSET($R$3,0,0,'Données projet'!$E$9+1,1))-AVERAGE(OFFSET($H$3,0,0,'Données projet'!$E$9+1,1))</f>
        <v>371.7282125501186</v>
      </c>
      <c r="T155" s="59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30.958262981214752</v>
      </c>
      <c r="AA155" s="21">
        <f>EXP(-LN(2)/25)*AA154+(1-EXP(-LN(2)/25))/(LN(2)/25)*Calculateur!V155*Calculateur!X155*VLOOKUP('Données projet'!$B$9,Paramètres!$A$1:$I$89,3,0)*0.475*44/12</f>
        <v>1.018511801879155</v>
      </c>
      <c r="AB155" s="21">
        <f>EXP(-LN(2)/2)*AB154+(1-EXP(-LN(2)/2))/(LN(2)/2)*V155*Y155*VLOOKUP('Données projet'!$B$9,Paramètres!$A$1:$I$89,3,0)*0.475*44/12</f>
        <v>1.6343898478247195E-5</v>
      </c>
      <c r="AC155" s="22">
        <f t="shared" si="163"/>
        <v>31.976791126992385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1.7053025658242404E-13</v>
      </c>
      <c r="AJ155" s="13">
        <f>AI155*VLOOKUP('Données projet'!$B$10,Paramètres!$A$1:$I$89,3,0)*VLOOKUP('Données projet'!$B$10,Paramètres!$A$1:$I$89,5,0)</f>
        <v>7.9808160080574461E-14</v>
      </c>
      <c r="AK155" s="13">
        <f t="shared" si="164"/>
        <v>1.2308384591775343E-12</v>
      </c>
      <c r="AL155" s="20">
        <f t="shared" si="165"/>
        <v>2.282709528541206E-12</v>
      </c>
      <c r="AM155" s="59">
        <f t="shared" si="113"/>
        <v>293.33333333333559</v>
      </c>
      <c r="AN155" s="59">
        <f ca="1">AVERAGE(OFFSET($AM$3,0,0,'Données projet'!$E$10+1,1))-AVERAGE(OFFSET($H$3,0,0,'Données projet'!$E$10+1,1))</f>
        <v>218.32525311070435</v>
      </c>
      <c r="AO155" s="59">
        <f t="shared" si="144"/>
        <v>275.36315264099204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14.101410746158434</v>
      </c>
      <c r="AV155" s="21">
        <f>EXP(-LN(2)/25)*AV154+(1-EXP(-LN(2)/25))/(LN(2)/25)*Calculateur!AQ155*Calculateur!AS155*VLOOKUP('Données projet'!$B$10,Paramètres!$A$1:$I$89,3,0)*0.475*44/12</f>
        <v>2.9369115597127111</v>
      </c>
      <c r="AW155" s="21">
        <f>EXP(-LN(2)/2)*AW154+(1-EXP(-LN(2)/2))/(LN(2)/2)*AQ155*AT155*VLOOKUP('Données projet'!$B$10,Paramètres!$A$1:$I$89,3,0)*0.475*44/12</f>
        <v>9.273866768832413E-13</v>
      </c>
      <c r="AX155" s="21">
        <f t="shared" si="166"/>
        <v>17.038322305872072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343</v>
      </c>
      <c r="BE155" s="13">
        <f>BD155*VLOOKUP('Données projet'!$B$11,Paramètres!$A$1:$I$89,3,0)*VLOOKUP('Données projet'!$B$11,Paramètres!$A$1:$I$89,5,0)</f>
        <v>326.39879999999999</v>
      </c>
      <c r="BF155" s="13">
        <f t="shared" si="167"/>
        <v>76.683210401884097</v>
      </c>
      <c r="BG155" s="20">
        <f t="shared" si="168"/>
        <v>702.03450144994804</v>
      </c>
      <c r="BH155" s="59">
        <f t="shared" si="116"/>
        <v>995.3678347832813</v>
      </c>
      <c r="BI155" s="59">
        <f ca="1">AVERAGE(OFFSET($BH$3,0,0,'Données projet'!$E$11+1,1))-AVERAGE(OFFSET($H$3,0,0,'Données projet'!$E$11+1,1))</f>
        <v>446.62872871405051</v>
      </c>
      <c r="BJ155" s="59">
        <f t="shared" si="146"/>
        <v>471.28934889691658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11.72924347770588</v>
      </c>
      <c r="BQ155" s="21">
        <f>EXP(-LN(2)/25)*BQ154+(1-EXP(-LN(2)/25))/(LN(2)/25)*Calculateur!BL155*Calculateur!BN155*VLOOKUP('Données projet'!$B$11,Paramètres!$A$1:$I$89,3,0)*0.475*44/12</f>
        <v>0.34610695150148452</v>
      </c>
      <c r="BR155" s="21">
        <f>EXP(-LN(2)/2)*BR154+(1-EXP(-LN(2)/2))/(LN(2)/2)*BL155*BO155*VLOOKUP('Données projet'!$B$11,Paramètres!$A$1:$I$89,3,0)*0.475*44/12</f>
        <v>7.7917840947498466E-13</v>
      </c>
      <c r="BS155" s="22">
        <f t="shared" si="169"/>
        <v>12.075350429208145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991.00000000000011</v>
      </c>
      <c r="BZ155" s="13">
        <f>BY155*VLOOKUP('Données projet'!$B$12,Paramètres!$A$1:$I$89,3,0)*VLOOKUP('Données projet'!$B$12,Paramètres!$A$1:$I$89,5,0)</f>
        <v>438.02200000000011</v>
      </c>
      <c r="CA155" s="13">
        <f t="shared" si="170"/>
        <v>99.443834741543355</v>
      </c>
      <c r="CB155" s="20">
        <f t="shared" si="171"/>
        <v>936.08632884152132</v>
      </c>
      <c r="CC155" s="59">
        <f t="shared" si="119"/>
        <v>1229.4196621748547</v>
      </c>
      <c r="CD155" s="59">
        <f ca="1">AVERAGE(OFFSET($CC$3,0,0,'Données projet'!$E$12+1,1))-AVERAGE(OFFSET($H$3,0,0,'Données projet'!$E$12+1,1))</f>
        <v>534.99316143569899</v>
      </c>
      <c r="CE155" s="59">
        <f t="shared" si="148"/>
        <v>449.56965858934262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16.848500042256358</v>
      </c>
      <c r="CL155" s="21">
        <f>EXP(-LN(2)/25)*CL154+(1-EXP(-LN(2)/25))/(LN(2)/25)*Calculateur!CG155*Calculateur!CI155*VLOOKUP('Données projet'!$B$12,Paramètres!$A$1:$I$89,3,0)*0.475*44/12</f>
        <v>4.3526382597815303</v>
      </c>
      <c r="CM155" s="21">
        <f>EXP(-LN(2)/2)*CM154+(1-EXP(-LN(2)/2))/(LN(2)/2)*CG155*CJ155*VLOOKUP('Données projet'!$B$12,Paramètres!$A$1:$I$89,3,0)*0.475*44/12</f>
        <v>3.9672251292123406E-11</v>
      </c>
      <c r="CN155" s="22">
        <f t="shared" si="172"/>
        <v>21.201138302077563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251.00000000000006</v>
      </c>
      <c r="CU155" s="17">
        <f>CT155*VLOOKUP('Données projet'!$B$13,Paramètres!$A$1:$I$89,3,0)*VLOOKUP('Données projet'!$B$13,Paramètres!$A$1:$I$89,5,0)</f>
        <v>285.83880000000011</v>
      </c>
      <c r="CV155" s="13">
        <f t="shared" si="173"/>
        <v>68.199429147498265</v>
      </c>
      <c r="CW155" s="20">
        <f t="shared" si="174"/>
        <v>616.61658243189299</v>
      </c>
      <c r="CX155" s="59">
        <f t="shared" si="122"/>
        <v>909.94991576522625</v>
      </c>
      <c r="CY155" s="59">
        <f ca="1">AVERAGE(OFFSET($CX$3,0,0,'Données projet'!$E$13+1,1))-AVERAGE(OFFSET($H$3,0,0,'Données projet'!$E$13+1,1))</f>
        <v>389.89050053480827</v>
      </c>
      <c r="CZ155" s="59">
        <f t="shared" si="150"/>
        <v>216.40816051909616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7.2663724401876699</v>
      </c>
      <c r="DG155" s="21">
        <f>EXP(-LN(2)/25)*DG154+(1-EXP(-LN(2)/25))/(LN(2)/25)*Calculateur!DB155*Calculateur!DD155*VLOOKUP('Données projet'!$B$13,Paramètres!$A$1:$I$89,3,0)*0.475*44/12</f>
        <v>0.58890909984137718</v>
      </c>
      <c r="DH155" s="21">
        <f>EXP(-LN(2)/2)*DH154+(1-EXP(-LN(2)/2))/(LN(2)/2)*DB155*DE155*VLOOKUP('Données projet'!$B$13,Paramètres!$A$1:$I$89,3,0)*0.475*44/12</f>
        <v>9.5663628471070438E-6</v>
      </c>
      <c r="DI155" s="22">
        <f t="shared" si="175"/>
        <v>7.8552911063918938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268.00000000000011</v>
      </c>
      <c r="O156" s="13">
        <f>N156*VLOOKUP('Données projet'!$B$9,Paramètres!$A$1:$I$89,3,0)*VLOOKUP('Données projet'!$B$9,Paramètres!$A$1:$I$89,5,0)</f>
        <v>242.48640000000009</v>
      </c>
      <c r="P156" s="13">
        <f t="shared" si="141"/>
        <v>58.974170235372476</v>
      </c>
      <c r="Q156" s="20">
        <f t="shared" si="162"/>
        <v>525.04382649327385</v>
      </c>
      <c r="R156" s="59">
        <f t="shared" si="109"/>
        <v>818.37715982660711</v>
      </c>
      <c r="S156" s="59">
        <f ca="1">AVERAGE(OFFSET($R$3,0,0,'Données projet'!$E$9+1,1))-AVERAGE(OFFSET($H$3,0,0,'Données projet'!$E$9+1,1))</f>
        <v>371.7282125501186</v>
      </c>
      <c r="T156" s="59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30.351190326829041</v>
      </c>
      <c r="AA156" s="21">
        <f>EXP(-LN(2)/25)*AA155+(1-EXP(-LN(2)/25))/(LN(2)/25)*Calculateur!V156*Calculateur!X156*VLOOKUP('Données projet'!$B$9,Paramètres!$A$1:$I$89,3,0)*0.475*44/12</f>
        <v>0.99066054309556173</v>
      </c>
      <c r="AB156" s="21">
        <f>EXP(-LN(2)/2)*AB155+(1-EXP(-LN(2)/2))/(LN(2)/2)*V156*Y156*VLOOKUP('Données projet'!$B$9,Paramètres!$A$1:$I$89,3,0)*0.475*44/12</f>
        <v>1.1556881444993086E-5</v>
      </c>
      <c r="AC156" s="22">
        <f t="shared" si="163"/>
        <v>31.341862426806049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1.7053025658242404E-13</v>
      </c>
      <c r="AJ156" s="13">
        <f>AI156*VLOOKUP('Données projet'!$B$10,Paramètres!$A$1:$I$89,3,0)*VLOOKUP('Données projet'!$B$10,Paramètres!$A$1:$I$89,5,0)</f>
        <v>7.9808160080574461E-14</v>
      </c>
      <c r="AK156" s="13">
        <f t="shared" si="164"/>
        <v>1.2308384591775343E-12</v>
      </c>
      <c r="AL156" s="20">
        <f t="shared" si="165"/>
        <v>2.282709528541206E-12</v>
      </c>
      <c r="AM156" s="59">
        <f t="shared" si="113"/>
        <v>293.33333333333559</v>
      </c>
      <c r="AN156" s="59">
        <f ca="1">AVERAGE(OFFSET($AM$3,0,0,'Données projet'!$E$10+1,1))-AVERAGE(OFFSET($H$3,0,0,'Données projet'!$E$10+1,1))</f>
        <v>218.32525311070435</v>
      </c>
      <c r="AO156" s="59">
        <f t="shared" si="144"/>
        <v>275.36315264099204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13.824890682437543</v>
      </c>
      <c r="AV156" s="21">
        <f>EXP(-LN(2)/25)*AV155+(1-EXP(-LN(2)/25))/(LN(2)/25)*Calculateur!AQ156*Calculateur!AS156*VLOOKUP('Données projet'!$B$10,Paramètres!$A$1:$I$89,3,0)*0.475*44/12</f>
        <v>2.8566015586669007</v>
      </c>
      <c r="AW156" s="21">
        <f>EXP(-LN(2)/2)*AW155+(1-EXP(-LN(2)/2))/(LN(2)/2)*AQ156*AT156*VLOOKUP('Données projet'!$B$10,Paramètres!$A$1:$I$89,3,0)*0.475*44/12</f>
        <v>6.5576140800619757E-13</v>
      </c>
      <c r="AX156" s="21">
        <f t="shared" si="166"/>
        <v>16.681492241105101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343</v>
      </c>
      <c r="BE156" s="13">
        <f>BD156*VLOOKUP('Données projet'!$B$11,Paramètres!$A$1:$I$89,3,0)*VLOOKUP('Données projet'!$B$11,Paramètres!$A$1:$I$89,5,0)</f>
        <v>326.39879999999999</v>
      </c>
      <c r="BF156" s="13">
        <f t="shared" si="167"/>
        <v>76.683210401884097</v>
      </c>
      <c r="BG156" s="20">
        <f t="shared" si="168"/>
        <v>702.03450144994804</v>
      </c>
      <c r="BH156" s="59">
        <f t="shared" si="116"/>
        <v>995.3678347832813</v>
      </c>
      <c r="BI156" s="59">
        <f ca="1">AVERAGE(OFFSET($BH$3,0,0,'Données projet'!$E$11+1,1))-AVERAGE(OFFSET($H$3,0,0,'Données projet'!$E$11+1,1))</f>
        <v>446.62872871405051</v>
      </c>
      <c r="BJ156" s="59">
        <f t="shared" si="146"/>
        <v>471.28934889691658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11.499240167240178</v>
      </c>
      <c r="BQ156" s="21">
        <f>EXP(-LN(2)/25)*BQ155+(1-EXP(-LN(2)/25))/(LN(2)/25)*Calculateur!BL156*Calculateur!BN156*VLOOKUP('Données projet'!$B$11,Paramètres!$A$1:$I$89,3,0)*0.475*44/12</f>
        <v>0.33664263871170286</v>
      </c>
      <c r="BR156" s="21">
        <f>EXP(-LN(2)/2)*BR155+(1-EXP(-LN(2)/2))/(LN(2)/2)*BL156*BO156*VLOOKUP('Données projet'!$B$11,Paramètres!$A$1:$I$89,3,0)*0.475*44/12</f>
        <v>5.509623370939101E-13</v>
      </c>
      <c r="BS156" s="22">
        <f t="shared" si="169"/>
        <v>11.835882805952432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991.00000000000011</v>
      </c>
      <c r="BZ156" s="13">
        <f>BY156*VLOOKUP('Données projet'!$B$12,Paramètres!$A$1:$I$89,3,0)*VLOOKUP('Données projet'!$B$12,Paramètres!$A$1:$I$89,5,0)</f>
        <v>438.02200000000011</v>
      </c>
      <c r="CA156" s="13">
        <f t="shared" si="170"/>
        <v>99.443834741543355</v>
      </c>
      <c r="CB156" s="20">
        <f t="shared" si="171"/>
        <v>936.08632884152132</v>
      </c>
      <c r="CC156" s="59">
        <f t="shared" si="119"/>
        <v>1229.4196621748547</v>
      </c>
      <c r="CD156" s="59">
        <f ca="1">AVERAGE(OFFSET($CC$3,0,0,'Données projet'!$E$12+1,1))-AVERAGE(OFFSET($H$3,0,0,'Données projet'!$E$12+1,1))</f>
        <v>534.99316143569899</v>
      </c>
      <c r="CE156" s="59">
        <f t="shared" si="148"/>
        <v>449.56965858934262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16.51811123299801</v>
      </c>
      <c r="CL156" s="21">
        <f>EXP(-LN(2)/25)*CL155+(1-EXP(-LN(2)/25))/(LN(2)/25)*Calculateur!CG156*Calculateur!CI156*VLOOKUP('Données projet'!$B$12,Paramètres!$A$1:$I$89,3,0)*0.475*44/12</f>
        <v>4.2336151376725066</v>
      </c>
      <c r="CM156" s="21">
        <f>EXP(-LN(2)/2)*CM155+(1-EXP(-LN(2)/2))/(LN(2)/2)*CG156*CJ156*VLOOKUP('Données projet'!$B$12,Paramètres!$A$1:$I$89,3,0)*0.475*44/12</f>
        <v>2.8052517913597236E-11</v>
      </c>
      <c r="CN156" s="22">
        <f t="shared" si="172"/>
        <v>20.75172637069857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251.00000000000006</v>
      </c>
      <c r="CU156" s="17">
        <f>CT156*VLOOKUP('Données projet'!$B$13,Paramètres!$A$1:$I$89,3,0)*VLOOKUP('Données projet'!$B$13,Paramètres!$A$1:$I$89,5,0)</f>
        <v>285.83880000000011</v>
      </c>
      <c r="CV156" s="13">
        <f t="shared" si="173"/>
        <v>68.199429147498265</v>
      </c>
      <c r="CW156" s="20">
        <f t="shared" si="174"/>
        <v>616.61658243189299</v>
      </c>
      <c r="CX156" s="59">
        <f t="shared" si="122"/>
        <v>909.94991576522625</v>
      </c>
      <c r="CY156" s="59">
        <f ca="1">AVERAGE(OFFSET($CX$3,0,0,'Données projet'!$E$13+1,1))-AVERAGE(OFFSET($H$3,0,0,'Données projet'!$E$13+1,1))</f>
        <v>389.89050053480827</v>
      </c>
      <c r="CZ156" s="59">
        <f t="shared" si="150"/>
        <v>216.40816051909616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7.1238833086851496</v>
      </c>
      <c r="DG156" s="21">
        <f>EXP(-LN(2)/25)*DG155+(1-EXP(-LN(2)/25))/(LN(2)/25)*Calculateur!DB156*Calculateur!DD156*VLOOKUP('Données projet'!$B$13,Paramètres!$A$1:$I$89,3,0)*0.475*44/12</f>
        <v>0.57280534953683115</v>
      </c>
      <c r="DH156" s="21">
        <f>EXP(-LN(2)/2)*DH155+(1-EXP(-LN(2)/2))/(LN(2)/2)*DB156*DE156*VLOOKUP('Données projet'!$B$13,Paramètres!$A$1:$I$89,3,0)*0.475*44/12</f>
        <v>6.7644400404804383E-6</v>
      </c>
      <c r="DI156" s="22">
        <f t="shared" si="175"/>
        <v>7.696695422662021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268.00000000000011</v>
      </c>
      <c r="O157" s="13">
        <f>N157*VLOOKUP('Données projet'!$B$9,Paramètres!$A$1:$I$89,3,0)*VLOOKUP('Données projet'!$B$9,Paramètres!$A$1:$I$89,5,0)</f>
        <v>242.48640000000009</v>
      </c>
      <c r="P157" s="13">
        <f t="shared" si="141"/>
        <v>58.974170235372476</v>
      </c>
      <c r="Q157" s="20">
        <f t="shared" si="162"/>
        <v>525.04382649327385</v>
      </c>
      <c r="R157" s="59">
        <f t="shared" si="109"/>
        <v>818.37715982660711</v>
      </c>
      <c r="S157" s="59">
        <f ca="1">AVERAGE(OFFSET($R$3,0,0,'Données projet'!$E$9+1,1))-AVERAGE(OFFSET($H$3,0,0,'Données projet'!$E$9+1,1))</f>
        <v>371.7282125501186</v>
      </c>
      <c r="T157" s="59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29.756021996918076</v>
      </c>
      <c r="AA157" s="21">
        <f>EXP(-LN(2)/25)*AA156+(1-EXP(-LN(2)/25))/(LN(2)/25)*Calculateur!V157*Calculateur!X157*VLOOKUP('Données projet'!$B$9,Paramètres!$A$1:$I$89,3,0)*0.475*44/12</f>
        <v>0.96357087844803979</v>
      </c>
      <c r="AB157" s="21">
        <f>EXP(-LN(2)/2)*AB156+(1-EXP(-LN(2)/2))/(LN(2)/2)*V157*Y157*VLOOKUP('Données projet'!$B$9,Paramètres!$A$1:$I$89,3,0)*0.475*44/12</f>
        <v>8.1719492391235974E-6</v>
      </c>
      <c r="AC157" s="22">
        <f t="shared" si="163"/>
        <v>30.719601047315354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1.7053025658242404E-13</v>
      </c>
      <c r="AJ157" s="13">
        <f>AI157*VLOOKUP('Données projet'!$B$10,Paramètres!$A$1:$I$89,3,0)*VLOOKUP('Données projet'!$B$10,Paramètres!$A$1:$I$89,5,0)</f>
        <v>7.9808160080574461E-14</v>
      </c>
      <c r="AK157" s="13">
        <f t="shared" si="164"/>
        <v>1.2308384591775343E-12</v>
      </c>
      <c r="AL157" s="20">
        <f t="shared" si="165"/>
        <v>2.282709528541206E-12</v>
      </c>
      <c r="AM157" s="59">
        <f t="shared" si="113"/>
        <v>293.33333333333559</v>
      </c>
      <c r="AN157" s="59">
        <f ca="1">AVERAGE(OFFSET($AM$3,0,0,'Données projet'!$E$10+1,1))-AVERAGE(OFFSET($H$3,0,0,'Données projet'!$E$10+1,1))</f>
        <v>218.32525311070435</v>
      </c>
      <c r="AO157" s="59">
        <f t="shared" si="144"/>
        <v>275.36315264099204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13.553793008505634</v>
      </c>
      <c r="AV157" s="21">
        <f>EXP(-LN(2)/25)*AV156+(1-EXP(-LN(2)/25))/(LN(2)/25)*Calculateur!AQ157*Calculateur!AS157*VLOOKUP('Données projet'!$B$10,Paramètres!$A$1:$I$89,3,0)*0.475*44/12</f>
        <v>2.7784876388230071</v>
      </c>
      <c r="AW157" s="21">
        <f>EXP(-LN(2)/2)*AW156+(1-EXP(-LN(2)/2))/(LN(2)/2)*AQ157*AT157*VLOOKUP('Données projet'!$B$10,Paramètres!$A$1:$I$89,3,0)*0.475*44/12</f>
        <v>4.6369333844162065E-13</v>
      </c>
      <c r="AX157" s="21">
        <f t="shared" si="166"/>
        <v>16.332280647329107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343</v>
      </c>
      <c r="BE157" s="13">
        <f>BD157*VLOOKUP('Données projet'!$B$11,Paramètres!$A$1:$I$89,3,0)*VLOOKUP('Données projet'!$B$11,Paramètres!$A$1:$I$89,5,0)</f>
        <v>326.39879999999999</v>
      </c>
      <c r="BF157" s="13">
        <f t="shared" si="167"/>
        <v>76.683210401884097</v>
      </c>
      <c r="BG157" s="20">
        <f t="shared" si="168"/>
        <v>702.03450144994804</v>
      </c>
      <c r="BH157" s="59">
        <f t="shared" si="116"/>
        <v>995.3678347832813</v>
      </c>
      <c r="BI157" s="59">
        <f ca="1">AVERAGE(OFFSET($BH$3,0,0,'Données projet'!$E$11+1,1))-AVERAGE(OFFSET($H$3,0,0,'Données projet'!$E$11+1,1))</f>
        <v>446.62872871405051</v>
      </c>
      <c r="BJ157" s="59">
        <f t="shared" si="146"/>
        <v>471.28934889691658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11.27374708140454</v>
      </c>
      <c r="BQ157" s="21">
        <f>EXP(-LN(2)/25)*BQ156+(1-EXP(-LN(2)/25))/(LN(2)/25)*Calculateur!BL157*Calculateur!BN157*VLOOKUP('Données projet'!$B$11,Paramètres!$A$1:$I$89,3,0)*0.475*44/12</f>
        <v>0.3274371280528644</v>
      </c>
      <c r="BR157" s="21">
        <f>EXP(-LN(2)/2)*BR156+(1-EXP(-LN(2)/2))/(LN(2)/2)*BL157*BO157*VLOOKUP('Données projet'!$B$11,Paramètres!$A$1:$I$89,3,0)*0.475*44/12</f>
        <v>3.8958920473749233E-13</v>
      </c>
      <c r="BS157" s="22">
        <f t="shared" si="169"/>
        <v>11.601184209457793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991.00000000000011</v>
      </c>
      <c r="BZ157" s="13">
        <f>BY157*VLOOKUP('Données projet'!$B$12,Paramètres!$A$1:$I$89,3,0)*VLOOKUP('Données projet'!$B$12,Paramètres!$A$1:$I$89,5,0)</f>
        <v>438.02200000000011</v>
      </c>
      <c r="CA157" s="13">
        <f t="shared" si="170"/>
        <v>99.443834741543355</v>
      </c>
      <c r="CB157" s="20">
        <f t="shared" si="171"/>
        <v>936.08632884152132</v>
      </c>
      <c r="CC157" s="59">
        <f t="shared" si="119"/>
        <v>1229.4196621748547</v>
      </c>
      <c r="CD157" s="59">
        <f ca="1">AVERAGE(OFFSET($CC$3,0,0,'Données projet'!$E$12+1,1))-AVERAGE(OFFSET($H$3,0,0,'Données projet'!$E$12+1,1))</f>
        <v>534.99316143569899</v>
      </c>
      <c r="CE157" s="59">
        <f t="shared" si="148"/>
        <v>449.56965858934262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16.194201146771942</v>
      </c>
      <c r="CL157" s="21">
        <f>EXP(-LN(2)/25)*CL156+(1-EXP(-LN(2)/25))/(LN(2)/25)*Calculateur!CG157*Calculateur!CI157*VLOOKUP('Données projet'!$B$12,Paramètres!$A$1:$I$89,3,0)*0.475*44/12</f>
        <v>4.1178467090967077</v>
      </c>
      <c r="CM157" s="21">
        <f>EXP(-LN(2)/2)*CM156+(1-EXP(-LN(2)/2))/(LN(2)/2)*CG157*CJ157*VLOOKUP('Données projet'!$B$12,Paramètres!$A$1:$I$89,3,0)*0.475*44/12</f>
        <v>1.9836125646061706E-11</v>
      </c>
      <c r="CN157" s="22">
        <f t="shared" si="172"/>
        <v>20.312047855888483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251.00000000000006</v>
      </c>
      <c r="CU157" s="17">
        <f>CT157*VLOOKUP('Données projet'!$B$13,Paramètres!$A$1:$I$89,3,0)*VLOOKUP('Données projet'!$B$13,Paramètres!$A$1:$I$89,5,0)</f>
        <v>285.83880000000011</v>
      </c>
      <c r="CV157" s="13">
        <f t="shared" si="173"/>
        <v>68.199429147498265</v>
      </c>
      <c r="CW157" s="20">
        <f t="shared" si="174"/>
        <v>616.61658243189299</v>
      </c>
      <c r="CX157" s="59">
        <f t="shared" si="122"/>
        <v>909.94991576522625</v>
      </c>
      <c r="CY157" s="59">
        <f ca="1">AVERAGE(OFFSET($CX$3,0,0,'Données projet'!$E$13+1,1))-AVERAGE(OFFSET($H$3,0,0,'Données projet'!$E$13+1,1))</f>
        <v>389.89050053480827</v>
      </c>
      <c r="CZ157" s="59">
        <f t="shared" si="150"/>
        <v>216.40816051909616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6.9841883021416056</v>
      </c>
      <c r="DG157" s="21">
        <f>EXP(-LN(2)/25)*DG156+(1-EXP(-LN(2)/25))/(LN(2)/25)*Calculateur!DB157*Calculateur!DD157*VLOOKUP('Données projet'!$B$13,Paramètres!$A$1:$I$89,3,0)*0.475*44/12</f>
        <v>0.55714195713122239</v>
      </c>
      <c r="DH157" s="21">
        <f>EXP(-LN(2)/2)*DH156+(1-EXP(-LN(2)/2))/(LN(2)/2)*DB157*DE157*VLOOKUP('Données projet'!$B$13,Paramètres!$A$1:$I$89,3,0)*0.475*44/12</f>
        <v>4.7831814235535219E-6</v>
      </c>
      <c r="DI157" s="22">
        <f t="shared" si="175"/>
        <v>7.5413350424542509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268.00000000000011</v>
      </c>
      <c r="O158" s="13">
        <f>N158*VLOOKUP('Données projet'!$B$9,Paramètres!$A$1:$I$89,3,0)*VLOOKUP('Données projet'!$B$9,Paramètres!$A$1:$I$89,5,0)</f>
        <v>242.48640000000009</v>
      </c>
      <c r="P158" s="13">
        <f t="shared" si="141"/>
        <v>58.974170235372476</v>
      </c>
      <c r="Q158" s="20">
        <f t="shared" si="162"/>
        <v>525.04382649327385</v>
      </c>
      <c r="R158" s="59">
        <f t="shared" si="109"/>
        <v>818.37715982660711</v>
      </c>
      <c r="S158" s="59">
        <f ca="1">AVERAGE(OFFSET($R$3,0,0,'Données projet'!$E$9+1,1))-AVERAGE(OFFSET($H$3,0,0,'Données projet'!$E$9+1,1))</f>
        <v>371.7282125501186</v>
      </c>
      <c r="T158" s="59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29.172524554939827</v>
      </c>
      <c r="AA158" s="21">
        <f>EXP(-LN(2)/25)*AA157+(1-EXP(-LN(2)/25))/(LN(2)/25)*Calculateur!V158*Calculateur!X158*VLOOKUP('Données projet'!$B$9,Paramètres!$A$1:$I$89,3,0)*0.475*44/12</f>
        <v>0.93722198210488794</v>
      </c>
      <c r="AB158" s="21">
        <f>EXP(-LN(2)/2)*AB157+(1-EXP(-LN(2)/2))/(LN(2)/2)*V158*Y158*VLOOKUP('Données projet'!$B$9,Paramètres!$A$1:$I$89,3,0)*0.475*44/12</f>
        <v>5.7784407224965431E-6</v>
      </c>
      <c r="AC158" s="22">
        <f t="shared" si="163"/>
        <v>30.109752315485437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1.7053025658242404E-13</v>
      </c>
      <c r="AJ158" s="13">
        <f>AI158*VLOOKUP('Données projet'!$B$10,Paramètres!$A$1:$I$89,3,0)*VLOOKUP('Données projet'!$B$10,Paramètres!$A$1:$I$89,5,0)</f>
        <v>7.9808160080574461E-14</v>
      </c>
      <c r="AK158" s="13">
        <f t="shared" si="164"/>
        <v>1.2308384591775343E-12</v>
      </c>
      <c r="AL158" s="20">
        <f t="shared" si="165"/>
        <v>2.282709528541206E-12</v>
      </c>
      <c r="AM158" s="59">
        <f t="shared" si="113"/>
        <v>293.33333333333559</v>
      </c>
      <c r="AN158" s="59">
        <f ca="1">AVERAGE(OFFSET($AM$3,0,0,'Données projet'!$E$10+1,1))-AVERAGE(OFFSET($H$3,0,0,'Données projet'!$E$10+1,1))</f>
        <v>218.32525311070435</v>
      </c>
      <c r="AO158" s="59">
        <f t="shared" si="144"/>
        <v>275.36315264099204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13.288011394606276</v>
      </c>
      <c r="AV158" s="21">
        <f>EXP(-LN(2)/25)*AV157+(1-EXP(-LN(2)/25))/(LN(2)/25)*Calculateur!AQ158*Calculateur!AS158*VLOOKUP('Données projet'!$B$10,Paramètres!$A$1:$I$89,3,0)*0.475*44/12</f>
        <v>2.7025097482250775</v>
      </c>
      <c r="AW158" s="21">
        <f>EXP(-LN(2)/2)*AW157+(1-EXP(-LN(2)/2))/(LN(2)/2)*AQ158*AT158*VLOOKUP('Données projet'!$B$10,Paramètres!$A$1:$I$89,3,0)*0.475*44/12</f>
        <v>3.2788070400309878E-13</v>
      </c>
      <c r="AX158" s="21">
        <f t="shared" si="166"/>
        <v>15.990521142831682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343</v>
      </c>
      <c r="BE158" s="13">
        <f>BD158*VLOOKUP('Données projet'!$B$11,Paramètres!$A$1:$I$89,3,0)*VLOOKUP('Données projet'!$B$11,Paramètres!$A$1:$I$89,5,0)</f>
        <v>326.39879999999999</v>
      </c>
      <c r="BF158" s="13">
        <f t="shared" si="167"/>
        <v>76.683210401884097</v>
      </c>
      <c r="BG158" s="20">
        <f t="shared" si="168"/>
        <v>702.03450144994804</v>
      </c>
      <c r="BH158" s="59">
        <f t="shared" si="116"/>
        <v>995.3678347832813</v>
      </c>
      <c r="BI158" s="59">
        <f ca="1">AVERAGE(OFFSET($BH$3,0,0,'Données projet'!$E$11+1,1))-AVERAGE(OFFSET($H$3,0,0,'Données projet'!$E$11+1,1))</f>
        <v>446.62872871405051</v>
      </c>
      <c r="BJ158" s="59">
        <f t="shared" si="146"/>
        <v>471.28934889691658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11.052675777444938</v>
      </c>
      <c r="BQ158" s="21">
        <f>EXP(-LN(2)/25)*BQ157+(1-EXP(-LN(2)/25))/(LN(2)/25)*Calculateur!BL158*Calculateur!BN158*VLOOKUP('Données projet'!$B$11,Paramètres!$A$1:$I$89,3,0)*0.475*44/12</f>
        <v>0.3184833425670886</v>
      </c>
      <c r="BR158" s="21">
        <f>EXP(-LN(2)/2)*BR157+(1-EXP(-LN(2)/2))/(LN(2)/2)*BL158*BO158*VLOOKUP('Données projet'!$B$11,Paramètres!$A$1:$I$89,3,0)*0.475*44/12</f>
        <v>2.7548116854695505E-13</v>
      </c>
      <c r="BS158" s="22">
        <f t="shared" si="169"/>
        <v>11.371159120012301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991.00000000000011</v>
      </c>
      <c r="BZ158" s="13">
        <f>BY158*VLOOKUP('Données projet'!$B$12,Paramètres!$A$1:$I$89,3,0)*VLOOKUP('Données projet'!$B$12,Paramètres!$A$1:$I$89,5,0)</f>
        <v>438.02200000000011</v>
      </c>
      <c r="CA158" s="13">
        <f t="shared" si="170"/>
        <v>99.443834741543355</v>
      </c>
      <c r="CB158" s="20">
        <f t="shared" si="171"/>
        <v>936.08632884152132</v>
      </c>
      <c r="CC158" s="59">
        <f t="shared" si="119"/>
        <v>1229.4196621748547</v>
      </c>
      <c r="CD158" s="59">
        <f ca="1">AVERAGE(OFFSET($CC$3,0,0,'Données projet'!$E$12+1,1))-AVERAGE(OFFSET($H$3,0,0,'Données projet'!$E$12+1,1))</f>
        <v>534.99316143569899</v>
      </c>
      <c r="CE158" s="59">
        <f t="shared" si="148"/>
        <v>449.56965858934262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15.876642739771123</v>
      </c>
      <c r="CL158" s="21">
        <f>EXP(-LN(2)/25)*CL157+(1-EXP(-LN(2)/25))/(LN(2)/25)*Calculateur!CG158*Calculateur!CI158*VLOOKUP('Données projet'!$B$12,Paramètres!$A$1:$I$89,3,0)*0.475*44/12</f>
        <v>4.0052439742883115</v>
      </c>
      <c r="CM158" s="21">
        <f>EXP(-LN(2)/2)*CM157+(1-EXP(-LN(2)/2))/(LN(2)/2)*CG158*CJ158*VLOOKUP('Données projet'!$B$12,Paramètres!$A$1:$I$89,3,0)*0.475*44/12</f>
        <v>1.402625895679862E-11</v>
      </c>
      <c r="CN158" s="22">
        <f t="shared" si="172"/>
        <v>19.88188671407346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251.00000000000006</v>
      </c>
      <c r="CU158" s="17">
        <f>CT158*VLOOKUP('Données projet'!$B$13,Paramètres!$A$1:$I$89,3,0)*VLOOKUP('Données projet'!$B$13,Paramètres!$A$1:$I$89,5,0)</f>
        <v>285.83880000000011</v>
      </c>
      <c r="CV158" s="13">
        <f t="shared" si="173"/>
        <v>68.199429147498265</v>
      </c>
      <c r="CW158" s="20">
        <f t="shared" si="174"/>
        <v>616.61658243189299</v>
      </c>
      <c r="CX158" s="59">
        <f t="shared" si="122"/>
        <v>909.94991576522625</v>
      </c>
      <c r="CY158" s="59">
        <f ca="1">AVERAGE(OFFSET($CX$3,0,0,'Données projet'!$E$13+1,1))-AVERAGE(OFFSET($H$3,0,0,'Données projet'!$E$13+1,1))</f>
        <v>389.89050053480827</v>
      </c>
      <c r="CZ158" s="59">
        <f t="shared" si="150"/>
        <v>216.40816051909616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6.847232629470839</v>
      </c>
      <c r="DG158" s="21">
        <f>EXP(-LN(2)/25)*DG157+(1-EXP(-LN(2)/25))/(LN(2)/25)*Calculateur!DB158*Calculateur!DD158*VLOOKUP('Données projet'!$B$13,Paramètres!$A$1:$I$89,3,0)*0.475*44/12</f>
        <v>0.5419068810146469</v>
      </c>
      <c r="DH158" s="21">
        <f>EXP(-LN(2)/2)*DH157+(1-EXP(-LN(2)/2))/(LN(2)/2)*DB158*DE158*VLOOKUP('Données projet'!$B$13,Paramètres!$A$1:$I$89,3,0)*0.475*44/12</f>
        <v>3.3822200202402192E-6</v>
      </c>
      <c r="DI158" s="22">
        <f t="shared" si="175"/>
        <v>7.3891428927055065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268.00000000000011</v>
      </c>
      <c r="O159" s="13">
        <f>N159*VLOOKUP('Données projet'!$B$9,Paramètres!$A$1:$I$89,3,0)*VLOOKUP('Données projet'!$B$9,Paramètres!$A$1:$I$89,5,0)</f>
        <v>242.48640000000009</v>
      </c>
      <c r="P159" s="13">
        <f t="shared" si="141"/>
        <v>58.974170235372476</v>
      </c>
      <c r="Q159" s="20">
        <f t="shared" si="162"/>
        <v>525.04382649327385</v>
      </c>
      <c r="R159" s="59">
        <f t="shared" si="109"/>
        <v>818.37715982660711</v>
      </c>
      <c r="S159" s="59">
        <f ca="1">AVERAGE(OFFSET($R$3,0,0,'Données projet'!$E$9+1,1))-AVERAGE(OFFSET($H$3,0,0,'Données projet'!$E$9+1,1))</f>
        <v>371.7282125501186</v>
      </c>
      <c r="T159" s="59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28.600469141900476</v>
      </c>
      <c r="AA159" s="21">
        <f>EXP(-LN(2)/25)*AA158+(1-EXP(-LN(2)/25))/(LN(2)/25)*Calculateur!V159*Calculateur!X159*VLOOKUP('Données projet'!$B$9,Paramètres!$A$1:$I$89,3,0)*0.475*44/12</f>
        <v>0.91159359771786774</v>
      </c>
      <c r="AB159" s="21">
        <f>EXP(-LN(2)/2)*AB158+(1-EXP(-LN(2)/2))/(LN(2)/2)*V159*Y159*VLOOKUP('Données projet'!$B$9,Paramètres!$A$1:$I$89,3,0)*0.475*44/12</f>
        <v>4.0859746195617987E-6</v>
      </c>
      <c r="AC159" s="22">
        <f t="shared" si="163"/>
        <v>29.512066825592964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1.7053025658242404E-13</v>
      </c>
      <c r="AJ159" s="13">
        <f>AI159*VLOOKUP('Données projet'!$B$10,Paramètres!$A$1:$I$89,3,0)*VLOOKUP('Données projet'!$B$10,Paramètres!$A$1:$I$89,5,0)</f>
        <v>7.9808160080574461E-14</v>
      </c>
      <c r="AK159" s="13">
        <f t="shared" si="164"/>
        <v>1.2308384591775343E-12</v>
      </c>
      <c r="AL159" s="20">
        <f t="shared" si="165"/>
        <v>2.282709528541206E-12</v>
      </c>
      <c r="AM159" s="59">
        <f t="shared" si="113"/>
        <v>293.33333333333559</v>
      </c>
      <c r="AN159" s="59">
        <f ca="1">AVERAGE(OFFSET($AM$3,0,0,'Données projet'!$E$10+1,1))-AVERAGE(OFFSET($H$3,0,0,'Données projet'!$E$10+1,1))</f>
        <v>218.32525311070435</v>
      </c>
      <c r="AO159" s="59">
        <f t="shared" si="144"/>
        <v>275.36315264099204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13.027441596044707</v>
      </c>
      <c r="AV159" s="21">
        <f>EXP(-LN(2)/25)*AV158+(1-EXP(-LN(2)/25))/(LN(2)/25)*Calculateur!AQ159*Calculateur!AS159*VLOOKUP('Données projet'!$B$10,Paramètres!$A$1:$I$89,3,0)*0.475*44/12</f>
        <v>2.628609477041052</v>
      </c>
      <c r="AW159" s="21">
        <f>EXP(-LN(2)/2)*AW158+(1-EXP(-LN(2)/2))/(LN(2)/2)*AQ159*AT159*VLOOKUP('Données projet'!$B$10,Paramètres!$A$1:$I$89,3,0)*0.475*44/12</f>
        <v>2.3184666922081033E-13</v>
      </c>
      <c r="AX159" s="21">
        <f t="shared" si="166"/>
        <v>15.656051073085992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343</v>
      </c>
      <c r="BE159" s="13">
        <f>BD159*VLOOKUP('Données projet'!$B$11,Paramètres!$A$1:$I$89,3,0)*VLOOKUP('Données projet'!$B$11,Paramètres!$A$1:$I$89,5,0)</f>
        <v>326.39879999999999</v>
      </c>
      <c r="BF159" s="13">
        <f t="shared" si="167"/>
        <v>76.683210401884097</v>
      </c>
      <c r="BG159" s="20">
        <f t="shared" si="168"/>
        <v>702.03450144994804</v>
      </c>
      <c r="BH159" s="59">
        <f t="shared" si="116"/>
        <v>995.3678347832813</v>
      </c>
      <c r="BI159" s="59">
        <f ca="1">AVERAGE(OFFSET($BH$3,0,0,'Données projet'!$E$11+1,1))-AVERAGE(OFFSET($H$3,0,0,'Données projet'!$E$11+1,1))</f>
        <v>446.62872871405051</v>
      </c>
      <c r="BJ159" s="59">
        <f t="shared" si="146"/>
        <v>471.28934889691658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10.835939546915801</v>
      </c>
      <c r="BQ159" s="21">
        <f>EXP(-LN(2)/25)*BQ158+(1-EXP(-LN(2)/25))/(LN(2)/25)*Calculateur!BL159*Calculateur!BN159*VLOOKUP('Données projet'!$B$11,Paramètres!$A$1:$I$89,3,0)*0.475*44/12</f>
        <v>0.30977439881628049</v>
      </c>
      <c r="BR159" s="21">
        <f>EXP(-LN(2)/2)*BR158+(1-EXP(-LN(2)/2))/(LN(2)/2)*BL159*BO159*VLOOKUP('Données projet'!$B$11,Paramètres!$A$1:$I$89,3,0)*0.475*44/12</f>
        <v>1.9479460236874616E-13</v>
      </c>
      <c r="BS159" s="22">
        <f t="shared" si="169"/>
        <v>11.145713945732277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991.00000000000011</v>
      </c>
      <c r="BZ159" s="13">
        <f>BY159*VLOOKUP('Données projet'!$B$12,Paramètres!$A$1:$I$89,3,0)*VLOOKUP('Données projet'!$B$12,Paramètres!$A$1:$I$89,5,0)</f>
        <v>438.02200000000011</v>
      </c>
      <c r="CA159" s="13">
        <f t="shared" si="170"/>
        <v>99.443834741543355</v>
      </c>
      <c r="CB159" s="20">
        <f t="shared" si="171"/>
        <v>936.08632884152132</v>
      </c>
      <c r="CC159" s="59">
        <f t="shared" si="119"/>
        <v>1229.4196621748547</v>
      </c>
      <c r="CD159" s="59">
        <f ca="1">AVERAGE(OFFSET($CC$3,0,0,'Données projet'!$E$12+1,1))-AVERAGE(OFFSET($H$3,0,0,'Données projet'!$E$12+1,1))</f>
        <v>534.99316143569899</v>
      </c>
      <c r="CE159" s="59">
        <f t="shared" si="148"/>
        <v>449.56965858934262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15.565311459440087</v>
      </c>
      <c r="CL159" s="21">
        <f>EXP(-LN(2)/25)*CL158+(1-EXP(-LN(2)/25))/(LN(2)/25)*Calculateur!CG159*Calculateur!CI159*VLOOKUP('Données projet'!$B$12,Paramètres!$A$1:$I$89,3,0)*0.475*44/12</f>
        <v>3.8957203671847709</v>
      </c>
      <c r="CM159" s="21">
        <f>EXP(-LN(2)/2)*CM158+(1-EXP(-LN(2)/2))/(LN(2)/2)*CG159*CJ159*VLOOKUP('Données projet'!$B$12,Paramètres!$A$1:$I$89,3,0)*0.475*44/12</f>
        <v>9.9180628230308548E-12</v>
      </c>
      <c r="CN159" s="22">
        <f t="shared" si="172"/>
        <v>19.461031826634777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251.00000000000006</v>
      </c>
      <c r="CU159" s="17">
        <f>CT159*VLOOKUP('Données projet'!$B$13,Paramètres!$A$1:$I$89,3,0)*VLOOKUP('Données projet'!$B$13,Paramètres!$A$1:$I$89,5,0)</f>
        <v>285.83880000000011</v>
      </c>
      <c r="CV159" s="13">
        <f t="shared" si="173"/>
        <v>68.199429147498265</v>
      </c>
      <c r="CW159" s="20">
        <f t="shared" si="174"/>
        <v>616.61658243189299</v>
      </c>
      <c r="CX159" s="59">
        <f t="shared" si="122"/>
        <v>909.94991576522625</v>
      </c>
      <c r="CY159" s="59">
        <f ca="1">AVERAGE(OFFSET($CX$3,0,0,'Données projet'!$E$13+1,1))-AVERAGE(OFFSET($H$3,0,0,'Données projet'!$E$13+1,1))</f>
        <v>389.89050053480827</v>
      </c>
      <c r="CZ159" s="59">
        <f t="shared" si="150"/>
        <v>216.40816051909616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6.7129625740064345</v>
      </c>
      <c r="DG159" s="21">
        <f>EXP(-LN(2)/25)*DG158+(1-EXP(-LN(2)/25))/(LN(2)/25)*Calculateur!DB159*Calculateur!DD159*VLOOKUP('Données projet'!$B$13,Paramètres!$A$1:$I$89,3,0)*0.475*44/12</f>
        <v>0.52708840885565711</v>
      </c>
      <c r="DH159" s="21">
        <f>EXP(-LN(2)/2)*DH158+(1-EXP(-LN(2)/2))/(LN(2)/2)*DB159*DE159*VLOOKUP('Données projet'!$B$13,Paramètres!$A$1:$I$89,3,0)*0.475*44/12</f>
        <v>2.391590711776761E-6</v>
      </c>
      <c r="DI159" s="22">
        <f t="shared" si="175"/>
        <v>7.2400533744528035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268.00000000000011</v>
      </c>
      <c r="O160" s="13">
        <f>N160*VLOOKUP('Données projet'!$B$9,Paramètres!$A$1:$I$89,3,0)*VLOOKUP('Données projet'!$B$9,Paramètres!$A$1:$I$89,5,0)</f>
        <v>242.48640000000009</v>
      </c>
      <c r="P160" s="13">
        <f t="shared" si="141"/>
        <v>58.974170235372476</v>
      </c>
      <c r="Q160" s="20">
        <f t="shared" si="162"/>
        <v>525.04382649327385</v>
      </c>
      <c r="R160" s="59">
        <f t="shared" si="109"/>
        <v>818.37715982660711</v>
      </c>
      <c r="S160" s="59">
        <f ca="1">AVERAGE(OFFSET($R$3,0,0,'Données projet'!$E$9+1,1))-AVERAGE(OFFSET($H$3,0,0,'Données projet'!$E$9+1,1))</f>
        <v>371.7282125501186</v>
      </c>
      <c r="T160" s="59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28.039631386591477</v>
      </c>
      <c r="AA160" s="21">
        <f>EXP(-LN(2)/25)*AA159+(1-EXP(-LN(2)/25))/(LN(2)/25)*Calculateur!V160*Calculateur!X160*VLOOKUP('Données projet'!$B$9,Paramètres!$A$1:$I$89,3,0)*0.475*44/12</f>
        <v>0.88666602284964879</v>
      </c>
      <c r="AB160" s="21">
        <f>EXP(-LN(2)/2)*AB159+(1-EXP(-LN(2)/2))/(LN(2)/2)*V160*Y160*VLOOKUP('Données projet'!$B$9,Paramètres!$A$1:$I$89,3,0)*0.475*44/12</f>
        <v>2.8892203612482716E-6</v>
      </c>
      <c r="AC160" s="22">
        <f t="shared" si="163"/>
        <v>28.926300298661488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1.7053025658242404E-13</v>
      </c>
      <c r="AJ160" s="13">
        <f>AI160*VLOOKUP('Données projet'!$B$10,Paramètres!$A$1:$I$89,3,0)*VLOOKUP('Données projet'!$B$10,Paramètres!$A$1:$I$89,5,0)</f>
        <v>7.9808160080574461E-14</v>
      </c>
      <c r="AK160" s="13">
        <f t="shared" si="164"/>
        <v>1.2308384591775343E-12</v>
      </c>
      <c r="AL160" s="20">
        <f t="shared" si="165"/>
        <v>2.282709528541206E-12</v>
      </c>
      <c r="AM160" s="59">
        <f t="shared" si="113"/>
        <v>293.33333333333559</v>
      </c>
      <c r="AN160" s="59">
        <f ca="1">AVERAGE(OFFSET($AM$3,0,0,'Données projet'!$E$10+1,1))-AVERAGE(OFFSET($H$3,0,0,'Données projet'!$E$10+1,1))</f>
        <v>218.32525311070435</v>
      </c>
      <c r="AO160" s="59">
        <f t="shared" si="144"/>
        <v>275.36315264099204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12.771981412301045</v>
      </c>
      <c r="AV160" s="21">
        <f>EXP(-LN(2)/25)*AV159+(1-EXP(-LN(2)/25))/(LN(2)/25)*Calculateur!AQ160*Calculateur!AS160*VLOOKUP('Données projet'!$B$10,Paramètres!$A$1:$I$89,3,0)*0.475*44/12</f>
        <v>2.5567300126587997</v>
      </c>
      <c r="AW160" s="21">
        <f>EXP(-LN(2)/2)*AW159+(1-EXP(-LN(2)/2))/(LN(2)/2)*AQ160*AT160*VLOOKUP('Données projet'!$B$10,Paramètres!$A$1:$I$89,3,0)*0.475*44/12</f>
        <v>1.6394035200154939E-13</v>
      </c>
      <c r="AX160" s="21">
        <f t="shared" si="166"/>
        <v>15.328711424960009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343</v>
      </c>
      <c r="BE160" s="13">
        <f>BD160*VLOOKUP('Données projet'!$B$11,Paramètres!$A$1:$I$89,3,0)*VLOOKUP('Données projet'!$B$11,Paramètres!$A$1:$I$89,5,0)</f>
        <v>326.39879999999999</v>
      </c>
      <c r="BF160" s="13">
        <f t="shared" si="167"/>
        <v>76.683210401884097</v>
      </c>
      <c r="BG160" s="20">
        <f t="shared" si="168"/>
        <v>702.03450144994804</v>
      </c>
      <c r="BH160" s="59">
        <f t="shared" si="116"/>
        <v>995.3678347832813</v>
      </c>
      <c r="BI160" s="59">
        <f ca="1">AVERAGE(OFFSET($BH$3,0,0,'Données projet'!$E$11+1,1))-AVERAGE(OFFSET($H$3,0,0,'Données projet'!$E$11+1,1))</f>
        <v>446.62872871405051</v>
      </c>
      <c r="BJ160" s="59">
        <f t="shared" si="146"/>
        <v>471.28934889691658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10.623453381671295</v>
      </c>
      <c r="BQ160" s="21">
        <f>EXP(-LN(2)/25)*BQ159+(1-EXP(-LN(2)/25))/(LN(2)/25)*Calculateur!BL160*Calculateur!BN160*VLOOKUP('Données projet'!$B$11,Paramètres!$A$1:$I$89,3,0)*0.475*44/12</f>
        <v>0.30130360159032166</v>
      </c>
      <c r="BR160" s="21">
        <f>EXP(-LN(2)/2)*BR159+(1-EXP(-LN(2)/2))/(LN(2)/2)*BL160*BO160*VLOOKUP('Données projet'!$B$11,Paramètres!$A$1:$I$89,3,0)*0.475*44/12</f>
        <v>1.3774058427347753E-13</v>
      </c>
      <c r="BS160" s="22">
        <f t="shared" si="169"/>
        <v>10.924756983261755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991.00000000000011</v>
      </c>
      <c r="BZ160" s="13">
        <f>BY160*VLOOKUP('Données projet'!$B$12,Paramètres!$A$1:$I$89,3,0)*VLOOKUP('Données projet'!$B$12,Paramètres!$A$1:$I$89,5,0)</f>
        <v>438.02200000000011</v>
      </c>
      <c r="CA160" s="13">
        <f t="shared" si="170"/>
        <v>99.443834741543355</v>
      </c>
      <c r="CB160" s="20">
        <f t="shared" si="171"/>
        <v>936.08632884152132</v>
      </c>
      <c r="CC160" s="59">
        <f t="shared" si="119"/>
        <v>1229.4196621748547</v>
      </c>
      <c r="CD160" s="59">
        <f ca="1">AVERAGE(OFFSET($CC$3,0,0,'Données projet'!$E$12+1,1))-AVERAGE(OFFSET($H$3,0,0,'Données projet'!$E$12+1,1))</f>
        <v>534.99316143569899</v>
      </c>
      <c r="CE160" s="59">
        <f t="shared" si="148"/>
        <v>449.56965858934262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15.260085195623013</v>
      </c>
      <c r="CL160" s="21">
        <f>EXP(-LN(2)/25)*CL159+(1-EXP(-LN(2)/25))/(LN(2)/25)*Calculateur!CG160*Calculateur!CI160*VLOOKUP('Données projet'!$B$12,Paramètres!$A$1:$I$89,3,0)*0.475*44/12</f>
        <v>3.7891916888770729</v>
      </c>
      <c r="CM160" s="21">
        <f>EXP(-LN(2)/2)*CM159+(1-EXP(-LN(2)/2))/(LN(2)/2)*CG160*CJ160*VLOOKUP('Données projet'!$B$12,Paramètres!$A$1:$I$89,3,0)*0.475*44/12</f>
        <v>7.0131294783993106E-12</v>
      </c>
      <c r="CN160" s="22">
        <f t="shared" si="172"/>
        <v>19.049276884507098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251.00000000000006</v>
      </c>
      <c r="CU160" s="17">
        <f>CT160*VLOOKUP('Données projet'!$B$13,Paramètres!$A$1:$I$89,3,0)*VLOOKUP('Données projet'!$B$13,Paramètres!$A$1:$I$89,5,0)</f>
        <v>285.83880000000011</v>
      </c>
      <c r="CV160" s="13">
        <f t="shared" si="173"/>
        <v>68.199429147498265</v>
      </c>
      <c r="CW160" s="20">
        <f t="shared" si="174"/>
        <v>616.61658243189299</v>
      </c>
      <c r="CX160" s="59">
        <f t="shared" si="122"/>
        <v>909.94991576522625</v>
      </c>
      <c r="CY160" s="59">
        <f ca="1">AVERAGE(OFFSET($CX$3,0,0,'Données projet'!$E$13+1,1))-AVERAGE(OFFSET($H$3,0,0,'Données projet'!$E$13+1,1))</f>
        <v>389.89050053480827</v>
      </c>
      <c r="CZ160" s="59">
        <f t="shared" si="150"/>
        <v>216.40816051909616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6.5813254724330399</v>
      </c>
      <c r="DG160" s="21">
        <f>EXP(-LN(2)/25)*DG159+(1-EXP(-LN(2)/25))/(LN(2)/25)*Calculateur!DB160*Calculateur!DD160*VLOOKUP('Données projet'!$B$13,Paramètres!$A$1:$I$89,3,0)*0.475*44/12</f>
        <v>0.51267514859712437</v>
      </c>
      <c r="DH160" s="21">
        <f>EXP(-LN(2)/2)*DH159+(1-EXP(-LN(2)/2))/(LN(2)/2)*DB160*DE160*VLOOKUP('Données projet'!$B$13,Paramètres!$A$1:$I$89,3,0)*0.475*44/12</f>
        <v>1.6911100101201096E-6</v>
      </c>
      <c r="DI160" s="22">
        <f t="shared" si="175"/>
        <v>7.0940023121401747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268.00000000000011</v>
      </c>
      <c r="O161" s="13">
        <f>N161*VLOOKUP('Données projet'!$B$9,Paramètres!$A$1:$I$89,3,0)*VLOOKUP('Données projet'!$B$9,Paramètres!$A$1:$I$89,5,0)</f>
        <v>242.48640000000009</v>
      </c>
      <c r="P161" s="13">
        <f t="shared" si="141"/>
        <v>58.974170235372476</v>
      </c>
      <c r="Q161" s="20">
        <f t="shared" si="162"/>
        <v>525.04382649327385</v>
      </c>
      <c r="R161" s="59">
        <f t="shared" si="109"/>
        <v>818.37715982660711</v>
      </c>
      <c r="S161" s="59">
        <f ca="1">AVERAGE(OFFSET($R$3,0,0,'Données projet'!$E$9+1,1))-AVERAGE(OFFSET($H$3,0,0,'Données projet'!$E$9+1,1))</f>
        <v>371.7282125501186</v>
      </c>
      <c r="T161" s="59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27.489791317586835</v>
      </c>
      <c r="AA161" s="21">
        <f>EXP(-LN(2)/25)*AA160+(1-EXP(-LN(2)/25))/(LN(2)/25)*Calculateur!V161*Calculateur!X161*VLOOKUP('Données projet'!$B$9,Paramètres!$A$1:$I$89,3,0)*0.475*44/12</f>
        <v>0.86242009382708551</v>
      </c>
      <c r="AB161" s="21">
        <f>EXP(-LN(2)/2)*AB160+(1-EXP(-LN(2)/2))/(LN(2)/2)*V161*Y161*VLOOKUP('Données projet'!$B$9,Paramètres!$A$1:$I$89,3,0)*0.475*44/12</f>
        <v>2.0429873097808994E-6</v>
      </c>
      <c r="AC161" s="22">
        <f t="shared" si="163"/>
        <v>28.35221345440123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1.7053025658242404E-13</v>
      </c>
      <c r="AJ161" s="13">
        <f>AI161*VLOOKUP('Données projet'!$B$10,Paramètres!$A$1:$I$89,3,0)*VLOOKUP('Données projet'!$B$10,Paramètres!$A$1:$I$89,5,0)</f>
        <v>7.9808160080574461E-14</v>
      </c>
      <c r="AK161" s="13">
        <f t="shared" si="164"/>
        <v>1.2308384591775343E-12</v>
      </c>
      <c r="AL161" s="20">
        <f t="shared" si="165"/>
        <v>2.282709528541206E-12</v>
      </c>
      <c r="AM161" s="59">
        <f t="shared" si="113"/>
        <v>293.33333333333559</v>
      </c>
      <c r="AN161" s="59">
        <f ca="1">AVERAGE(OFFSET($AM$3,0,0,'Données projet'!$E$10+1,1))-AVERAGE(OFFSET($H$3,0,0,'Données projet'!$E$10+1,1))</f>
        <v>218.32525311070435</v>
      </c>
      <c r="AO161" s="59">
        <f t="shared" si="144"/>
        <v>275.36315264099204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12.521530646945271</v>
      </c>
      <c r="AV161" s="21">
        <f>EXP(-LN(2)/25)*AV160+(1-EXP(-LN(2)/25))/(LN(2)/25)*Calculateur!AQ161*Calculateur!AS161*VLOOKUP('Données projet'!$B$10,Paramètres!$A$1:$I$89,3,0)*0.475*44/12</f>
        <v>2.4868160960100569</v>
      </c>
      <c r="AW161" s="21">
        <f>EXP(-LN(2)/2)*AW160+(1-EXP(-LN(2)/2))/(LN(2)/2)*AQ161*AT161*VLOOKUP('Données projet'!$B$10,Paramètres!$A$1:$I$89,3,0)*0.475*44/12</f>
        <v>1.1592333461040516E-13</v>
      </c>
      <c r="AX161" s="21">
        <f t="shared" si="166"/>
        <v>15.008346742955444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343</v>
      </c>
      <c r="BE161" s="13">
        <f>BD161*VLOOKUP('Données projet'!$B$11,Paramètres!$A$1:$I$89,3,0)*VLOOKUP('Données projet'!$B$11,Paramètres!$A$1:$I$89,5,0)</f>
        <v>326.39879999999999</v>
      </c>
      <c r="BF161" s="13">
        <f t="shared" si="167"/>
        <v>76.683210401884097</v>
      </c>
      <c r="BG161" s="20">
        <f t="shared" si="168"/>
        <v>702.03450144994804</v>
      </c>
      <c r="BH161" s="59">
        <f t="shared" si="116"/>
        <v>995.3678347832813</v>
      </c>
      <c r="BI161" s="59">
        <f ca="1">AVERAGE(OFFSET($BH$3,0,0,'Données projet'!$E$11+1,1))-AVERAGE(OFFSET($H$3,0,0,'Données projet'!$E$11+1,1))</f>
        <v>446.62872871405051</v>
      </c>
      <c r="BJ161" s="59">
        <f t="shared" si="146"/>
        <v>471.28934889691658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10.41513394052347</v>
      </c>
      <c r="BQ161" s="21">
        <f>EXP(-LN(2)/25)*BQ160+(1-EXP(-LN(2)/25))/(LN(2)/25)*Calculateur!BL161*Calculateur!BN161*VLOOKUP('Données projet'!$B$11,Paramètres!$A$1:$I$89,3,0)*0.475*44/12</f>
        <v>0.29306443875996652</v>
      </c>
      <c r="BR161" s="21">
        <f>EXP(-LN(2)/2)*BR160+(1-EXP(-LN(2)/2))/(LN(2)/2)*BL161*BO161*VLOOKUP('Données projet'!$B$11,Paramètres!$A$1:$I$89,3,0)*0.475*44/12</f>
        <v>9.7397301184373082E-14</v>
      </c>
      <c r="BS161" s="22">
        <f t="shared" si="169"/>
        <v>10.708198379283534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991.00000000000011</v>
      </c>
      <c r="BZ161" s="13">
        <f>BY161*VLOOKUP('Données projet'!$B$12,Paramètres!$A$1:$I$89,3,0)*VLOOKUP('Données projet'!$B$12,Paramètres!$A$1:$I$89,5,0)</f>
        <v>438.02200000000011</v>
      </c>
      <c r="CA161" s="13">
        <f t="shared" si="170"/>
        <v>99.443834741543355</v>
      </c>
      <c r="CB161" s="20">
        <f t="shared" si="171"/>
        <v>936.08632884152132</v>
      </c>
      <c r="CC161" s="59">
        <f t="shared" si="119"/>
        <v>1229.4196621748547</v>
      </c>
      <c r="CD161" s="59">
        <f ca="1">AVERAGE(OFFSET($CC$3,0,0,'Données projet'!$E$12+1,1))-AVERAGE(OFFSET($H$3,0,0,'Données projet'!$E$12+1,1))</f>
        <v>534.99316143569899</v>
      </c>
      <c r="CE161" s="59">
        <f t="shared" si="148"/>
        <v>449.56965858934262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14.960844232669753</v>
      </c>
      <c r="CL161" s="21">
        <f>EXP(-LN(2)/25)*CL160+(1-EXP(-LN(2)/25))/(LN(2)/25)*Calculateur!CG161*Calculateur!CI161*VLOOKUP('Données projet'!$B$12,Paramètres!$A$1:$I$89,3,0)*0.475*44/12</f>
        <v>3.6855760428797986</v>
      </c>
      <c r="CM161" s="21">
        <f>EXP(-LN(2)/2)*CM160+(1-EXP(-LN(2)/2))/(LN(2)/2)*CG161*CJ161*VLOOKUP('Données projet'!$B$12,Paramètres!$A$1:$I$89,3,0)*0.475*44/12</f>
        <v>4.9590314115154274E-12</v>
      </c>
      <c r="CN161" s="22">
        <f t="shared" si="172"/>
        <v>18.646420275554512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251.00000000000006</v>
      </c>
      <c r="CU161" s="17">
        <f>CT161*VLOOKUP('Données projet'!$B$13,Paramètres!$A$1:$I$89,3,0)*VLOOKUP('Données projet'!$B$13,Paramètres!$A$1:$I$89,5,0)</f>
        <v>285.83880000000011</v>
      </c>
      <c r="CV161" s="13">
        <f t="shared" si="173"/>
        <v>68.199429147498265</v>
      </c>
      <c r="CW161" s="20">
        <f t="shared" si="174"/>
        <v>616.61658243189299</v>
      </c>
      <c r="CX161" s="59">
        <f t="shared" si="122"/>
        <v>909.94991576522625</v>
      </c>
      <c r="CY161" s="59">
        <f ca="1">AVERAGE(OFFSET($CX$3,0,0,'Données projet'!$E$13+1,1))-AVERAGE(OFFSET($H$3,0,0,'Données projet'!$E$13+1,1))</f>
        <v>389.89050053480827</v>
      </c>
      <c r="CZ161" s="59">
        <f t="shared" si="150"/>
        <v>216.40816051909616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6.4522696941307958</v>
      </c>
      <c r="DG161" s="21">
        <f>EXP(-LN(2)/25)*DG160+(1-EXP(-LN(2)/25))/(LN(2)/25)*Calculateur!DB161*Calculateur!DD161*VLOOKUP('Données projet'!$B$13,Paramètres!$A$1:$I$89,3,0)*0.475*44/12</f>
        <v>0.49865601969832168</v>
      </c>
      <c r="DH161" s="21">
        <f>EXP(-LN(2)/2)*DH160+(1-EXP(-LN(2)/2))/(LN(2)/2)*DB161*DE161*VLOOKUP('Données projet'!$B$13,Paramètres!$A$1:$I$89,3,0)*0.475*44/12</f>
        <v>1.1957953558883805E-6</v>
      </c>
      <c r="DI161" s="22">
        <f t="shared" si="175"/>
        <v>6.9509269096244735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268.00000000000011</v>
      </c>
      <c r="O162" s="13">
        <f>N162*VLOOKUP('Données projet'!$B$9,Paramètres!$A$1:$I$89,3,0)*VLOOKUP('Données projet'!$B$9,Paramètres!$A$1:$I$89,5,0)</f>
        <v>242.48640000000009</v>
      </c>
      <c r="P162" s="13">
        <f t="shared" si="141"/>
        <v>58.974170235372476</v>
      </c>
      <c r="Q162" s="20">
        <f t="shared" si="162"/>
        <v>525.04382649327385</v>
      </c>
      <c r="R162" s="59">
        <f t="shared" si="109"/>
        <v>818.37715982660711</v>
      </c>
      <c r="S162" s="59">
        <f ca="1">AVERAGE(OFFSET($R$3,0,0,'Données projet'!$E$9+1,1))-AVERAGE(OFFSET($H$3,0,0,'Données projet'!$E$9+1,1))</f>
        <v>371.7282125501186</v>
      </c>
      <c r="T162" s="59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26.950733276966044</v>
      </c>
      <c r="AA162" s="21">
        <f>EXP(-LN(2)/25)*AA161+(1-EXP(-LN(2)/25))/(LN(2)/25)*Calculateur!V162*Calculateur!X162*VLOOKUP('Données projet'!$B$9,Paramètres!$A$1:$I$89,3,0)*0.475*44/12</f>
        <v>0.83883717100868216</v>
      </c>
      <c r="AB162" s="21">
        <f>EXP(-LN(2)/2)*AB161+(1-EXP(-LN(2)/2))/(LN(2)/2)*V162*Y162*VLOOKUP('Données projet'!$B$9,Paramètres!$A$1:$I$89,3,0)*0.475*44/12</f>
        <v>1.4446101806241358E-6</v>
      </c>
      <c r="AC162" s="22">
        <f t="shared" si="163"/>
        <v>27.789571892584906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1.7053025658242404E-13</v>
      </c>
      <c r="AJ162" s="13">
        <f>AI162*VLOOKUP('Données projet'!$B$10,Paramètres!$A$1:$I$89,3,0)*VLOOKUP('Données projet'!$B$10,Paramètres!$A$1:$I$89,5,0)</f>
        <v>7.9808160080574461E-14</v>
      </c>
      <c r="AK162" s="13">
        <f t="shared" si="164"/>
        <v>1.2308384591775343E-12</v>
      </c>
      <c r="AL162" s="20">
        <f t="shared" si="165"/>
        <v>2.282709528541206E-12</v>
      </c>
      <c r="AM162" s="59">
        <f t="shared" si="113"/>
        <v>293.33333333333559</v>
      </c>
      <c r="AN162" s="59">
        <f ca="1">AVERAGE(OFFSET($AM$3,0,0,'Données projet'!$E$10+1,1))-AVERAGE(OFFSET($H$3,0,0,'Données projet'!$E$10+1,1))</f>
        <v>218.32525311070435</v>
      </c>
      <c r="AO162" s="59">
        <f t="shared" si="144"/>
        <v>275.36315264099204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12.275991068338239</v>
      </c>
      <c r="AV162" s="21">
        <f>EXP(-LN(2)/25)*AV161+(1-EXP(-LN(2)/25))/(LN(2)/25)*Calculateur!AQ162*Calculateur!AS162*VLOOKUP('Données projet'!$B$10,Paramètres!$A$1:$I$89,3,0)*0.475*44/12</f>
        <v>2.4188139790886871</v>
      </c>
      <c r="AW162" s="21">
        <f>EXP(-LN(2)/2)*AW161+(1-EXP(-LN(2)/2))/(LN(2)/2)*AQ162*AT162*VLOOKUP('Données projet'!$B$10,Paramètres!$A$1:$I$89,3,0)*0.475*44/12</f>
        <v>8.1970176000774696E-14</v>
      </c>
      <c r="AX162" s="21">
        <f t="shared" si="166"/>
        <v>14.694805047427009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343</v>
      </c>
      <c r="BE162" s="13">
        <f>BD162*VLOOKUP('Données projet'!$B$11,Paramètres!$A$1:$I$89,3,0)*VLOOKUP('Données projet'!$B$11,Paramètres!$A$1:$I$89,5,0)</f>
        <v>326.39879999999999</v>
      </c>
      <c r="BF162" s="13">
        <f t="shared" si="167"/>
        <v>76.683210401884097</v>
      </c>
      <c r="BG162" s="20">
        <f t="shared" si="168"/>
        <v>702.03450144994804</v>
      </c>
      <c r="BH162" s="59">
        <f t="shared" si="116"/>
        <v>995.3678347832813</v>
      </c>
      <c r="BI162" s="59">
        <f ca="1">AVERAGE(OFFSET($BH$3,0,0,'Données projet'!$E$11+1,1))-AVERAGE(OFFSET($H$3,0,0,'Données projet'!$E$11+1,1))</f>
        <v>446.62872871405051</v>
      </c>
      <c r="BJ162" s="59">
        <f t="shared" si="146"/>
        <v>471.28934889691658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10.210899516554241</v>
      </c>
      <c r="BQ162" s="21">
        <f>EXP(-LN(2)/25)*BQ161+(1-EXP(-LN(2)/25))/(LN(2)/25)*Calculateur!BL162*Calculateur!BN162*VLOOKUP('Données projet'!$B$11,Paramètres!$A$1:$I$89,3,0)*0.475*44/12</f>
        <v>0.28505057627048619</v>
      </c>
      <c r="BR162" s="21">
        <f>EXP(-LN(2)/2)*BR161+(1-EXP(-LN(2)/2))/(LN(2)/2)*BL162*BO162*VLOOKUP('Données projet'!$B$11,Paramètres!$A$1:$I$89,3,0)*0.475*44/12</f>
        <v>6.8870292136738763E-14</v>
      </c>
      <c r="BS162" s="22">
        <f t="shared" si="169"/>
        <v>10.495950092824796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991.00000000000011</v>
      </c>
      <c r="BZ162" s="13">
        <f>BY162*VLOOKUP('Données projet'!$B$12,Paramètres!$A$1:$I$89,3,0)*VLOOKUP('Données projet'!$B$12,Paramètres!$A$1:$I$89,5,0)</f>
        <v>438.02200000000011</v>
      </c>
      <c r="CA162" s="13">
        <f t="shared" si="170"/>
        <v>99.443834741543355</v>
      </c>
      <c r="CB162" s="20">
        <f t="shared" si="171"/>
        <v>936.08632884152132</v>
      </c>
      <c r="CC162" s="59">
        <f t="shared" si="119"/>
        <v>1229.4196621748547</v>
      </c>
      <c r="CD162" s="59">
        <f ca="1">AVERAGE(OFFSET($CC$3,0,0,'Données projet'!$E$12+1,1))-AVERAGE(OFFSET($H$3,0,0,'Données projet'!$E$12+1,1))</f>
        <v>534.99316143569899</v>
      </c>
      <c r="CE162" s="59">
        <f t="shared" si="148"/>
        <v>449.56965858934262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14.667471202481041</v>
      </c>
      <c r="CL162" s="21">
        <f>EXP(-LN(2)/25)*CL161+(1-EXP(-LN(2)/25))/(LN(2)/25)*Calculateur!CG162*Calculateur!CI162*VLOOKUP('Données projet'!$B$12,Paramètres!$A$1:$I$89,3,0)*0.475*44/12</f>
        <v>3.58479377217123</v>
      </c>
      <c r="CM162" s="21">
        <f>EXP(-LN(2)/2)*CM161+(1-EXP(-LN(2)/2))/(LN(2)/2)*CG162*CJ162*VLOOKUP('Données projet'!$B$12,Paramètres!$A$1:$I$89,3,0)*0.475*44/12</f>
        <v>3.5065647391996553E-12</v>
      </c>
      <c r="CN162" s="22">
        <f t="shared" si="172"/>
        <v>18.252264974655777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251.00000000000006</v>
      </c>
      <c r="CU162" s="17">
        <f>CT162*VLOOKUP('Données projet'!$B$13,Paramètres!$A$1:$I$89,3,0)*VLOOKUP('Données projet'!$B$13,Paramètres!$A$1:$I$89,5,0)</f>
        <v>285.83880000000011</v>
      </c>
      <c r="CV162" s="13">
        <f t="shared" si="173"/>
        <v>68.199429147498265</v>
      </c>
      <c r="CW162" s="20">
        <f t="shared" si="174"/>
        <v>616.61658243189299</v>
      </c>
      <c r="CX162" s="59">
        <f t="shared" si="122"/>
        <v>909.94991576522625</v>
      </c>
      <c r="CY162" s="59">
        <f ca="1">AVERAGE(OFFSET($CX$3,0,0,'Données projet'!$E$13+1,1))-AVERAGE(OFFSET($H$3,0,0,'Données projet'!$E$13+1,1))</f>
        <v>389.89050053480827</v>
      </c>
      <c r="CZ162" s="59">
        <f t="shared" si="150"/>
        <v>216.40816051909616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6.325744620924806</v>
      </c>
      <c r="DG162" s="21">
        <f>EXP(-LN(2)/25)*DG161+(1-EXP(-LN(2)/25))/(LN(2)/25)*Calculateur!DB162*Calculateur!DD162*VLOOKUP('Données projet'!$B$13,Paramètres!$A$1:$I$89,3,0)*0.475*44/12</f>
        <v>0.48502024461649068</v>
      </c>
      <c r="DH162" s="21">
        <f>EXP(-LN(2)/2)*DH161+(1-EXP(-LN(2)/2))/(LN(2)/2)*DB162*DE162*VLOOKUP('Données projet'!$B$13,Paramètres!$A$1:$I$89,3,0)*0.475*44/12</f>
        <v>8.4555500506005479E-7</v>
      </c>
      <c r="DI162" s="22">
        <f t="shared" si="175"/>
        <v>6.8107657110963018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268.00000000000011</v>
      </c>
      <c r="O163" s="13">
        <f>N163*VLOOKUP('Données projet'!$B$9,Paramètres!$A$1:$I$89,3,0)*VLOOKUP('Données projet'!$B$9,Paramètres!$A$1:$I$89,5,0)</f>
        <v>242.48640000000009</v>
      </c>
      <c r="P163" s="13">
        <f t="shared" si="141"/>
        <v>58.974170235372476</v>
      </c>
      <c r="Q163" s="20">
        <f t="shared" si="162"/>
        <v>525.04382649327385</v>
      </c>
      <c r="R163" s="59">
        <f t="shared" si="109"/>
        <v>818.37715982660711</v>
      </c>
      <c r="S163" s="59">
        <f ca="1">AVERAGE(OFFSET($R$3,0,0,'Données projet'!$E$9+1,1))-AVERAGE(OFFSET($H$3,0,0,'Données projet'!$E$9+1,1))</f>
        <v>371.7282125501186</v>
      </c>
      <c r="T163" s="59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26.422245835728891</v>
      </c>
      <c r="AA163" s="21">
        <f>EXP(-LN(2)/25)*AA162+(1-EXP(-LN(2)/25))/(LN(2)/25)*Calculateur!V163*Calculateur!X163*VLOOKUP('Données projet'!$B$9,Paramètres!$A$1:$I$89,3,0)*0.475*44/12</f>
        <v>0.81589912445492008</v>
      </c>
      <c r="AB163" s="21">
        <f>EXP(-LN(2)/2)*AB162+(1-EXP(-LN(2)/2))/(LN(2)/2)*V163*Y163*VLOOKUP('Données projet'!$B$9,Paramètres!$A$1:$I$89,3,0)*0.475*44/12</f>
        <v>1.0214936548904497E-6</v>
      </c>
      <c r="AC163" s="22">
        <f t="shared" si="163"/>
        <v>27.238145981677466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1.7053025658242404E-13</v>
      </c>
      <c r="AJ163" s="13">
        <f>AI163*VLOOKUP('Données projet'!$B$10,Paramètres!$A$1:$I$89,3,0)*VLOOKUP('Données projet'!$B$10,Paramètres!$A$1:$I$89,5,0)</f>
        <v>7.9808160080574461E-14</v>
      </c>
      <c r="AK163" s="13">
        <f t="shared" si="164"/>
        <v>1.2308384591775343E-12</v>
      </c>
      <c r="AL163" s="20">
        <f t="shared" si="165"/>
        <v>2.282709528541206E-12</v>
      </c>
      <c r="AM163" s="59">
        <f t="shared" si="113"/>
        <v>293.33333333333559</v>
      </c>
      <c r="AN163" s="59">
        <f ca="1">AVERAGE(OFFSET($AM$3,0,0,'Données projet'!$E$10+1,1))-AVERAGE(OFFSET($H$3,0,0,'Données projet'!$E$10+1,1))</f>
        <v>218.32525311070435</v>
      </c>
      <c r="AO163" s="59">
        <f t="shared" si="144"/>
        <v>275.36315264099204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12.035266371103338</v>
      </c>
      <c r="AV163" s="21">
        <f>EXP(-LN(2)/25)*AV162+(1-EXP(-LN(2)/25))/(LN(2)/25)*Calculateur!AQ163*Calculateur!AS163*VLOOKUP('Données projet'!$B$10,Paramètres!$A$1:$I$89,3,0)*0.475*44/12</f>
        <v>2.3526713836306081</v>
      </c>
      <c r="AW163" s="21">
        <f>EXP(-LN(2)/2)*AW162+(1-EXP(-LN(2)/2))/(LN(2)/2)*AQ163*AT163*VLOOKUP('Données projet'!$B$10,Paramètres!$A$1:$I$89,3,0)*0.475*44/12</f>
        <v>5.7961667305202581E-14</v>
      </c>
      <c r="AX163" s="21">
        <f t="shared" si="166"/>
        <v>14.387937754734006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343</v>
      </c>
      <c r="BE163" s="13">
        <f>BD163*VLOOKUP('Données projet'!$B$11,Paramètres!$A$1:$I$89,3,0)*VLOOKUP('Données projet'!$B$11,Paramètres!$A$1:$I$89,5,0)</f>
        <v>326.39879999999999</v>
      </c>
      <c r="BF163" s="13">
        <f t="shared" si="167"/>
        <v>76.683210401884097</v>
      </c>
      <c r="BG163" s="20">
        <f t="shared" si="168"/>
        <v>702.03450144994804</v>
      </c>
      <c r="BH163" s="59">
        <f t="shared" si="116"/>
        <v>995.3678347832813</v>
      </c>
      <c r="BI163" s="59">
        <f ca="1">AVERAGE(OFFSET($BH$3,0,0,'Données projet'!$E$11+1,1))-AVERAGE(OFFSET($H$3,0,0,'Données projet'!$E$11+1,1))</f>
        <v>446.62872871405051</v>
      </c>
      <c r="BJ163" s="59">
        <f t="shared" si="146"/>
        <v>471.28934889691658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10.01067000506835</v>
      </c>
      <c r="BQ163" s="21">
        <f>EXP(-LN(2)/25)*BQ162+(1-EXP(-LN(2)/25))/(LN(2)/25)*Calculateur!BL163*Calculateur!BN163*VLOOKUP('Données projet'!$B$11,Paramètres!$A$1:$I$89,3,0)*0.475*44/12</f>
        <v>0.27725585327221142</v>
      </c>
      <c r="BR163" s="21">
        <f>EXP(-LN(2)/2)*BR162+(1-EXP(-LN(2)/2))/(LN(2)/2)*BL163*BO163*VLOOKUP('Données projet'!$B$11,Paramètres!$A$1:$I$89,3,0)*0.475*44/12</f>
        <v>4.8698650592186541E-14</v>
      </c>
      <c r="BS163" s="22">
        <f t="shared" si="169"/>
        <v>10.287925858340611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991.00000000000011</v>
      </c>
      <c r="BZ163" s="13">
        <f>BY163*VLOOKUP('Données projet'!$B$12,Paramètres!$A$1:$I$89,3,0)*VLOOKUP('Données projet'!$B$12,Paramètres!$A$1:$I$89,5,0)</f>
        <v>438.02200000000011</v>
      </c>
      <c r="CA163" s="13">
        <f t="shared" si="170"/>
        <v>99.443834741543355</v>
      </c>
      <c r="CB163" s="20">
        <f t="shared" si="171"/>
        <v>936.08632884152132</v>
      </c>
      <c r="CC163" s="59">
        <f t="shared" si="119"/>
        <v>1229.4196621748547</v>
      </c>
      <c r="CD163" s="59">
        <f ca="1">AVERAGE(OFFSET($CC$3,0,0,'Données projet'!$E$12+1,1))-AVERAGE(OFFSET($H$3,0,0,'Données projet'!$E$12+1,1))</f>
        <v>534.99316143569899</v>
      </c>
      <c r="CE163" s="59">
        <f t="shared" si="148"/>
        <v>449.56965858934262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14.379851038474451</v>
      </c>
      <c r="CL163" s="21">
        <f>EXP(-LN(2)/25)*CL162+(1-EXP(-LN(2)/25))/(LN(2)/25)*Calculateur!CG163*Calculateur!CI163*VLOOKUP('Données projet'!$B$12,Paramètres!$A$1:$I$89,3,0)*0.475*44/12</f>
        <v>3.4867673979550964</v>
      </c>
      <c r="CM163" s="21">
        <f>EXP(-LN(2)/2)*CM162+(1-EXP(-LN(2)/2))/(LN(2)/2)*CG163*CJ163*VLOOKUP('Données projet'!$B$12,Paramètres!$A$1:$I$89,3,0)*0.475*44/12</f>
        <v>2.4795157057577137E-12</v>
      </c>
      <c r="CN163" s="22">
        <f t="shared" si="172"/>
        <v>17.866618436432027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251.00000000000006</v>
      </c>
      <c r="CU163" s="17">
        <f>CT163*VLOOKUP('Données projet'!$B$13,Paramètres!$A$1:$I$89,3,0)*VLOOKUP('Données projet'!$B$13,Paramètres!$A$1:$I$89,5,0)</f>
        <v>285.83880000000011</v>
      </c>
      <c r="CV163" s="13">
        <f t="shared" si="173"/>
        <v>68.199429147498265</v>
      </c>
      <c r="CW163" s="20">
        <f t="shared" si="174"/>
        <v>616.61658243189299</v>
      </c>
      <c r="CX163" s="59">
        <f t="shared" si="122"/>
        <v>909.94991576522625</v>
      </c>
      <c r="CY163" s="59">
        <f ca="1">AVERAGE(OFFSET($CX$3,0,0,'Données projet'!$E$13+1,1))-AVERAGE(OFFSET($H$3,0,0,'Données projet'!$E$13+1,1))</f>
        <v>389.89050053480827</v>
      </c>
      <c r="CZ163" s="59">
        <f t="shared" si="150"/>
        <v>216.40816051909616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6.2017006272317117</v>
      </c>
      <c r="DG163" s="21">
        <f>EXP(-LN(2)/25)*DG162+(1-EXP(-LN(2)/25))/(LN(2)/25)*Calculateur!DB163*Calculateur!DD163*VLOOKUP('Données projet'!$B$13,Paramètres!$A$1:$I$89,3,0)*0.475*44/12</f>
        <v>0.4717573405213466</v>
      </c>
      <c r="DH163" s="21">
        <f>EXP(-LN(2)/2)*DH162+(1-EXP(-LN(2)/2))/(LN(2)/2)*DB163*DE163*VLOOKUP('Données projet'!$B$13,Paramètres!$A$1:$I$89,3,0)*0.475*44/12</f>
        <v>5.9789767794419024E-7</v>
      </c>
      <c r="DI163" s="22">
        <f t="shared" si="175"/>
        <v>6.6734585656507361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268.00000000000011</v>
      </c>
      <c r="O164" s="13">
        <f>N164*VLOOKUP('Données projet'!$B$9,Paramètres!$A$1:$I$89,3,0)*VLOOKUP('Données projet'!$B$9,Paramètres!$A$1:$I$89,5,0)</f>
        <v>242.48640000000009</v>
      </c>
      <c r="P164" s="13">
        <f t="shared" si="141"/>
        <v>58.974170235372476</v>
      </c>
      <c r="Q164" s="20">
        <f t="shared" si="162"/>
        <v>525.04382649327385</v>
      </c>
      <c r="R164" s="59">
        <f t="shared" si="109"/>
        <v>818.37715982660711</v>
      </c>
      <c r="S164" s="59">
        <f ca="1">AVERAGE(OFFSET($R$3,0,0,'Données projet'!$E$9+1,1))-AVERAGE(OFFSET($H$3,0,0,'Données projet'!$E$9+1,1))</f>
        <v>371.7282125501186</v>
      </c>
      <c r="T164" s="59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25.904121710868885</v>
      </c>
      <c r="AA164" s="21">
        <f>EXP(-LN(2)/25)*AA163+(1-EXP(-LN(2)/25))/(LN(2)/25)*Calculateur!V164*Calculateur!X164*VLOOKUP('Données projet'!$B$9,Paramètres!$A$1:$I$89,3,0)*0.475*44/12</f>
        <v>0.79358831999043011</v>
      </c>
      <c r="AB164" s="21">
        <f>EXP(-LN(2)/2)*AB163+(1-EXP(-LN(2)/2))/(LN(2)/2)*V164*Y164*VLOOKUP('Données projet'!$B$9,Paramètres!$A$1:$I$89,3,0)*0.475*44/12</f>
        <v>7.2230509031206789E-7</v>
      </c>
      <c r="AC164" s="22">
        <f t="shared" si="163"/>
        <v>26.697710753164404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1.7053025658242404E-13</v>
      </c>
      <c r="AJ164" s="13">
        <f>AI164*VLOOKUP('Données projet'!$B$10,Paramètres!$A$1:$I$89,3,0)*VLOOKUP('Données projet'!$B$10,Paramètres!$A$1:$I$89,5,0)</f>
        <v>7.9808160080574461E-14</v>
      </c>
      <c r="AK164" s="13">
        <f t="shared" si="164"/>
        <v>1.2308384591775343E-12</v>
      </c>
      <c r="AL164" s="20">
        <f t="shared" si="165"/>
        <v>2.282709528541206E-12</v>
      </c>
      <c r="AM164" s="59">
        <f t="shared" si="113"/>
        <v>293.33333333333559</v>
      </c>
      <c r="AN164" s="59">
        <f ca="1">AVERAGE(OFFSET($AM$3,0,0,'Données projet'!$E$10+1,1))-AVERAGE(OFFSET($H$3,0,0,'Données projet'!$E$10+1,1))</f>
        <v>218.32525311070435</v>
      </c>
      <c r="AO164" s="59">
        <f t="shared" si="144"/>
        <v>275.36315264099204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11.799262138353646</v>
      </c>
      <c r="AV164" s="21">
        <f>EXP(-LN(2)/25)*AV163+(1-EXP(-LN(2)/25))/(LN(2)/25)*Calculateur!AQ164*Calculateur!AS164*VLOOKUP('Données projet'!$B$10,Paramètres!$A$1:$I$89,3,0)*0.475*44/12</f>
        <v>2.2883374609236182</v>
      </c>
      <c r="AW164" s="21">
        <f>EXP(-LN(2)/2)*AW163+(1-EXP(-LN(2)/2))/(LN(2)/2)*AQ164*AT164*VLOOKUP('Données projet'!$B$10,Paramètres!$A$1:$I$89,3,0)*0.475*44/12</f>
        <v>4.0985088000387348E-14</v>
      </c>
      <c r="AX164" s="21">
        <f t="shared" si="166"/>
        <v>14.087599599277304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343</v>
      </c>
      <c r="BE164" s="13">
        <f>BD164*VLOOKUP('Données projet'!$B$11,Paramètres!$A$1:$I$89,3,0)*VLOOKUP('Données projet'!$B$11,Paramètres!$A$1:$I$89,5,0)</f>
        <v>326.39879999999999</v>
      </c>
      <c r="BF164" s="13">
        <f t="shared" si="167"/>
        <v>76.683210401884097</v>
      </c>
      <c r="BG164" s="20">
        <f t="shared" si="168"/>
        <v>702.03450144994804</v>
      </c>
      <c r="BH164" s="59">
        <f t="shared" si="116"/>
        <v>995.3678347832813</v>
      </c>
      <c r="BI164" s="59">
        <f ca="1">AVERAGE(OFFSET($BH$3,0,0,'Données projet'!$E$11+1,1))-AVERAGE(OFFSET($H$3,0,0,'Données projet'!$E$11+1,1))</f>
        <v>446.62872871405051</v>
      </c>
      <c r="BJ164" s="59">
        <f t="shared" si="146"/>
        <v>471.28934889691658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9.8143668721747552</v>
      </c>
      <c r="BQ164" s="21">
        <f>EXP(-LN(2)/25)*BQ163+(1-EXP(-LN(2)/25))/(LN(2)/25)*Calculateur!BL164*Calculateur!BN164*VLOOKUP('Données projet'!$B$11,Paramètres!$A$1:$I$89,3,0)*0.475*44/12</f>
        <v>0.26967427738423116</v>
      </c>
      <c r="BR164" s="21">
        <f>EXP(-LN(2)/2)*BR163+(1-EXP(-LN(2)/2))/(LN(2)/2)*BL164*BO164*VLOOKUP('Données projet'!$B$11,Paramètres!$A$1:$I$89,3,0)*0.475*44/12</f>
        <v>3.4435146068369381E-14</v>
      </c>
      <c r="BS164" s="22">
        <f t="shared" si="169"/>
        <v>10.08404114955902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991.00000000000011</v>
      </c>
      <c r="BZ164" s="13">
        <f>BY164*VLOOKUP('Données projet'!$B$12,Paramètres!$A$1:$I$89,3,0)*VLOOKUP('Données projet'!$B$12,Paramètres!$A$1:$I$89,5,0)</f>
        <v>438.02200000000011</v>
      </c>
      <c r="CA164" s="13">
        <f t="shared" si="170"/>
        <v>99.443834741543355</v>
      </c>
      <c r="CB164" s="20">
        <f t="shared" si="171"/>
        <v>936.08632884152132</v>
      </c>
      <c r="CC164" s="59">
        <f t="shared" si="119"/>
        <v>1229.4196621748547</v>
      </c>
      <c r="CD164" s="59">
        <f ca="1">AVERAGE(OFFSET($CC$3,0,0,'Données projet'!$E$12+1,1))-AVERAGE(OFFSET($H$3,0,0,'Données projet'!$E$12+1,1))</f>
        <v>534.99316143569899</v>
      </c>
      <c r="CE164" s="59">
        <f t="shared" si="148"/>
        <v>449.56965858934262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14.097870930453052</v>
      </c>
      <c r="CL164" s="21">
        <f>EXP(-LN(2)/25)*CL163+(1-EXP(-LN(2)/25))/(LN(2)/25)*Calculateur!CG164*Calculateur!CI164*VLOOKUP('Données projet'!$B$12,Paramètres!$A$1:$I$89,3,0)*0.475*44/12</f>
        <v>3.391421560096886</v>
      </c>
      <c r="CM164" s="21">
        <f>EXP(-LN(2)/2)*CM163+(1-EXP(-LN(2)/2))/(LN(2)/2)*CG164*CJ164*VLOOKUP('Données projet'!$B$12,Paramètres!$A$1:$I$89,3,0)*0.475*44/12</f>
        <v>1.7532823695998276E-12</v>
      </c>
      <c r="CN164" s="22">
        <f t="shared" si="172"/>
        <v>17.489292490551694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251.00000000000006</v>
      </c>
      <c r="CU164" s="17">
        <f>CT164*VLOOKUP('Données projet'!$B$13,Paramètres!$A$1:$I$89,3,0)*VLOOKUP('Données projet'!$B$13,Paramètres!$A$1:$I$89,5,0)</f>
        <v>285.83880000000011</v>
      </c>
      <c r="CV164" s="13">
        <f t="shared" si="173"/>
        <v>68.199429147498265</v>
      </c>
      <c r="CW164" s="20">
        <f t="shared" si="174"/>
        <v>616.61658243189299</v>
      </c>
      <c r="CX164" s="59">
        <f t="shared" si="122"/>
        <v>909.94991576522625</v>
      </c>
      <c r="CY164" s="59">
        <f ca="1">AVERAGE(OFFSET($CX$3,0,0,'Données projet'!$E$13+1,1))-AVERAGE(OFFSET($H$3,0,0,'Données projet'!$E$13+1,1))</f>
        <v>389.89050053480827</v>
      </c>
      <c r="CZ164" s="59">
        <f t="shared" si="150"/>
        <v>216.40816051909616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6.0800890605955731</v>
      </c>
      <c r="DG164" s="21">
        <f>EXP(-LN(2)/25)*DG163+(1-EXP(-LN(2)/25))/(LN(2)/25)*Calculateur!DB164*Calculateur!DD164*VLOOKUP('Données projet'!$B$13,Paramètres!$A$1:$I$89,3,0)*0.475*44/12</f>
        <v>0.45885711123615008</v>
      </c>
      <c r="DH164" s="21">
        <f>EXP(-LN(2)/2)*DH163+(1-EXP(-LN(2)/2))/(LN(2)/2)*DB164*DE164*VLOOKUP('Données projet'!$B$13,Paramètres!$A$1:$I$89,3,0)*0.475*44/12</f>
        <v>4.2277750253002739E-7</v>
      </c>
      <c r="DI164" s="22">
        <f t="shared" si="175"/>
        <v>6.538946594609226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268.00000000000011</v>
      </c>
      <c r="O165" s="13">
        <f>N165*VLOOKUP('Données projet'!$B$9,Paramètres!$A$1:$I$89,3,0)*VLOOKUP('Données projet'!$B$9,Paramètres!$A$1:$I$89,5,0)</f>
        <v>242.48640000000009</v>
      </c>
      <c r="P165" s="13">
        <f t="shared" si="141"/>
        <v>58.974170235372476</v>
      </c>
      <c r="Q165" s="20">
        <f t="shared" si="162"/>
        <v>525.04382649327385</v>
      </c>
      <c r="R165" s="59">
        <f t="shared" si="109"/>
        <v>818.37715982660711</v>
      </c>
      <c r="S165" s="59">
        <f ca="1">AVERAGE(OFFSET($R$3,0,0,'Données projet'!$E$9+1,1))-AVERAGE(OFFSET($H$3,0,0,'Données projet'!$E$9+1,1))</f>
        <v>371.7282125501186</v>
      </c>
      <c r="T165" s="59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25.396157684072875</v>
      </c>
      <c r="AA165" s="21">
        <f>EXP(-LN(2)/25)*AA164+(1-EXP(-LN(2)/25))/(LN(2)/25)*Calculateur!V165*Calculateur!X165*VLOOKUP('Données projet'!$B$9,Paramètres!$A$1:$I$89,3,0)*0.475*44/12</f>
        <v>0.77188760564729586</v>
      </c>
      <c r="AB165" s="21">
        <f>EXP(-LN(2)/2)*AB164+(1-EXP(-LN(2)/2))/(LN(2)/2)*V165*Y165*VLOOKUP('Données projet'!$B$9,Paramètres!$A$1:$I$89,3,0)*0.475*44/12</f>
        <v>5.1074682744522484E-7</v>
      </c>
      <c r="AC165" s="22">
        <f t="shared" si="163"/>
        <v>26.168045800466999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1.7053025658242404E-13</v>
      </c>
      <c r="AJ165" s="13">
        <f>AI165*VLOOKUP('Données projet'!$B$10,Paramètres!$A$1:$I$89,3,0)*VLOOKUP('Données projet'!$B$10,Paramètres!$A$1:$I$89,5,0)</f>
        <v>7.9808160080574461E-14</v>
      </c>
      <c r="AK165" s="13">
        <f t="shared" si="164"/>
        <v>1.2308384591775343E-12</v>
      </c>
      <c r="AL165" s="20">
        <f t="shared" si="165"/>
        <v>2.282709528541206E-12</v>
      </c>
      <c r="AM165" s="59">
        <f t="shared" si="113"/>
        <v>293.33333333333559</v>
      </c>
      <c r="AN165" s="59">
        <f ca="1">AVERAGE(OFFSET($AM$3,0,0,'Données projet'!$E$10+1,1))-AVERAGE(OFFSET($H$3,0,0,'Données projet'!$E$10+1,1))</f>
        <v>218.32525311070435</v>
      </c>
      <c r="AO165" s="59">
        <f t="shared" si="144"/>
        <v>275.36315264099204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11.567885804659806</v>
      </c>
      <c r="AV165" s="21">
        <f>EXP(-LN(2)/25)*AV164+(1-EXP(-LN(2)/25))/(LN(2)/25)*Calculateur!AQ165*Calculateur!AS165*VLOOKUP('Données projet'!$B$10,Paramètres!$A$1:$I$89,3,0)*0.475*44/12</f>
        <v>2.2257627527162249</v>
      </c>
      <c r="AW165" s="21">
        <f>EXP(-LN(2)/2)*AW164+(1-EXP(-LN(2)/2))/(LN(2)/2)*AQ165*AT165*VLOOKUP('Données projet'!$B$10,Paramètres!$A$1:$I$89,3,0)*0.475*44/12</f>
        <v>2.8980833652601291E-14</v>
      </c>
      <c r="AX165" s="21">
        <f t="shared" si="166"/>
        <v>13.793648557376059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343</v>
      </c>
      <c r="BE165" s="13">
        <f>BD165*VLOOKUP('Données projet'!$B$11,Paramètres!$A$1:$I$89,3,0)*VLOOKUP('Données projet'!$B$11,Paramètres!$A$1:$I$89,5,0)</f>
        <v>326.39879999999999</v>
      </c>
      <c r="BF165" s="13">
        <f t="shared" si="167"/>
        <v>76.683210401884097</v>
      </c>
      <c r="BG165" s="20">
        <f t="shared" si="168"/>
        <v>702.03450144994804</v>
      </c>
      <c r="BH165" s="59">
        <f t="shared" si="116"/>
        <v>995.3678347832813</v>
      </c>
      <c r="BI165" s="59">
        <f ca="1">AVERAGE(OFFSET($BH$3,0,0,'Données projet'!$E$11+1,1))-AVERAGE(OFFSET($H$3,0,0,'Données projet'!$E$11+1,1))</f>
        <v>446.62872871405051</v>
      </c>
      <c r="BJ165" s="59">
        <f t="shared" si="146"/>
        <v>471.28934889691658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9.6219131239841147</v>
      </c>
      <c r="BQ165" s="21">
        <f>EXP(-LN(2)/25)*BQ164+(1-EXP(-LN(2)/25))/(LN(2)/25)*Calculateur!BL165*Calculateur!BN165*VLOOKUP('Données projet'!$B$11,Paramètres!$A$1:$I$89,3,0)*0.475*44/12</f>
        <v>0.26230002008760545</v>
      </c>
      <c r="BR165" s="21">
        <f>EXP(-LN(2)/2)*BR164+(1-EXP(-LN(2)/2))/(LN(2)/2)*BL165*BO165*VLOOKUP('Données projet'!$B$11,Paramètres!$A$1:$I$89,3,0)*0.475*44/12</f>
        <v>2.4349325296093271E-14</v>
      </c>
      <c r="BS165" s="22">
        <f t="shared" si="169"/>
        <v>9.8842131440717456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991.00000000000011</v>
      </c>
      <c r="BZ165" s="13">
        <f>BY165*VLOOKUP('Données projet'!$B$12,Paramètres!$A$1:$I$89,3,0)*VLOOKUP('Données projet'!$B$12,Paramètres!$A$1:$I$89,5,0)</f>
        <v>438.02200000000011</v>
      </c>
      <c r="CA165" s="13">
        <f t="shared" si="170"/>
        <v>99.443834741543355</v>
      </c>
      <c r="CB165" s="20">
        <f t="shared" si="171"/>
        <v>936.08632884152132</v>
      </c>
      <c r="CC165" s="59">
        <f t="shared" si="119"/>
        <v>1229.4196621748547</v>
      </c>
      <c r="CD165" s="59">
        <f ca="1">AVERAGE(OFFSET($CC$3,0,0,'Données projet'!$E$12+1,1))-AVERAGE(OFFSET($H$3,0,0,'Données projet'!$E$12+1,1))</f>
        <v>534.99316143569899</v>
      </c>
      <c r="CE165" s="59">
        <f t="shared" si="148"/>
        <v>449.56965858934262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13.821420280359069</v>
      </c>
      <c r="CL165" s="21">
        <f>EXP(-LN(2)/25)*CL164+(1-EXP(-LN(2)/25))/(LN(2)/25)*Calculateur!CG165*Calculateur!CI165*VLOOKUP('Données projet'!$B$12,Paramètres!$A$1:$I$89,3,0)*0.475*44/12</f>
        <v>3.2986829591889282</v>
      </c>
      <c r="CM165" s="21">
        <f>EXP(-LN(2)/2)*CM164+(1-EXP(-LN(2)/2))/(LN(2)/2)*CG165*CJ165*VLOOKUP('Données projet'!$B$12,Paramètres!$A$1:$I$89,3,0)*0.475*44/12</f>
        <v>1.2397578528788569E-12</v>
      </c>
      <c r="CN165" s="22">
        <f t="shared" si="172"/>
        <v>17.120103239549238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251.00000000000006</v>
      </c>
      <c r="CU165" s="17">
        <f>CT165*VLOOKUP('Données projet'!$B$13,Paramètres!$A$1:$I$89,3,0)*VLOOKUP('Données projet'!$B$13,Paramètres!$A$1:$I$89,5,0)</f>
        <v>285.83880000000011</v>
      </c>
      <c r="CV165" s="13">
        <f t="shared" si="173"/>
        <v>68.199429147498265</v>
      </c>
      <c r="CW165" s="20">
        <f t="shared" si="174"/>
        <v>616.61658243189299</v>
      </c>
      <c r="CX165" s="59">
        <f t="shared" si="122"/>
        <v>909.94991576522625</v>
      </c>
      <c r="CY165" s="59">
        <f ca="1">AVERAGE(OFFSET($CX$3,0,0,'Données projet'!$E$13+1,1))-AVERAGE(OFFSET($H$3,0,0,'Données projet'!$E$13+1,1))</f>
        <v>389.89050053480827</v>
      </c>
      <c r="CZ165" s="59">
        <f t="shared" si="150"/>
        <v>216.40816051909616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5.9608622226054377</v>
      </c>
      <c r="DG165" s="21">
        <f>EXP(-LN(2)/25)*DG164+(1-EXP(-LN(2)/25))/(LN(2)/25)*Calculateur!DB165*Calculateur!DD165*VLOOKUP('Données projet'!$B$13,Paramètres!$A$1:$I$89,3,0)*0.475*44/12</f>
        <v>0.4463096393991508</v>
      </c>
      <c r="DH165" s="21">
        <f>EXP(-LN(2)/2)*DH164+(1-EXP(-LN(2)/2))/(LN(2)/2)*DB165*DE165*VLOOKUP('Données projet'!$B$13,Paramètres!$A$1:$I$89,3,0)*0.475*44/12</f>
        <v>2.9894883897209512E-7</v>
      </c>
      <c r="DI165" s="22">
        <f t="shared" si="175"/>
        <v>6.4071721609534276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268.00000000000011</v>
      </c>
      <c r="O166" s="13">
        <f>N166*VLOOKUP('Données projet'!$B$9,Paramètres!$A$1:$I$89,3,0)*VLOOKUP('Données projet'!$B$9,Paramètres!$A$1:$I$89,5,0)</f>
        <v>242.48640000000009</v>
      </c>
      <c r="P166" s="13">
        <f t="shared" si="141"/>
        <v>58.974170235372476</v>
      </c>
      <c r="Q166" s="20">
        <f t="shared" si="162"/>
        <v>525.04382649327385</v>
      </c>
      <c r="R166" s="59">
        <f t="shared" si="109"/>
        <v>818.37715982660711</v>
      </c>
      <c r="S166" s="59">
        <f ca="1">AVERAGE(OFFSET($R$3,0,0,'Données projet'!$E$9+1,1))-AVERAGE(OFFSET($H$3,0,0,'Données projet'!$E$9+1,1))</f>
        <v>371.7282125501186</v>
      </c>
      <c r="T166" s="59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24.89815452201487</v>
      </c>
      <c r="AA166" s="21">
        <f>EXP(-LN(2)/25)*AA165+(1-EXP(-LN(2)/25))/(LN(2)/25)*Calculateur!V166*Calculateur!X166*VLOOKUP('Données projet'!$B$9,Paramètres!$A$1:$I$89,3,0)*0.475*44/12</f>
        <v>0.75078029847906558</v>
      </c>
      <c r="AB166" s="21">
        <f>EXP(-LN(2)/2)*AB165+(1-EXP(-LN(2)/2))/(LN(2)/2)*V166*Y166*VLOOKUP('Données projet'!$B$9,Paramètres!$A$1:$I$89,3,0)*0.475*44/12</f>
        <v>3.6115254515603395E-7</v>
      </c>
      <c r="AC166" s="22">
        <f t="shared" si="163"/>
        <v>25.648935181646479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1.7053025658242404E-13</v>
      </c>
      <c r="AJ166" s="13">
        <f>AI166*VLOOKUP('Données projet'!$B$10,Paramètres!$A$1:$I$89,3,0)*VLOOKUP('Données projet'!$B$10,Paramètres!$A$1:$I$89,5,0)</f>
        <v>7.9808160080574461E-14</v>
      </c>
      <c r="AK166" s="13">
        <f t="shared" si="164"/>
        <v>1.2308384591775343E-12</v>
      </c>
      <c r="AL166" s="20">
        <f t="shared" si="165"/>
        <v>2.282709528541206E-12</v>
      </c>
      <c r="AM166" s="59">
        <f t="shared" si="113"/>
        <v>293.33333333333559</v>
      </c>
      <c r="AN166" s="59">
        <f ca="1">AVERAGE(OFFSET($AM$3,0,0,'Données projet'!$E$10+1,1))-AVERAGE(OFFSET($H$3,0,0,'Données projet'!$E$10+1,1))</f>
        <v>218.32525311070435</v>
      </c>
      <c r="AO166" s="59">
        <f t="shared" si="144"/>
        <v>275.36315264099204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11.341046619744073</v>
      </c>
      <c r="AV166" s="21">
        <f>EXP(-LN(2)/25)*AV165+(1-EXP(-LN(2)/25))/(LN(2)/25)*Calculateur!AQ166*Calculateur!AS166*VLOOKUP('Données projet'!$B$10,Paramètres!$A$1:$I$89,3,0)*0.475*44/12</f>
        <v>2.1648991531954236</v>
      </c>
      <c r="AW166" s="21">
        <f>EXP(-LN(2)/2)*AW165+(1-EXP(-LN(2)/2))/(LN(2)/2)*AQ166*AT166*VLOOKUP('Données projet'!$B$10,Paramètres!$A$1:$I$89,3,0)*0.475*44/12</f>
        <v>2.0492544000193674E-14</v>
      </c>
      <c r="AX166" s="21">
        <f t="shared" si="166"/>
        <v>13.505945772939519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343</v>
      </c>
      <c r="BE166" s="13">
        <f>BD166*VLOOKUP('Données projet'!$B$11,Paramètres!$A$1:$I$89,3,0)*VLOOKUP('Données projet'!$B$11,Paramètres!$A$1:$I$89,5,0)</f>
        <v>326.39879999999999</v>
      </c>
      <c r="BF166" s="13">
        <f t="shared" si="167"/>
        <v>76.683210401884097</v>
      </c>
      <c r="BG166" s="20">
        <f t="shared" si="168"/>
        <v>702.03450144994804</v>
      </c>
      <c r="BH166" s="59">
        <f t="shared" si="116"/>
        <v>995.3678347832813</v>
      </c>
      <c r="BI166" s="59">
        <f ca="1">AVERAGE(OFFSET($BH$3,0,0,'Données projet'!$E$11+1,1))-AVERAGE(OFFSET($H$3,0,0,'Données projet'!$E$11+1,1))</f>
        <v>446.62872871405051</v>
      </c>
      <c r="BJ166" s="59">
        <f t="shared" si="146"/>
        <v>471.28934889691658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9.4332332764102969</v>
      </c>
      <c r="BQ166" s="21">
        <f>EXP(-LN(2)/25)*BQ165+(1-EXP(-LN(2)/25))/(LN(2)/25)*Calculateur!BL166*Calculateur!BN166*VLOOKUP('Données projet'!$B$11,Paramètres!$A$1:$I$89,3,0)*0.475*44/12</f>
        <v>0.25512741224455132</v>
      </c>
      <c r="BR166" s="21">
        <f>EXP(-LN(2)/2)*BR165+(1-EXP(-LN(2)/2))/(LN(2)/2)*BL166*BO166*VLOOKUP('Données projet'!$B$11,Paramètres!$A$1:$I$89,3,0)*0.475*44/12</f>
        <v>1.7217573034184691E-14</v>
      </c>
      <c r="BS166" s="22">
        <f t="shared" si="169"/>
        <v>9.6883606886548659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991.00000000000011</v>
      </c>
      <c r="BZ166" s="13">
        <f>BY166*VLOOKUP('Données projet'!$B$12,Paramètres!$A$1:$I$89,3,0)*VLOOKUP('Données projet'!$B$12,Paramètres!$A$1:$I$89,5,0)</f>
        <v>438.02200000000011</v>
      </c>
      <c r="CA166" s="13">
        <f t="shared" si="170"/>
        <v>99.443834741543355</v>
      </c>
      <c r="CB166" s="20">
        <f t="shared" si="171"/>
        <v>936.08632884152132</v>
      </c>
      <c r="CC166" s="59">
        <f t="shared" si="119"/>
        <v>1229.4196621748547</v>
      </c>
      <c r="CD166" s="59">
        <f ca="1">AVERAGE(OFFSET($CC$3,0,0,'Données projet'!$E$12+1,1))-AVERAGE(OFFSET($H$3,0,0,'Données projet'!$E$12+1,1))</f>
        <v>534.99316143569899</v>
      </c>
      <c r="CE166" s="59">
        <f t="shared" si="148"/>
        <v>449.56965858934262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13.550390658895182</v>
      </c>
      <c r="CL166" s="21">
        <f>EXP(-LN(2)/25)*CL165+(1-EXP(-LN(2)/25))/(LN(2)/25)*Calculateur!CG166*Calculateur!CI166*VLOOKUP('Données projet'!$B$12,Paramètres!$A$1:$I$89,3,0)*0.475*44/12</f>
        <v>3.2084803001997093</v>
      </c>
      <c r="CM166" s="21">
        <f>EXP(-LN(2)/2)*CM165+(1-EXP(-LN(2)/2))/(LN(2)/2)*CG166*CJ166*VLOOKUP('Données projet'!$B$12,Paramètres!$A$1:$I$89,3,0)*0.475*44/12</f>
        <v>8.7664118479991382E-13</v>
      </c>
      <c r="CN166" s="22">
        <f t="shared" si="172"/>
        <v>16.75887095909577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251.00000000000006</v>
      </c>
      <c r="CU166" s="17">
        <f>CT166*VLOOKUP('Données projet'!$B$13,Paramètres!$A$1:$I$89,3,0)*VLOOKUP('Données projet'!$B$13,Paramètres!$A$1:$I$89,5,0)</f>
        <v>285.83880000000011</v>
      </c>
      <c r="CV166" s="13">
        <f t="shared" si="173"/>
        <v>68.199429147498265</v>
      </c>
      <c r="CW166" s="20">
        <f t="shared" si="174"/>
        <v>616.61658243189299</v>
      </c>
      <c r="CX166" s="59">
        <f t="shared" si="122"/>
        <v>909.94991576522625</v>
      </c>
      <c r="CY166" s="59">
        <f ca="1">AVERAGE(OFFSET($CX$3,0,0,'Données projet'!$E$13+1,1))-AVERAGE(OFFSET($H$3,0,0,'Données projet'!$E$13+1,1))</f>
        <v>389.89050053480827</v>
      </c>
      <c r="CZ166" s="59">
        <f t="shared" si="150"/>
        <v>216.40816051909616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5.843973350187099</v>
      </c>
      <c r="DG166" s="21">
        <f>EXP(-LN(2)/25)*DG165+(1-EXP(-LN(2)/25))/(LN(2)/25)*Calculateur!DB166*Calculateur!DD166*VLOOKUP('Données projet'!$B$13,Paramètres!$A$1:$I$89,3,0)*0.475*44/12</f>
        <v>0.43410527883937716</v>
      </c>
      <c r="DH166" s="21">
        <f>EXP(-LN(2)/2)*DH165+(1-EXP(-LN(2)/2))/(LN(2)/2)*DB166*DE166*VLOOKUP('Données projet'!$B$13,Paramètres!$A$1:$I$89,3,0)*0.475*44/12</f>
        <v>2.113887512650137E-7</v>
      </c>
      <c r="DI166" s="22">
        <f t="shared" si="175"/>
        <v>6.278078840415227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268.00000000000011</v>
      </c>
      <c r="O167" s="13">
        <f>N167*VLOOKUP('Données projet'!$B$9,Paramètres!$A$1:$I$89,3,0)*VLOOKUP('Données projet'!$B$9,Paramètres!$A$1:$I$89,5,0)</f>
        <v>242.48640000000009</v>
      </c>
      <c r="P167" s="13">
        <f t="shared" si="141"/>
        <v>58.974170235372476</v>
      </c>
      <c r="Q167" s="20">
        <f t="shared" si="162"/>
        <v>525.04382649327385</v>
      </c>
      <c r="R167" s="59">
        <f t="shared" si="109"/>
        <v>818.37715982660711</v>
      </c>
      <c r="S167" s="59">
        <f ca="1">AVERAGE(OFFSET($R$3,0,0,'Données projet'!$E$9+1,1))-AVERAGE(OFFSET($H$3,0,0,'Données projet'!$E$9+1,1))</f>
        <v>371.7282125501186</v>
      </c>
      <c r="T167" s="59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24.409916898212888</v>
      </c>
      <c r="AA167" s="21">
        <f>EXP(-LN(2)/25)*AA166+(1-EXP(-LN(2)/25))/(LN(2)/25)*Calculateur!V167*Calculateur!X167*VLOOKUP('Données projet'!$B$9,Paramètres!$A$1:$I$89,3,0)*0.475*44/12</f>
        <v>0.73025017173533557</v>
      </c>
      <c r="AB167" s="21">
        <f>EXP(-LN(2)/2)*AB166+(1-EXP(-LN(2)/2))/(LN(2)/2)*V167*Y167*VLOOKUP('Données projet'!$B$9,Paramètres!$A$1:$I$89,3,0)*0.475*44/12</f>
        <v>2.5537341372261242E-7</v>
      </c>
      <c r="AC167" s="22">
        <f t="shared" si="163"/>
        <v>25.140167325321638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1.7053025658242404E-13</v>
      </c>
      <c r="AJ167" s="13">
        <f>AI167*VLOOKUP('Données projet'!$B$10,Paramètres!$A$1:$I$89,3,0)*VLOOKUP('Données projet'!$B$10,Paramètres!$A$1:$I$89,5,0)</f>
        <v>7.9808160080574461E-14</v>
      </c>
      <c r="AK167" s="13">
        <f t="shared" si="164"/>
        <v>1.2308384591775343E-12</v>
      </c>
      <c r="AL167" s="20">
        <f t="shared" si="165"/>
        <v>2.282709528541206E-12</v>
      </c>
      <c r="AM167" s="59">
        <f t="shared" si="113"/>
        <v>293.33333333333559</v>
      </c>
      <c r="AN167" s="59">
        <f ca="1">AVERAGE(OFFSET($AM$3,0,0,'Données projet'!$E$10+1,1))-AVERAGE(OFFSET($H$3,0,0,'Données projet'!$E$10+1,1))</f>
        <v>218.32525311070435</v>
      </c>
      <c r="AO167" s="59">
        <f t="shared" si="144"/>
        <v>275.36315264099204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11.118655612886299</v>
      </c>
      <c r="AV167" s="21">
        <f>EXP(-LN(2)/25)*AV166+(1-EXP(-LN(2)/25))/(LN(2)/25)*Calculateur!AQ167*Calculateur!AS167*VLOOKUP('Données projet'!$B$10,Paramètres!$A$1:$I$89,3,0)*0.475*44/12</f>
        <v>2.1056998720041964</v>
      </c>
      <c r="AW167" s="21">
        <f>EXP(-LN(2)/2)*AW166+(1-EXP(-LN(2)/2))/(LN(2)/2)*AQ167*AT167*VLOOKUP('Données projet'!$B$10,Paramètres!$A$1:$I$89,3,0)*0.475*44/12</f>
        <v>1.4490416826300645E-14</v>
      </c>
      <c r="AX167" s="21">
        <f t="shared" si="166"/>
        <v>13.224355484890509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343</v>
      </c>
      <c r="BE167" s="13">
        <f>BD167*VLOOKUP('Données projet'!$B$11,Paramètres!$A$1:$I$89,3,0)*VLOOKUP('Données projet'!$B$11,Paramètres!$A$1:$I$89,5,0)</f>
        <v>326.39879999999999</v>
      </c>
      <c r="BF167" s="13">
        <f t="shared" si="167"/>
        <v>76.683210401884097</v>
      </c>
      <c r="BG167" s="20">
        <f t="shared" si="168"/>
        <v>702.03450144994804</v>
      </c>
      <c r="BH167" s="59">
        <f t="shared" si="116"/>
        <v>995.3678347832813</v>
      </c>
      <c r="BI167" s="59">
        <f ca="1">AVERAGE(OFFSET($BH$3,0,0,'Données projet'!$E$11+1,1))-AVERAGE(OFFSET($H$3,0,0,'Données projet'!$E$11+1,1))</f>
        <v>446.62872871405051</v>
      </c>
      <c r="BJ167" s="59">
        <f t="shared" si="146"/>
        <v>471.28934889691658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9.2482533255640593</v>
      </c>
      <c r="BQ167" s="21">
        <f>EXP(-LN(2)/25)*BQ166+(1-EXP(-LN(2)/25))/(LN(2)/25)*Calculateur!BL167*Calculateur!BN167*VLOOKUP('Données projet'!$B$11,Paramètres!$A$1:$I$89,3,0)*0.475*44/12</f>
        <v>0.24815093974015656</v>
      </c>
      <c r="BR167" s="21">
        <f>EXP(-LN(2)/2)*BR166+(1-EXP(-LN(2)/2))/(LN(2)/2)*BL167*BO167*VLOOKUP('Données projet'!$B$11,Paramètres!$A$1:$I$89,3,0)*0.475*44/12</f>
        <v>1.2174662648046635E-14</v>
      </c>
      <c r="BS167" s="22">
        <f t="shared" si="169"/>
        <v>9.4964042653042284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991.00000000000011</v>
      </c>
      <c r="BZ167" s="13">
        <f>BY167*VLOOKUP('Données projet'!$B$12,Paramètres!$A$1:$I$89,3,0)*VLOOKUP('Données projet'!$B$12,Paramètres!$A$1:$I$89,5,0)</f>
        <v>438.02200000000011</v>
      </c>
      <c r="CA167" s="13">
        <f t="shared" si="170"/>
        <v>99.443834741543355</v>
      </c>
      <c r="CB167" s="20">
        <f t="shared" si="171"/>
        <v>936.08632884152132</v>
      </c>
      <c r="CC167" s="59">
        <f t="shared" si="119"/>
        <v>1229.4196621748547</v>
      </c>
      <c r="CD167" s="59">
        <f ca="1">AVERAGE(OFFSET($CC$3,0,0,'Données projet'!$E$12+1,1))-AVERAGE(OFFSET($H$3,0,0,'Données projet'!$E$12+1,1))</f>
        <v>534.99316143569899</v>
      </c>
      <c r="CE167" s="59">
        <f t="shared" si="148"/>
        <v>449.56965858934262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13.284675762996455</v>
      </c>
      <c r="CL167" s="21">
        <f>EXP(-LN(2)/25)*CL166+(1-EXP(-LN(2)/25))/(LN(2)/25)*Calculateur!CG167*Calculateur!CI167*VLOOKUP('Données projet'!$B$12,Paramètres!$A$1:$I$89,3,0)*0.475*44/12</f>
        <v>3.1207442376641024</v>
      </c>
      <c r="CM167" s="21">
        <f>EXP(-LN(2)/2)*CM166+(1-EXP(-LN(2)/2))/(LN(2)/2)*CG167*CJ167*VLOOKUP('Données projet'!$B$12,Paramètres!$A$1:$I$89,3,0)*0.475*44/12</f>
        <v>6.1987892643942843E-13</v>
      </c>
      <c r="CN167" s="22">
        <f t="shared" si="172"/>
        <v>16.405420000661177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251.00000000000006</v>
      </c>
      <c r="CU167" s="17">
        <f>CT167*VLOOKUP('Données projet'!$B$13,Paramètres!$A$1:$I$89,3,0)*VLOOKUP('Données projet'!$B$13,Paramètres!$A$1:$I$89,5,0)</f>
        <v>285.83880000000011</v>
      </c>
      <c r="CV167" s="13">
        <f t="shared" si="173"/>
        <v>68.199429147498265</v>
      </c>
      <c r="CW167" s="20">
        <f t="shared" si="174"/>
        <v>616.61658243189299</v>
      </c>
      <c r="CX167" s="59">
        <f t="shared" si="122"/>
        <v>909.94991576522625</v>
      </c>
      <c r="CY167" s="59">
        <f ca="1">AVERAGE(OFFSET($CX$3,0,0,'Données projet'!$E$13+1,1))-AVERAGE(OFFSET($H$3,0,0,'Données projet'!$E$13+1,1))</f>
        <v>389.89050053480827</v>
      </c>
      <c r="CZ167" s="59">
        <f t="shared" si="150"/>
        <v>216.40816051909616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5.7293765972617114</v>
      </c>
      <c r="DG167" s="21">
        <f>EXP(-LN(2)/25)*DG166+(1-EXP(-LN(2)/25))/(LN(2)/25)*Calculateur!DB167*Calculateur!DD167*VLOOKUP('Données projet'!$B$13,Paramètres!$A$1:$I$89,3,0)*0.475*44/12</f>
        <v>0.42223464716090991</v>
      </c>
      <c r="DH167" s="21">
        <f>EXP(-LN(2)/2)*DH166+(1-EXP(-LN(2)/2))/(LN(2)/2)*DB167*DE167*VLOOKUP('Données projet'!$B$13,Paramètres!$A$1:$I$89,3,0)*0.475*44/12</f>
        <v>1.4947441948604756E-7</v>
      </c>
      <c r="DI167" s="22">
        <f t="shared" si="175"/>
        <v>6.1516113938970411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268.00000000000011</v>
      </c>
      <c r="O168" s="13">
        <f>N168*VLOOKUP('Données projet'!$B$9,Paramètres!$A$1:$I$89,3,0)*VLOOKUP('Données projet'!$B$9,Paramètres!$A$1:$I$89,5,0)</f>
        <v>242.48640000000009</v>
      </c>
      <c r="P168" s="13">
        <f t="shared" si="141"/>
        <v>58.974170235372476</v>
      </c>
      <c r="Q168" s="20">
        <f t="shared" si="162"/>
        <v>525.04382649327385</v>
      </c>
      <c r="R168" s="59">
        <f t="shared" si="109"/>
        <v>818.37715982660711</v>
      </c>
      <c r="S168" s="59">
        <f ca="1">AVERAGE(OFFSET($R$3,0,0,'Données projet'!$E$9+1,1))-AVERAGE(OFFSET($H$3,0,0,'Données projet'!$E$9+1,1))</f>
        <v>371.7282125501186</v>
      </c>
      <c r="T168" s="59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23.931253316418115</v>
      </c>
      <c r="AA168" s="21">
        <f>EXP(-LN(2)/25)*AA167+(1-EXP(-LN(2)/25))/(LN(2)/25)*Calculateur!V168*Calculateur!X168*VLOOKUP('Données projet'!$B$9,Paramètres!$A$1:$I$89,3,0)*0.475*44/12</f>
        <v>0.71028144238704527</v>
      </c>
      <c r="AB168" s="21">
        <f>EXP(-LN(2)/2)*AB167+(1-EXP(-LN(2)/2))/(LN(2)/2)*V168*Y168*VLOOKUP('Données projet'!$B$9,Paramètres!$A$1:$I$89,3,0)*0.475*44/12</f>
        <v>1.8057627257801697E-7</v>
      </c>
      <c r="AC168" s="22">
        <f t="shared" si="163"/>
        <v>24.641534939381433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1.7053025658242404E-13</v>
      </c>
      <c r="AJ168" s="13">
        <f>AI168*VLOOKUP('Données projet'!$B$10,Paramètres!$A$1:$I$89,3,0)*VLOOKUP('Données projet'!$B$10,Paramètres!$A$1:$I$89,5,0)</f>
        <v>7.9808160080574461E-14</v>
      </c>
      <c r="AK168" s="13">
        <f t="shared" si="164"/>
        <v>1.2308384591775343E-12</v>
      </c>
      <c r="AL168" s="20">
        <f t="shared" si="165"/>
        <v>2.282709528541206E-12</v>
      </c>
      <c r="AM168" s="59">
        <f t="shared" si="113"/>
        <v>293.33333333333559</v>
      </c>
      <c r="AN168" s="59">
        <f ca="1">AVERAGE(OFFSET($AM$3,0,0,'Données projet'!$E$10+1,1))-AVERAGE(OFFSET($H$3,0,0,'Données projet'!$E$10+1,1))</f>
        <v>218.32525311070435</v>
      </c>
      <c r="AO168" s="59">
        <f t="shared" si="144"/>
        <v>275.36315264099204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10.900625558027883</v>
      </c>
      <c r="AV168" s="21">
        <f>EXP(-LN(2)/25)*AV167+(1-EXP(-LN(2)/25))/(LN(2)/25)*Calculateur!AQ168*Calculateur!AS168*VLOOKUP('Données projet'!$B$10,Paramètres!$A$1:$I$89,3,0)*0.475*44/12</f>
        <v>2.0481193982702979</v>
      </c>
      <c r="AW168" s="21">
        <f>EXP(-LN(2)/2)*AW167+(1-EXP(-LN(2)/2))/(LN(2)/2)*AQ168*AT168*VLOOKUP('Données projet'!$B$10,Paramètres!$A$1:$I$89,3,0)*0.475*44/12</f>
        <v>1.0246272000096837E-14</v>
      </c>
      <c r="AX168" s="21">
        <f t="shared" si="166"/>
        <v>12.948744956298192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343</v>
      </c>
      <c r="BE168" s="13">
        <f>BD168*VLOOKUP('Données projet'!$B$11,Paramètres!$A$1:$I$89,3,0)*VLOOKUP('Données projet'!$B$11,Paramètres!$A$1:$I$89,5,0)</f>
        <v>326.39879999999999</v>
      </c>
      <c r="BF168" s="13">
        <f t="shared" si="167"/>
        <v>76.683210401884097</v>
      </c>
      <c r="BG168" s="20">
        <f t="shared" si="168"/>
        <v>702.03450144994804</v>
      </c>
      <c r="BH168" s="59">
        <f t="shared" si="116"/>
        <v>995.3678347832813</v>
      </c>
      <c r="BI168" s="59">
        <f ca="1">AVERAGE(OFFSET($BH$3,0,0,'Données projet'!$E$11+1,1))-AVERAGE(OFFSET($H$3,0,0,'Données projet'!$E$11+1,1))</f>
        <v>446.62872871405051</v>
      </c>
      <c r="BJ168" s="59">
        <f t="shared" si="146"/>
        <v>471.28934889691658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9.0669007187272861</v>
      </c>
      <c r="BQ168" s="21">
        <f>EXP(-LN(2)/25)*BQ167+(1-EXP(-LN(2)/25))/(LN(2)/25)*Calculateur!BL168*Calculateur!BN168*VLOOKUP('Données projet'!$B$11,Paramètres!$A$1:$I$89,3,0)*0.475*44/12</f>
        <v>0.24136523924327122</v>
      </c>
      <c r="BR168" s="21">
        <f>EXP(-LN(2)/2)*BR167+(1-EXP(-LN(2)/2))/(LN(2)/2)*BL168*BO168*VLOOKUP('Données projet'!$B$11,Paramètres!$A$1:$I$89,3,0)*0.475*44/12</f>
        <v>8.6087865170923453E-15</v>
      </c>
      <c r="BS168" s="22">
        <f t="shared" si="169"/>
        <v>9.3082659579705656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991.00000000000011</v>
      </c>
      <c r="BZ168" s="13">
        <f>BY168*VLOOKUP('Données projet'!$B$12,Paramètres!$A$1:$I$89,3,0)*VLOOKUP('Données projet'!$B$12,Paramètres!$A$1:$I$89,5,0)</f>
        <v>438.02200000000011</v>
      </c>
      <c r="CA168" s="13">
        <f t="shared" si="170"/>
        <v>99.443834741543355</v>
      </c>
      <c r="CB168" s="20">
        <f t="shared" si="171"/>
        <v>936.08632884152132</v>
      </c>
      <c r="CC168" s="59">
        <f t="shared" si="119"/>
        <v>1229.4196621748547</v>
      </c>
      <c r="CD168" s="59">
        <f ca="1">AVERAGE(OFFSET($CC$3,0,0,'Données projet'!$E$12+1,1))-AVERAGE(OFFSET($H$3,0,0,'Données projet'!$E$12+1,1))</f>
        <v>534.99316143569899</v>
      </c>
      <c r="CE168" s="59">
        <f t="shared" si="148"/>
        <v>449.56965858934262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13.02417137413622</v>
      </c>
      <c r="CL168" s="21">
        <f>EXP(-LN(2)/25)*CL167+(1-EXP(-LN(2)/25))/(LN(2)/25)*Calculateur!CG168*Calculateur!CI168*VLOOKUP('Données projet'!$B$12,Paramètres!$A$1:$I$89,3,0)*0.475*44/12</f>
        <v>3.0354073223723708</v>
      </c>
      <c r="CM168" s="21">
        <f>EXP(-LN(2)/2)*CM167+(1-EXP(-LN(2)/2))/(LN(2)/2)*CG168*CJ168*VLOOKUP('Données projet'!$B$12,Paramètres!$A$1:$I$89,3,0)*0.475*44/12</f>
        <v>4.3832059239995691E-13</v>
      </c>
      <c r="CN168" s="22">
        <f t="shared" si="172"/>
        <v>16.059578696509028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251.00000000000006</v>
      </c>
      <c r="CU168" s="17">
        <f>CT168*VLOOKUP('Données projet'!$B$13,Paramètres!$A$1:$I$89,3,0)*VLOOKUP('Données projet'!$B$13,Paramètres!$A$1:$I$89,5,0)</f>
        <v>285.83880000000011</v>
      </c>
      <c r="CV168" s="13">
        <f t="shared" si="173"/>
        <v>68.199429147498265</v>
      </c>
      <c r="CW168" s="20">
        <f t="shared" si="174"/>
        <v>616.61658243189299</v>
      </c>
      <c r="CX168" s="59">
        <f t="shared" si="122"/>
        <v>909.94991576522625</v>
      </c>
      <c r="CY168" s="59">
        <f ca="1">AVERAGE(OFFSET($CX$3,0,0,'Données projet'!$E$13+1,1))-AVERAGE(OFFSET($H$3,0,0,'Données projet'!$E$13+1,1))</f>
        <v>389.89050053480827</v>
      </c>
      <c r="CZ168" s="59">
        <f t="shared" si="150"/>
        <v>216.40816051909616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5.617027016764073</v>
      </c>
      <c r="DG168" s="21">
        <f>EXP(-LN(2)/25)*DG167+(1-EXP(-LN(2)/25))/(LN(2)/25)*Calculateur!DB168*Calculateur!DD168*VLOOKUP('Données projet'!$B$13,Paramètres!$A$1:$I$89,3,0)*0.475*44/12</f>
        <v>0.41068861852993976</v>
      </c>
      <c r="DH168" s="21">
        <f>EXP(-LN(2)/2)*DH167+(1-EXP(-LN(2)/2))/(LN(2)/2)*DB168*DE168*VLOOKUP('Données projet'!$B$13,Paramètres!$A$1:$I$89,3,0)*0.475*44/12</f>
        <v>1.0569437563250685E-7</v>
      </c>
      <c r="DI168" s="22">
        <f t="shared" si="175"/>
        <v>6.0277157409883886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268.00000000000011</v>
      </c>
      <c r="O169" s="13">
        <f>N169*VLOOKUP('Données projet'!$B$9,Paramètres!$A$1:$I$89,3,0)*VLOOKUP('Données projet'!$B$9,Paramètres!$A$1:$I$89,5,0)</f>
        <v>242.48640000000009</v>
      </c>
      <c r="P169" s="13">
        <f t="shared" si="141"/>
        <v>58.974170235372476</v>
      </c>
      <c r="Q169" s="20">
        <f t="shared" si="162"/>
        <v>525.04382649327385</v>
      </c>
      <c r="R169" s="59">
        <f t="shared" si="109"/>
        <v>818.37715982660711</v>
      </c>
      <c r="S169" s="59">
        <f ca="1">AVERAGE(OFFSET($R$3,0,0,'Données projet'!$E$9+1,1))-AVERAGE(OFFSET($H$3,0,0,'Données projet'!$E$9+1,1))</f>
        <v>371.7282125501186</v>
      </c>
      <c r="T169" s="59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23.461976035506382</v>
      </c>
      <c r="AA169" s="21">
        <f>EXP(-LN(2)/25)*AA168+(1-EXP(-LN(2)/25))/(LN(2)/25)*Calculateur!V169*Calculateur!X169*VLOOKUP('Données projet'!$B$9,Paramètres!$A$1:$I$89,3,0)*0.475*44/12</f>
        <v>0.69085875899289384</v>
      </c>
      <c r="AB169" s="21">
        <f>EXP(-LN(2)/2)*AB168+(1-EXP(-LN(2)/2))/(LN(2)/2)*V169*Y169*VLOOKUP('Données projet'!$B$9,Paramètres!$A$1:$I$89,3,0)*0.475*44/12</f>
        <v>1.2768670686130621E-7</v>
      </c>
      <c r="AC169" s="22">
        <f t="shared" si="163"/>
        <v>24.152834922185985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1.7053025658242404E-13</v>
      </c>
      <c r="AJ169" s="13">
        <f>AI169*VLOOKUP('Données projet'!$B$10,Paramètres!$A$1:$I$89,3,0)*VLOOKUP('Données projet'!$B$10,Paramètres!$A$1:$I$89,5,0)</f>
        <v>7.9808160080574461E-14</v>
      </c>
      <c r="AK169" s="13">
        <f t="shared" si="164"/>
        <v>1.2308384591775343E-12</v>
      </c>
      <c r="AL169" s="20">
        <f t="shared" si="165"/>
        <v>2.282709528541206E-12</v>
      </c>
      <c r="AM169" s="59">
        <f t="shared" si="113"/>
        <v>293.33333333333559</v>
      </c>
      <c r="AN169" s="59">
        <f ca="1">AVERAGE(OFFSET($AM$3,0,0,'Données projet'!$E$10+1,1))-AVERAGE(OFFSET($H$3,0,0,'Données projet'!$E$10+1,1))</f>
        <v>218.32525311070435</v>
      </c>
      <c r="AO169" s="59">
        <f t="shared" si="144"/>
        <v>275.36315264099204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10.686870939560039</v>
      </c>
      <c r="AV169" s="21">
        <f>EXP(-LN(2)/25)*AV168+(1-EXP(-LN(2)/25))/(LN(2)/25)*Calculateur!AQ169*Calculateur!AS169*VLOOKUP('Données projet'!$B$10,Paramètres!$A$1:$I$89,3,0)*0.475*44/12</f>
        <v>1.9921134656186785</v>
      </c>
      <c r="AW169" s="21">
        <f>EXP(-LN(2)/2)*AW168+(1-EXP(-LN(2)/2))/(LN(2)/2)*AQ169*AT169*VLOOKUP('Données projet'!$B$10,Paramètres!$A$1:$I$89,3,0)*0.475*44/12</f>
        <v>7.2452084131503227E-15</v>
      </c>
      <c r="AX169" s="21">
        <f t="shared" si="166"/>
        <v>12.678984405178724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343</v>
      </c>
      <c r="BE169" s="13">
        <f>BD169*VLOOKUP('Données projet'!$B$11,Paramètres!$A$1:$I$89,3,0)*VLOOKUP('Données projet'!$B$11,Paramètres!$A$1:$I$89,5,0)</f>
        <v>326.39879999999999</v>
      </c>
      <c r="BF169" s="13">
        <f t="shared" si="167"/>
        <v>76.683210401884097</v>
      </c>
      <c r="BG169" s="20">
        <f t="shared" si="168"/>
        <v>702.03450144994804</v>
      </c>
      <c r="BH169" s="59">
        <f t="shared" si="116"/>
        <v>995.3678347832813</v>
      </c>
      <c r="BI169" s="59">
        <f ca="1">AVERAGE(OFFSET($BH$3,0,0,'Données projet'!$E$11+1,1))-AVERAGE(OFFSET($H$3,0,0,'Données projet'!$E$11+1,1))</f>
        <v>446.62872871405051</v>
      </c>
      <c r="BJ169" s="59">
        <f t="shared" si="146"/>
        <v>471.28934889691658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8.8891043258964135</v>
      </c>
      <c r="BQ169" s="21">
        <f>EXP(-LN(2)/25)*BQ168+(1-EXP(-LN(2)/25))/(LN(2)/25)*Calculateur!BL169*Calculateur!BN169*VLOOKUP('Données projet'!$B$11,Paramètres!$A$1:$I$89,3,0)*0.475*44/12</f>
        <v>0.23476509408331769</v>
      </c>
      <c r="BR169" s="21">
        <f>EXP(-LN(2)/2)*BR168+(1-EXP(-LN(2)/2))/(LN(2)/2)*BL169*BO169*VLOOKUP('Données projet'!$B$11,Paramètres!$A$1:$I$89,3,0)*0.475*44/12</f>
        <v>6.0873313240233176E-15</v>
      </c>
      <c r="BS169" s="22">
        <f t="shared" si="169"/>
        <v>9.1238694199797372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991.00000000000011</v>
      </c>
      <c r="BZ169" s="13">
        <f>BY169*VLOOKUP('Données projet'!$B$12,Paramètres!$A$1:$I$89,3,0)*VLOOKUP('Données projet'!$B$12,Paramètres!$A$1:$I$89,5,0)</f>
        <v>438.02200000000011</v>
      </c>
      <c r="CA169" s="13">
        <f t="shared" si="170"/>
        <v>99.443834741543355</v>
      </c>
      <c r="CB169" s="20">
        <f t="shared" si="171"/>
        <v>936.08632884152132</v>
      </c>
      <c r="CC169" s="59">
        <f t="shared" si="119"/>
        <v>1229.4196621748547</v>
      </c>
      <c r="CD169" s="59">
        <f ca="1">AVERAGE(OFFSET($CC$3,0,0,'Données projet'!$E$12+1,1))-AVERAGE(OFFSET($H$3,0,0,'Données projet'!$E$12+1,1))</f>
        <v>534.99316143569899</v>
      </c>
      <c r="CE169" s="59">
        <f t="shared" si="148"/>
        <v>449.56965858934262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12.768775317449546</v>
      </c>
      <c r="CL169" s="21">
        <f>EXP(-LN(2)/25)*CL168+(1-EXP(-LN(2)/25))/(LN(2)/25)*Calculateur!CG169*Calculateur!CI169*VLOOKUP('Données projet'!$B$12,Paramètres!$A$1:$I$89,3,0)*0.475*44/12</f>
        <v>2.9524039495169645</v>
      </c>
      <c r="CM169" s="21">
        <f>EXP(-LN(2)/2)*CM168+(1-EXP(-LN(2)/2))/(LN(2)/2)*CG169*CJ169*VLOOKUP('Données projet'!$B$12,Paramètres!$A$1:$I$89,3,0)*0.475*44/12</f>
        <v>3.0993946321971421E-13</v>
      </c>
      <c r="CN169" s="22">
        <f t="shared" si="172"/>
        <v>15.72117926696682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251.00000000000006</v>
      </c>
      <c r="CU169" s="17">
        <f>CT169*VLOOKUP('Données projet'!$B$13,Paramètres!$A$1:$I$89,3,0)*VLOOKUP('Données projet'!$B$13,Paramètres!$A$1:$I$89,5,0)</f>
        <v>285.83880000000011</v>
      </c>
      <c r="CV169" s="13">
        <f t="shared" si="173"/>
        <v>68.199429147498265</v>
      </c>
      <c r="CW169" s="20">
        <f t="shared" si="174"/>
        <v>616.61658243189299</v>
      </c>
      <c r="CX169" s="59">
        <f t="shared" si="122"/>
        <v>909.94991576522625</v>
      </c>
      <c r="CY169" s="59">
        <f ca="1">AVERAGE(OFFSET($CX$3,0,0,'Données projet'!$E$13+1,1))-AVERAGE(OFFSET($H$3,0,0,'Données projet'!$E$13+1,1))</f>
        <v>389.89050053480827</v>
      </c>
      <c r="CZ169" s="59">
        <f t="shared" si="150"/>
        <v>216.40816051909616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5.5068805430135157</v>
      </c>
      <c r="DG169" s="21">
        <f>EXP(-LN(2)/25)*DG168+(1-EXP(-LN(2)/25))/(LN(2)/25)*Calculateur!DB169*Calculateur!DD169*VLOOKUP('Données projet'!$B$13,Paramètres!$A$1:$I$89,3,0)*0.475*44/12</f>
        <v>0.39945831665906273</v>
      </c>
      <c r="DH169" s="21">
        <f>EXP(-LN(2)/2)*DH168+(1-EXP(-LN(2)/2))/(LN(2)/2)*DB169*DE169*VLOOKUP('Données projet'!$B$13,Paramètres!$A$1:$I$89,3,0)*0.475*44/12</f>
        <v>7.473720974302378E-8</v>
      </c>
      <c r="DI169" s="22">
        <f t="shared" si="175"/>
        <v>5.9063389344097876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268.00000000000011</v>
      </c>
      <c r="O170" s="13">
        <f>N170*VLOOKUP('Données projet'!$B$9,Paramètres!$A$1:$I$89,3,0)*VLOOKUP('Données projet'!$B$9,Paramètres!$A$1:$I$89,5,0)</f>
        <v>242.48640000000009</v>
      </c>
      <c r="P170" s="13">
        <f t="shared" si="141"/>
        <v>58.974170235372476</v>
      </c>
      <c r="Q170" s="20">
        <f t="shared" si="162"/>
        <v>525.04382649327385</v>
      </c>
      <c r="R170" s="59">
        <f t="shared" si="109"/>
        <v>818.37715982660711</v>
      </c>
      <c r="S170" s="59">
        <f ca="1">AVERAGE(OFFSET($R$3,0,0,'Données projet'!$E$9+1,1))-AVERAGE(OFFSET($H$3,0,0,'Données projet'!$E$9+1,1))</f>
        <v>371.7282125501186</v>
      </c>
      <c r="T170" s="59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23.001900995842451</v>
      </c>
      <c r="AA170" s="21">
        <f>EXP(-LN(2)/25)*AA169+(1-EXP(-LN(2)/25))/(LN(2)/25)*Calculateur!V170*Calculateur!X170*VLOOKUP('Données projet'!$B$9,Paramètres!$A$1:$I$89,3,0)*0.475*44/12</f>
        <v>0.67196718989755</v>
      </c>
      <c r="AB170" s="21">
        <f>EXP(-LN(2)/2)*AB169+(1-EXP(-LN(2)/2))/(LN(2)/2)*V170*Y170*VLOOKUP('Données projet'!$B$9,Paramètres!$A$1:$I$89,3,0)*0.475*44/12</f>
        <v>9.0288136289008487E-8</v>
      </c>
      <c r="AC170" s="22">
        <f t="shared" si="163"/>
        <v>23.673868276028138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1.7053025658242404E-13</v>
      </c>
      <c r="AJ170" s="13">
        <f>AI170*VLOOKUP('Données projet'!$B$10,Paramètres!$A$1:$I$89,3,0)*VLOOKUP('Données projet'!$B$10,Paramètres!$A$1:$I$89,5,0)</f>
        <v>7.9808160080574461E-14</v>
      </c>
      <c r="AK170" s="13">
        <f t="shared" si="164"/>
        <v>1.2308384591775343E-12</v>
      </c>
      <c r="AL170" s="20">
        <f t="shared" si="165"/>
        <v>2.282709528541206E-12</v>
      </c>
      <c r="AM170" s="59">
        <f t="shared" si="113"/>
        <v>293.33333333333559</v>
      </c>
      <c r="AN170" s="59">
        <f ca="1">AVERAGE(OFFSET($AM$3,0,0,'Données projet'!$E$10+1,1))-AVERAGE(OFFSET($H$3,0,0,'Données projet'!$E$10+1,1))</f>
        <v>218.32525311070435</v>
      </c>
      <c r="AO170" s="59">
        <f t="shared" si="144"/>
        <v>275.36315264099204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10.477307918782907</v>
      </c>
      <c r="AV170" s="21">
        <f>EXP(-LN(2)/25)*AV169+(1-EXP(-LN(2)/25))/(LN(2)/25)*Calculateur!AQ170*Calculateur!AS170*VLOOKUP('Données projet'!$B$10,Paramètres!$A$1:$I$89,3,0)*0.475*44/12</f>
        <v>1.9376390181406415</v>
      </c>
      <c r="AW170" s="21">
        <f>EXP(-LN(2)/2)*AW169+(1-EXP(-LN(2)/2))/(LN(2)/2)*AQ170*AT170*VLOOKUP('Données projet'!$B$10,Paramètres!$A$1:$I$89,3,0)*0.475*44/12</f>
        <v>5.1231360000484185E-15</v>
      </c>
      <c r="AX170" s="21">
        <f t="shared" si="166"/>
        <v>12.414946936923554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343</v>
      </c>
      <c r="BE170" s="13">
        <f>BD170*VLOOKUP('Données projet'!$B$11,Paramètres!$A$1:$I$89,3,0)*VLOOKUP('Données projet'!$B$11,Paramètres!$A$1:$I$89,5,0)</f>
        <v>326.39879999999999</v>
      </c>
      <c r="BF170" s="13">
        <f t="shared" si="167"/>
        <v>76.683210401884097</v>
      </c>
      <c r="BG170" s="20">
        <f t="shared" si="168"/>
        <v>702.03450144994804</v>
      </c>
      <c r="BH170" s="59">
        <f t="shared" si="116"/>
        <v>995.3678347832813</v>
      </c>
      <c r="BI170" s="59">
        <f ca="1">AVERAGE(OFFSET($BH$3,0,0,'Données projet'!$E$11+1,1))-AVERAGE(OFFSET($H$3,0,0,'Données projet'!$E$11+1,1))</f>
        <v>446.62872871405051</v>
      </c>
      <c r="BJ170" s="59">
        <f t="shared" si="146"/>
        <v>471.28934889691658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8.7147944118838634</v>
      </c>
      <c r="BQ170" s="21">
        <f>EXP(-LN(2)/25)*BQ169+(1-EXP(-LN(2)/25))/(LN(2)/25)*Calculateur!BL170*Calculateur!BN170*VLOOKUP('Données projet'!$B$11,Paramètres!$A$1:$I$89,3,0)*0.475*44/12</f>
        <v>0.22834543023984963</v>
      </c>
      <c r="BR170" s="21">
        <f>EXP(-LN(2)/2)*BR169+(1-EXP(-LN(2)/2))/(LN(2)/2)*BL170*BO170*VLOOKUP('Données projet'!$B$11,Paramètres!$A$1:$I$89,3,0)*0.475*44/12</f>
        <v>4.3043932585461727E-15</v>
      </c>
      <c r="BS170" s="22">
        <f t="shared" si="169"/>
        <v>8.9431398421237169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991.00000000000011</v>
      </c>
      <c r="BZ170" s="13">
        <f>BY170*VLOOKUP('Données projet'!$B$12,Paramètres!$A$1:$I$89,3,0)*VLOOKUP('Données projet'!$B$12,Paramètres!$A$1:$I$89,5,0)</f>
        <v>438.02200000000011</v>
      </c>
      <c r="CA170" s="13">
        <f t="shared" si="170"/>
        <v>99.443834741543355</v>
      </c>
      <c r="CB170" s="20">
        <f t="shared" si="171"/>
        <v>936.08632884152132</v>
      </c>
      <c r="CC170" s="59">
        <f t="shared" si="119"/>
        <v>1229.4196621748547</v>
      </c>
      <c r="CD170" s="59">
        <f ca="1">AVERAGE(OFFSET($CC$3,0,0,'Données projet'!$E$12+1,1))-AVERAGE(OFFSET($H$3,0,0,'Données projet'!$E$12+1,1))</f>
        <v>534.99316143569899</v>
      </c>
      <c r="CE170" s="59">
        <f t="shared" si="148"/>
        <v>449.56965858934262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12.518387421658284</v>
      </c>
      <c r="CL170" s="21">
        <f>EXP(-LN(2)/25)*CL169+(1-EXP(-LN(2)/25))/(LN(2)/25)*Calculateur!CG170*Calculateur!CI170*VLOOKUP('Données projet'!$B$12,Paramètres!$A$1:$I$89,3,0)*0.475*44/12</f>
        <v>2.8716703082572472</v>
      </c>
      <c r="CM170" s="21">
        <f>EXP(-LN(2)/2)*CM169+(1-EXP(-LN(2)/2))/(LN(2)/2)*CG170*CJ170*VLOOKUP('Données projet'!$B$12,Paramètres!$A$1:$I$89,3,0)*0.475*44/12</f>
        <v>2.1916029619997846E-13</v>
      </c>
      <c r="CN170" s="22">
        <f t="shared" si="172"/>
        <v>15.39005772991575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251.00000000000006</v>
      </c>
      <c r="CU170" s="17">
        <f>CT170*VLOOKUP('Données projet'!$B$13,Paramètres!$A$1:$I$89,3,0)*VLOOKUP('Données projet'!$B$13,Paramètres!$A$1:$I$89,5,0)</f>
        <v>285.83880000000011</v>
      </c>
      <c r="CV170" s="13">
        <f t="shared" si="173"/>
        <v>68.199429147498265</v>
      </c>
      <c r="CW170" s="20">
        <f t="shared" si="174"/>
        <v>616.61658243189299</v>
      </c>
      <c r="CX170" s="59">
        <f t="shared" si="122"/>
        <v>909.94991576522625</v>
      </c>
      <c r="CY170" s="59">
        <f ca="1">AVERAGE(OFFSET($CX$3,0,0,'Données projet'!$E$13+1,1))-AVERAGE(OFFSET($H$3,0,0,'Données projet'!$E$13+1,1))</f>
        <v>389.89050053480827</v>
      </c>
      <c r="CZ170" s="59">
        <f t="shared" si="150"/>
        <v>216.40816051909616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5.3988939744304911</v>
      </c>
      <c r="DG170" s="21">
        <f>EXP(-LN(2)/25)*DG169+(1-EXP(-LN(2)/25))/(LN(2)/25)*Calculateur!DB170*Calculateur!DD170*VLOOKUP('Données projet'!$B$13,Paramètres!$A$1:$I$89,3,0)*0.475*44/12</f>
        <v>0.38853510798342078</v>
      </c>
      <c r="DH170" s="21">
        <f>EXP(-LN(2)/2)*DH169+(1-EXP(-LN(2)/2))/(LN(2)/2)*DB170*DE170*VLOOKUP('Données projet'!$B$13,Paramètres!$A$1:$I$89,3,0)*0.475*44/12</f>
        <v>5.2847187816253424E-8</v>
      </c>
      <c r="DI170" s="22">
        <f t="shared" si="175"/>
        <v>5.7874291352610996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268.00000000000011</v>
      </c>
      <c r="O171" s="13">
        <f>N171*VLOOKUP('Données projet'!$B$9,Paramètres!$A$1:$I$89,3,0)*VLOOKUP('Données projet'!$B$9,Paramètres!$A$1:$I$89,5,0)</f>
        <v>242.48640000000009</v>
      </c>
      <c r="P171" s="13">
        <f t="shared" si="141"/>
        <v>58.974170235372476</v>
      </c>
      <c r="Q171" s="20">
        <f t="shared" si="162"/>
        <v>525.04382649327385</v>
      </c>
      <c r="R171" s="59">
        <f t="shared" si="109"/>
        <v>818.37715982660711</v>
      </c>
      <c r="S171" s="59">
        <f ca="1">AVERAGE(OFFSET($R$3,0,0,'Données projet'!$E$9+1,1))-AVERAGE(OFFSET($H$3,0,0,'Données projet'!$E$9+1,1))</f>
        <v>371.7282125501186</v>
      </c>
      <c r="T171" s="59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22.550847747088262</v>
      </c>
      <c r="AA171" s="21">
        <f>EXP(-LN(2)/25)*AA170+(1-EXP(-LN(2)/25))/(LN(2)/25)*Calculateur!V171*Calculateur!X171*VLOOKUP('Données projet'!$B$9,Paramètres!$A$1:$I$89,3,0)*0.475*44/12</f>
        <v>0.65359221175258275</v>
      </c>
      <c r="AB171" s="21">
        <f>EXP(-LN(2)/2)*AB170+(1-EXP(-LN(2)/2))/(LN(2)/2)*V171*Y171*VLOOKUP('Données projet'!$B$9,Paramètres!$A$1:$I$89,3,0)*0.475*44/12</f>
        <v>6.3843353430653105E-8</v>
      </c>
      <c r="AC171" s="22">
        <f t="shared" si="163"/>
        <v>23.204440022684196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1.7053025658242404E-13</v>
      </c>
      <c r="AJ171" s="13">
        <f>AI171*VLOOKUP('Données projet'!$B$10,Paramètres!$A$1:$I$89,3,0)*VLOOKUP('Données projet'!$B$10,Paramètres!$A$1:$I$89,5,0)</f>
        <v>7.9808160080574461E-14</v>
      </c>
      <c r="AK171" s="13">
        <f t="shared" si="164"/>
        <v>1.2308384591775343E-12</v>
      </c>
      <c r="AL171" s="20">
        <f t="shared" si="165"/>
        <v>2.282709528541206E-12</v>
      </c>
      <c r="AM171" s="59">
        <f t="shared" si="113"/>
        <v>293.33333333333559</v>
      </c>
      <c r="AN171" s="59">
        <f ca="1">AVERAGE(OFFSET($AM$3,0,0,'Données projet'!$E$10+1,1))-AVERAGE(OFFSET($H$3,0,0,'Données projet'!$E$10+1,1))</f>
        <v>218.32525311070435</v>
      </c>
      <c r="AO171" s="59">
        <f t="shared" si="144"/>
        <v>275.36315264099204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10.271854301022392</v>
      </c>
      <c r="AV171" s="21">
        <f>EXP(-LN(2)/25)*AV170+(1-EXP(-LN(2)/25))/(LN(2)/25)*Calculateur!AQ171*Calculateur!AS171*VLOOKUP('Données projet'!$B$10,Paramètres!$A$1:$I$89,3,0)*0.475*44/12</f>
        <v>1.8846541772935783</v>
      </c>
      <c r="AW171" s="21">
        <f>EXP(-LN(2)/2)*AW170+(1-EXP(-LN(2)/2))/(LN(2)/2)*AQ171*AT171*VLOOKUP('Données projet'!$B$10,Paramètres!$A$1:$I$89,3,0)*0.475*44/12</f>
        <v>3.6226042065751613E-15</v>
      </c>
      <c r="AX171" s="21">
        <f t="shared" si="166"/>
        <v>12.156508478315974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343</v>
      </c>
      <c r="BE171" s="13">
        <f>BD171*VLOOKUP('Données projet'!$B$11,Paramètres!$A$1:$I$89,3,0)*VLOOKUP('Données projet'!$B$11,Paramètres!$A$1:$I$89,5,0)</f>
        <v>326.39879999999999</v>
      </c>
      <c r="BF171" s="13">
        <f t="shared" si="167"/>
        <v>76.683210401884097</v>
      </c>
      <c r="BG171" s="20">
        <f t="shared" si="168"/>
        <v>702.03450144994804</v>
      </c>
      <c r="BH171" s="59">
        <f t="shared" si="116"/>
        <v>995.3678347832813</v>
      </c>
      <c r="BI171" s="59">
        <f ca="1">AVERAGE(OFFSET($BH$3,0,0,'Données projet'!$E$11+1,1))-AVERAGE(OFFSET($H$3,0,0,'Données projet'!$E$11+1,1))</f>
        <v>446.62872871405051</v>
      </c>
      <c r="BJ171" s="59">
        <f t="shared" si="146"/>
        <v>471.28934889691658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8.5439026089665493</v>
      </c>
      <c r="BQ171" s="21">
        <f>EXP(-LN(2)/25)*BQ170+(1-EXP(-LN(2)/25))/(LN(2)/25)*Calculateur!BL171*Calculateur!BN171*VLOOKUP('Données projet'!$B$11,Paramètres!$A$1:$I$89,3,0)*0.475*44/12</f>
        <v>0.22210131244177667</v>
      </c>
      <c r="BR171" s="21">
        <f>EXP(-LN(2)/2)*BR170+(1-EXP(-LN(2)/2))/(LN(2)/2)*BL171*BO171*VLOOKUP('Données projet'!$B$11,Paramètres!$A$1:$I$89,3,0)*0.475*44/12</f>
        <v>3.0436656620116588E-15</v>
      </c>
      <c r="BS171" s="22">
        <f t="shared" si="169"/>
        <v>8.7660039214083287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991.00000000000011</v>
      </c>
      <c r="BZ171" s="13">
        <f>BY171*VLOOKUP('Données projet'!$B$12,Paramètres!$A$1:$I$89,3,0)*VLOOKUP('Données projet'!$B$12,Paramètres!$A$1:$I$89,5,0)</f>
        <v>438.02200000000011</v>
      </c>
      <c r="CA171" s="13">
        <f t="shared" si="170"/>
        <v>99.443834741543355</v>
      </c>
      <c r="CB171" s="20">
        <f t="shared" si="171"/>
        <v>936.08632884152132</v>
      </c>
      <c r="CC171" s="59">
        <f t="shared" si="119"/>
        <v>1229.4196621748547</v>
      </c>
      <c r="CD171" s="59">
        <f ca="1">AVERAGE(OFFSET($CC$3,0,0,'Données projet'!$E$12+1,1))-AVERAGE(OFFSET($H$3,0,0,'Données projet'!$E$12+1,1))</f>
        <v>534.99316143569899</v>
      </c>
      <c r="CE171" s="59">
        <f t="shared" si="148"/>
        <v>449.56965858934262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12.272909479781953</v>
      </c>
      <c r="CL171" s="21">
        <f>EXP(-LN(2)/25)*CL170+(1-EXP(-LN(2)/25))/(LN(2)/25)*Calculateur!CG171*Calculateur!CI171*VLOOKUP('Données projet'!$B$12,Paramètres!$A$1:$I$89,3,0)*0.475*44/12</f>
        <v>2.7931443326633745</v>
      </c>
      <c r="CM171" s="21">
        <f>EXP(-LN(2)/2)*CM170+(1-EXP(-LN(2)/2))/(LN(2)/2)*CG171*CJ171*VLOOKUP('Données projet'!$B$12,Paramètres!$A$1:$I$89,3,0)*0.475*44/12</f>
        <v>1.5496973160985711E-13</v>
      </c>
      <c r="CN171" s="22">
        <f t="shared" si="172"/>
        <v>15.066053812445482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251.00000000000006</v>
      </c>
      <c r="CU171" s="17">
        <f>CT171*VLOOKUP('Données projet'!$B$13,Paramètres!$A$1:$I$89,3,0)*VLOOKUP('Données projet'!$B$13,Paramètres!$A$1:$I$89,5,0)</f>
        <v>285.83880000000011</v>
      </c>
      <c r="CV171" s="13">
        <f t="shared" si="173"/>
        <v>68.199429147498265</v>
      </c>
      <c r="CW171" s="20">
        <f t="shared" si="174"/>
        <v>616.61658243189299</v>
      </c>
      <c r="CX171" s="59">
        <f t="shared" si="122"/>
        <v>909.94991576522625</v>
      </c>
      <c r="CY171" s="59">
        <f ca="1">AVERAGE(OFFSET($CX$3,0,0,'Données projet'!$E$13+1,1))-AVERAGE(OFFSET($H$3,0,0,'Données projet'!$E$13+1,1))</f>
        <v>389.89050053480827</v>
      </c>
      <c r="CZ171" s="59">
        <f t="shared" si="150"/>
        <v>216.40816051909616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5.2930249565920766</v>
      </c>
      <c r="DG171" s="21">
        <f>EXP(-LN(2)/25)*DG170+(1-EXP(-LN(2)/25))/(LN(2)/25)*Calculateur!DB171*Calculateur!DD171*VLOOKUP('Données projet'!$B$13,Paramètres!$A$1:$I$89,3,0)*0.475*44/12</f>
        <v>0.37791059502344082</v>
      </c>
      <c r="DH171" s="21">
        <f>EXP(-LN(2)/2)*DH170+(1-EXP(-LN(2)/2))/(LN(2)/2)*DB171*DE171*VLOOKUP('Données projet'!$B$13,Paramètres!$A$1:$I$89,3,0)*0.475*44/12</f>
        <v>3.736860487151189E-8</v>
      </c>
      <c r="DI171" s="22">
        <f t="shared" si="175"/>
        <v>5.6709355889841229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268.00000000000011</v>
      </c>
      <c r="O172" s="13">
        <f>N172*VLOOKUP('Données projet'!$B$9,Paramètres!$A$1:$I$89,3,0)*VLOOKUP('Données projet'!$B$9,Paramètres!$A$1:$I$89,5,0)</f>
        <v>242.48640000000009</v>
      </c>
      <c r="P172" s="13">
        <f t="shared" si="141"/>
        <v>58.974170235372476</v>
      </c>
      <c r="Q172" s="20">
        <f t="shared" si="162"/>
        <v>525.04382649327385</v>
      </c>
      <c r="R172" s="59">
        <f t="shared" si="109"/>
        <v>818.37715982660711</v>
      </c>
      <c r="S172" s="59">
        <f ca="1">AVERAGE(OFFSET($R$3,0,0,'Données projet'!$E$9+1,1))-AVERAGE(OFFSET($H$3,0,0,'Données projet'!$E$9+1,1))</f>
        <v>371.7282125501186</v>
      </c>
      <c r="T172" s="59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22.108639377426826</v>
      </c>
      <c r="AA172" s="21">
        <f>EXP(-LN(2)/25)*AA171+(1-EXP(-LN(2)/25))/(LN(2)/25)*Calculateur!V172*Calculateur!X172*VLOOKUP('Données projet'!$B$9,Paramètres!$A$1:$I$89,3,0)*0.475*44/12</f>
        <v>0.63571969835128772</v>
      </c>
      <c r="AB172" s="21">
        <f>EXP(-LN(2)/2)*AB171+(1-EXP(-LN(2)/2))/(LN(2)/2)*V172*Y172*VLOOKUP('Données projet'!$B$9,Paramètres!$A$1:$I$89,3,0)*0.475*44/12</f>
        <v>4.5144068144504243E-8</v>
      </c>
      <c r="AC172" s="22">
        <f t="shared" si="163"/>
        <v>22.744359120922184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1.7053025658242404E-13</v>
      </c>
      <c r="AJ172" s="13">
        <f>AI172*VLOOKUP('Données projet'!$B$10,Paramètres!$A$1:$I$89,3,0)*VLOOKUP('Données projet'!$B$10,Paramètres!$A$1:$I$89,5,0)</f>
        <v>7.9808160080574461E-14</v>
      </c>
      <c r="AK172" s="13">
        <f t="shared" si="164"/>
        <v>1.2308384591775343E-12</v>
      </c>
      <c r="AL172" s="20">
        <f t="shared" si="165"/>
        <v>2.282709528541206E-12</v>
      </c>
      <c r="AM172" s="59">
        <f t="shared" si="113"/>
        <v>293.33333333333559</v>
      </c>
      <c r="AN172" s="59">
        <f ca="1">AVERAGE(OFFSET($AM$3,0,0,'Données projet'!$E$10+1,1))-AVERAGE(OFFSET($H$3,0,0,'Données projet'!$E$10+1,1))</f>
        <v>218.32525311070435</v>
      </c>
      <c r="AO172" s="59">
        <f t="shared" si="144"/>
        <v>275.36315264099204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10.070429503391829</v>
      </c>
      <c r="AV172" s="21">
        <f>EXP(-LN(2)/25)*AV171+(1-EXP(-LN(2)/25))/(LN(2)/25)*Calculateur!AQ172*Calculateur!AS172*VLOOKUP('Données projet'!$B$10,Paramètres!$A$1:$I$89,3,0)*0.475*44/12</f>
        <v>1.8331182097058296</v>
      </c>
      <c r="AW172" s="21">
        <f>EXP(-LN(2)/2)*AW171+(1-EXP(-LN(2)/2))/(LN(2)/2)*AQ172*AT172*VLOOKUP('Données projet'!$B$10,Paramètres!$A$1:$I$89,3,0)*0.475*44/12</f>
        <v>2.5615680000242092E-15</v>
      </c>
      <c r="AX172" s="21">
        <f t="shared" si="166"/>
        <v>11.903547713097661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343</v>
      </c>
      <c r="BE172" s="13">
        <f>BD172*VLOOKUP('Données projet'!$B$11,Paramètres!$A$1:$I$89,3,0)*VLOOKUP('Données projet'!$B$11,Paramètres!$A$1:$I$89,5,0)</f>
        <v>326.39879999999999</v>
      </c>
      <c r="BF172" s="13">
        <f t="shared" si="167"/>
        <v>76.683210401884097</v>
      </c>
      <c r="BG172" s="20">
        <f t="shared" si="168"/>
        <v>702.03450144994804</v>
      </c>
      <c r="BH172" s="59">
        <f t="shared" si="116"/>
        <v>995.3678347832813</v>
      </c>
      <c r="BI172" s="59">
        <f ca="1">AVERAGE(OFFSET($BH$3,0,0,'Données projet'!$E$11+1,1))-AVERAGE(OFFSET($H$3,0,0,'Données projet'!$E$11+1,1))</f>
        <v>446.62872871405051</v>
      </c>
      <c r="BJ172" s="59">
        <f t="shared" si="146"/>
        <v>471.28934889691658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8.3763618900707364</v>
      </c>
      <c r="BQ172" s="21">
        <f>EXP(-LN(2)/25)*BQ171+(1-EXP(-LN(2)/25))/(LN(2)/25)*Calculateur!BL172*Calculateur!BN172*VLOOKUP('Données projet'!$B$11,Paramètres!$A$1:$I$89,3,0)*0.475*44/12</f>
        <v>0.21602794037325587</v>
      </c>
      <c r="BR172" s="21">
        <f>EXP(-LN(2)/2)*BR171+(1-EXP(-LN(2)/2))/(LN(2)/2)*BL172*BO172*VLOOKUP('Données projet'!$B$11,Paramètres!$A$1:$I$89,3,0)*0.475*44/12</f>
        <v>2.1521966292730863E-15</v>
      </c>
      <c r="BS172" s="22">
        <f t="shared" si="169"/>
        <v>8.5923898304439934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991.00000000000011</v>
      </c>
      <c r="BZ172" s="13">
        <f>BY172*VLOOKUP('Données projet'!$B$12,Paramètres!$A$1:$I$89,3,0)*VLOOKUP('Données projet'!$B$12,Paramètres!$A$1:$I$89,5,0)</f>
        <v>438.02200000000011</v>
      </c>
      <c r="CA172" s="13">
        <f t="shared" si="170"/>
        <v>99.443834741543355</v>
      </c>
      <c r="CB172" s="20">
        <f t="shared" si="171"/>
        <v>936.08632884152132</v>
      </c>
      <c r="CC172" s="59">
        <f t="shared" si="119"/>
        <v>1229.4196621748547</v>
      </c>
      <c r="CD172" s="59">
        <f ca="1">AVERAGE(OFFSET($CC$3,0,0,'Données projet'!$E$12+1,1))-AVERAGE(OFFSET($H$3,0,0,'Données projet'!$E$12+1,1))</f>
        <v>534.99316143569899</v>
      </c>
      <c r="CE172" s="59">
        <f t="shared" si="148"/>
        <v>449.56965858934262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12.032245210619056</v>
      </c>
      <c r="CL172" s="21">
        <f>EXP(-LN(2)/25)*CL171+(1-EXP(-LN(2)/25))/(LN(2)/25)*Calculateur!CG172*Calculateur!CI172*VLOOKUP('Données projet'!$B$12,Paramètres!$A$1:$I$89,3,0)*0.475*44/12</f>
        <v>2.7167656540016178</v>
      </c>
      <c r="CM172" s="21">
        <f>EXP(-LN(2)/2)*CM171+(1-EXP(-LN(2)/2))/(LN(2)/2)*CG172*CJ172*VLOOKUP('Données projet'!$B$12,Paramètres!$A$1:$I$89,3,0)*0.475*44/12</f>
        <v>1.0958014809998923E-13</v>
      </c>
      <c r="CN172" s="22">
        <f t="shared" si="172"/>
        <v>14.749010864620784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251.00000000000006</v>
      </c>
      <c r="CU172" s="17">
        <f>CT172*VLOOKUP('Données projet'!$B$13,Paramètres!$A$1:$I$89,3,0)*VLOOKUP('Données projet'!$B$13,Paramètres!$A$1:$I$89,5,0)</f>
        <v>285.83880000000011</v>
      </c>
      <c r="CV172" s="13">
        <f t="shared" si="173"/>
        <v>68.199429147498265</v>
      </c>
      <c r="CW172" s="20">
        <f t="shared" si="174"/>
        <v>616.61658243189299</v>
      </c>
      <c r="CX172" s="59">
        <f t="shared" si="122"/>
        <v>909.94991576522625</v>
      </c>
      <c r="CY172" s="59">
        <f ca="1">AVERAGE(OFFSET($CX$3,0,0,'Données projet'!$E$13+1,1))-AVERAGE(OFFSET($H$3,0,0,'Données projet'!$E$13+1,1))</f>
        <v>389.89050053480827</v>
      </c>
      <c r="CZ172" s="59">
        <f t="shared" si="150"/>
        <v>216.40816051909616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5.189231965619749</v>
      </c>
      <c r="DG172" s="21">
        <f>EXP(-LN(2)/25)*DG171+(1-EXP(-LN(2)/25))/(LN(2)/25)*Calculateur!DB172*Calculateur!DD172*VLOOKUP('Données projet'!$B$13,Paramètres!$A$1:$I$89,3,0)*0.475*44/12</f>
        <v>0.36757660992907037</v>
      </c>
      <c r="DH172" s="21">
        <f>EXP(-LN(2)/2)*DH171+(1-EXP(-LN(2)/2))/(LN(2)/2)*DB172*DE172*VLOOKUP('Données projet'!$B$13,Paramètres!$A$1:$I$89,3,0)*0.475*44/12</f>
        <v>2.6423593908126712E-8</v>
      </c>
      <c r="DI172" s="22">
        <f t="shared" si="175"/>
        <v>5.5568086019724134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268.00000000000011</v>
      </c>
      <c r="O173" s="13">
        <f>N173*VLOOKUP('Données projet'!$B$9,Paramètres!$A$1:$I$89,3,0)*VLOOKUP('Données projet'!$B$9,Paramètres!$A$1:$I$89,5,0)</f>
        <v>242.48640000000009</v>
      </c>
      <c r="P173" s="13">
        <f t="shared" si="141"/>
        <v>58.974170235372476</v>
      </c>
      <c r="Q173" s="20">
        <f t="shared" si="162"/>
        <v>525.04382649327385</v>
      </c>
      <c r="R173" s="59">
        <f t="shared" si="109"/>
        <v>818.37715982660711</v>
      </c>
      <c r="S173" s="59">
        <f ca="1">AVERAGE(OFFSET($R$3,0,0,'Données projet'!$E$9+1,1))-AVERAGE(OFFSET($H$3,0,0,'Données projet'!$E$9+1,1))</f>
        <v>371.7282125501186</v>
      </c>
      <c r="T173" s="59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21.67510244417398</v>
      </c>
      <c r="AA173" s="21">
        <f>EXP(-LN(2)/25)*AA172+(1-EXP(-LN(2)/25))/(LN(2)/25)*Calculateur!V173*Calculateur!X173*VLOOKUP('Données projet'!$B$9,Paramètres!$A$1:$I$89,3,0)*0.475*44/12</f>
        <v>0.6183359097688258</v>
      </c>
      <c r="AB173" s="21">
        <f>EXP(-LN(2)/2)*AB172+(1-EXP(-LN(2)/2))/(LN(2)/2)*V173*Y173*VLOOKUP('Données projet'!$B$9,Paramètres!$A$1:$I$89,3,0)*0.475*44/12</f>
        <v>3.1921676715326552E-8</v>
      </c>
      <c r="AC173" s="22">
        <f t="shared" si="163"/>
        <v>22.293438385864484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1.7053025658242404E-13</v>
      </c>
      <c r="AJ173" s="13">
        <f>AI173*VLOOKUP('Données projet'!$B$10,Paramètres!$A$1:$I$89,3,0)*VLOOKUP('Données projet'!$B$10,Paramètres!$A$1:$I$89,5,0)</f>
        <v>7.9808160080574461E-14</v>
      </c>
      <c r="AK173" s="13">
        <f t="shared" si="164"/>
        <v>1.2308384591775343E-12</v>
      </c>
      <c r="AL173" s="20">
        <f t="shared" si="165"/>
        <v>2.282709528541206E-12</v>
      </c>
      <c r="AM173" s="59">
        <f t="shared" si="113"/>
        <v>293.33333333333559</v>
      </c>
      <c r="AN173" s="59">
        <f ca="1">AVERAGE(OFFSET($AM$3,0,0,'Données projet'!$E$10+1,1))-AVERAGE(OFFSET($H$3,0,0,'Données projet'!$E$10+1,1))</f>
        <v>218.32525311070435</v>
      </c>
      <c r="AO173" s="59">
        <f t="shared" si="144"/>
        <v>275.36315264099204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9.872954523185804</v>
      </c>
      <c r="AV173" s="21">
        <f>EXP(-LN(2)/25)*AV172+(1-EXP(-LN(2)/25))/(LN(2)/25)*Calculateur!AQ173*Calculateur!AS173*VLOOKUP('Données projet'!$B$10,Paramètres!$A$1:$I$89,3,0)*0.475*44/12</f>
        <v>1.7829914958619266</v>
      </c>
      <c r="AW173" s="21">
        <f>EXP(-LN(2)/2)*AW172+(1-EXP(-LN(2)/2))/(LN(2)/2)*AQ173*AT173*VLOOKUP('Données projet'!$B$10,Paramètres!$A$1:$I$89,3,0)*0.475*44/12</f>
        <v>1.8113021032875807E-15</v>
      </c>
      <c r="AX173" s="21">
        <f t="shared" si="166"/>
        <v>11.655946019047732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343</v>
      </c>
      <c r="BE173" s="13">
        <f>BD173*VLOOKUP('Données projet'!$B$11,Paramètres!$A$1:$I$89,3,0)*VLOOKUP('Données projet'!$B$11,Paramètres!$A$1:$I$89,5,0)</f>
        <v>326.39879999999999</v>
      </c>
      <c r="BF173" s="13">
        <f t="shared" si="167"/>
        <v>76.683210401884097</v>
      </c>
      <c r="BG173" s="20">
        <f t="shared" si="168"/>
        <v>702.03450144994804</v>
      </c>
      <c r="BH173" s="59">
        <f t="shared" si="116"/>
        <v>995.3678347832813</v>
      </c>
      <c r="BI173" s="59">
        <f ca="1">AVERAGE(OFFSET($BH$3,0,0,'Données projet'!$E$11+1,1))-AVERAGE(OFFSET($H$3,0,0,'Données projet'!$E$11+1,1))</f>
        <v>446.62872871405051</v>
      </c>
      <c r="BJ173" s="59">
        <f t="shared" si="146"/>
        <v>471.28934889691658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8.2121065424827222</v>
      </c>
      <c r="BQ173" s="21">
        <f>EXP(-LN(2)/25)*BQ172+(1-EXP(-LN(2)/25))/(LN(2)/25)*Calculateur!BL173*Calculateur!BN173*VLOOKUP('Données projet'!$B$11,Paramètres!$A$1:$I$89,3,0)*0.475*44/12</f>
        <v>0.21012064498333355</v>
      </c>
      <c r="BR173" s="21">
        <f>EXP(-LN(2)/2)*BR172+(1-EXP(-LN(2)/2))/(LN(2)/2)*BL173*BO173*VLOOKUP('Données projet'!$B$11,Paramètres!$A$1:$I$89,3,0)*0.475*44/12</f>
        <v>1.5218328310058294E-15</v>
      </c>
      <c r="BS173" s="22">
        <f t="shared" si="169"/>
        <v>8.4222271874660581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991.00000000000011</v>
      </c>
      <c r="BZ173" s="13">
        <f>BY173*VLOOKUP('Données projet'!$B$12,Paramètres!$A$1:$I$89,3,0)*VLOOKUP('Données projet'!$B$12,Paramètres!$A$1:$I$89,5,0)</f>
        <v>438.02200000000011</v>
      </c>
      <c r="CA173" s="13">
        <f t="shared" si="170"/>
        <v>99.443834741543355</v>
      </c>
      <c r="CB173" s="20">
        <f t="shared" si="171"/>
        <v>936.08632884152132</v>
      </c>
      <c r="CC173" s="59">
        <f t="shared" si="119"/>
        <v>1229.4196621748547</v>
      </c>
      <c r="CD173" s="59">
        <f ca="1">AVERAGE(OFFSET($CC$3,0,0,'Données projet'!$E$12+1,1))-AVERAGE(OFFSET($H$3,0,0,'Données projet'!$E$12+1,1))</f>
        <v>534.99316143569899</v>
      </c>
      <c r="CE173" s="59">
        <f t="shared" si="148"/>
        <v>449.56965858934262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11.796300220983735</v>
      </c>
      <c r="CL173" s="21">
        <f>EXP(-LN(2)/25)*CL172+(1-EXP(-LN(2)/25))/(LN(2)/25)*Calculateur!CG173*Calculateur!CI173*VLOOKUP('Données projet'!$B$12,Paramètres!$A$1:$I$89,3,0)*0.475*44/12</f>
        <v>2.6424755543244469</v>
      </c>
      <c r="CM173" s="21">
        <f>EXP(-LN(2)/2)*CM172+(1-EXP(-LN(2)/2))/(LN(2)/2)*CG173*CJ173*VLOOKUP('Données projet'!$B$12,Paramètres!$A$1:$I$89,3,0)*0.475*44/12</f>
        <v>7.7484865804928553E-14</v>
      </c>
      <c r="CN173" s="22">
        <f t="shared" si="172"/>
        <v>14.43877577530826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251.00000000000006</v>
      </c>
      <c r="CU173" s="17">
        <f>CT173*VLOOKUP('Données projet'!$B$13,Paramètres!$A$1:$I$89,3,0)*VLOOKUP('Données projet'!$B$13,Paramètres!$A$1:$I$89,5,0)</f>
        <v>285.83880000000011</v>
      </c>
      <c r="CV173" s="13">
        <f t="shared" si="173"/>
        <v>68.199429147498265</v>
      </c>
      <c r="CW173" s="20">
        <f t="shared" si="174"/>
        <v>616.61658243189299</v>
      </c>
      <c r="CX173" s="59">
        <f t="shared" si="122"/>
        <v>909.94991576522625</v>
      </c>
      <c r="CY173" s="59">
        <f ca="1">AVERAGE(OFFSET($CX$3,0,0,'Données projet'!$E$13+1,1))-AVERAGE(OFFSET($H$3,0,0,'Données projet'!$E$13+1,1))</f>
        <v>389.89050053480827</v>
      </c>
      <c r="CZ173" s="59">
        <f t="shared" si="150"/>
        <v>216.40816051909616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5.0874742918929154</v>
      </c>
      <c r="DG173" s="21">
        <f>EXP(-LN(2)/25)*DG172+(1-EXP(-LN(2)/25))/(LN(2)/25)*Calculateur!DB173*Calculateur!DD173*VLOOKUP('Données projet'!$B$13,Paramètres!$A$1:$I$89,3,0)*0.475*44/12</f>
        <v>0.35752520820054612</v>
      </c>
      <c r="DH173" s="21">
        <f>EXP(-LN(2)/2)*DH172+(1-EXP(-LN(2)/2))/(LN(2)/2)*DB173*DE173*VLOOKUP('Données projet'!$B$13,Paramètres!$A$1:$I$89,3,0)*0.475*44/12</f>
        <v>1.8684302435755945E-8</v>
      </c>
      <c r="DI173" s="22">
        <f t="shared" si="175"/>
        <v>5.444999518777764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268.00000000000011</v>
      </c>
      <c r="O174" s="13">
        <f>N174*VLOOKUP('Données projet'!$B$9,Paramètres!$A$1:$I$89,3,0)*VLOOKUP('Données projet'!$B$9,Paramètres!$A$1:$I$89,5,0)</f>
        <v>242.48640000000009</v>
      </c>
      <c r="P174" s="13">
        <f t="shared" si="141"/>
        <v>58.974170235372476</v>
      </c>
      <c r="Q174" s="20">
        <f t="shared" si="162"/>
        <v>525.04382649327385</v>
      </c>
      <c r="R174" s="59">
        <f t="shared" si="109"/>
        <v>818.37715982660711</v>
      </c>
      <c r="S174" s="59">
        <f ca="1">AVERAGE(OFFSET($R$3,0,0,'Données projet'!$E$9+1,1))-AVERAGE(OFFSET($H$3,0,0,'Données projet'!$E$9+1,1))</f>
        <v>371.7282125501186</v>
      </c>
      <c r="T174" s="59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21.250066905750803</v>
      </c>
      <c r="AA174" s="21">
        <f>EXP(-LN(2)/25)*AA173+(1-EXP(-LN(2)/25))/(LN(2)/25)*Calculateur!V174*Calculateur!X174*VLOOKUP('Données projet'!$B$9,Paramètres!$A$1:$I$89,3,0)*0.475*44/12</f>
        <v>0.60142748179932504</v>
      </c>
      <c r="AB174" s="21">
        <f>EXP(-LN(2)/2)*AB173+(1-EXP(-LN(2)/2))/(LN(2)/2)*V174*Y174*VLOOKUP('Données projet'!$B$9,Paramètres!$A$1:$I$89,3,0)*0.475*44/12</f>
        <v>2.2572034072252122E-8</v>
      </c>
      <c r="AC174" s="22">
        <f t="shared" si="163"/>
        <v>21.851494410122161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1.7053025658242404E-13</v>
      </c>
      <c r="AJ174" s="13">
        <f>AI174*VLOOKUP('Données projet'!$B$10,Paramètres!$A$1:$I$89,3,0)*VLOOKUP('Données projet'!$B$10,Paramètres!$A$1:$I$89,5,0)</f>
        <v>7.9808160080574461E-14</v>
      </c>
      <c r="AK174" s="13">
        <f t="shared" si="164"/>
        <v>1.2308384591775343E-12</v>
      </c>
      <c r="AL174" s="20">
        <f t="shared" si="165"/>
        <v>2.282709528541206E-12</v>
      </c>
      <c r="AM174" s="59">
        <f t="shared" si="113"/>
        <v>293.33333333333559</v>
      </c>
      <c r="AN174" s="59">
        <f ca="1">AVERAGE(OFFSET($AM$3,0,0,'Données projet'!$E$10+1,1))-AVERAGE(OFFSET($H$3,0,0,'Données projet'!$E$10+1,1))</f>
        <v>218.32525311070435</v>
      </c>
      <c r="AO174" s="59">
        <f t="shared" si="144"/>
        <v>275.36315264099204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9.6793519068937748</v>
      </c>
      <c r="AV174" s="21">
        <f>EXP(-LN(2)/25)*AV173+(1-EXP(-LN(2)/25))/(LN(2)/25)*Calculateur!AQ174*Calculateur!AS174*VLOOKUP('Données projet'!$B$10,Paramètres!$A$1:$I$89,3,0)*0.475*44/12</f>
        <v>1.7342354996441345</v>
      </c>
      <c r="AW174" s="21">
        <f>EXP(-LN(2)/2)*AW173+(1-EXP(-LN(2)/2))/(LN(2)/2)*AQ174*AT174*VLOOKUP('Données projet'!$B$10,Paramètres!$A$1:$I$89,3,0)*0.475*44/12</f>
        <v>1.2807840000121046E-15</v>
      </c>
      <c r="AX174" s="21">
        <f t="shared" si="166"/>
        <v>11.413587406537911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343</v>
      </c>
      <c r="BE174" s="13">
        <f>BD174*VLOOKUP('Données projet'!$B$11,Paramètres!$A$1:$I$89,3,0)*VLOOKUP('Données projet'!$B$11,Paramètres!$A$1:$I$89,5,0)</f>
        <v>326.39879999999999</v>
      </c>
      <c r="BF174" s="13">
        <f t="shared" si="167"/>
        <v>76.683210401884097</v>
      </c>
      <c r="BG174" s="20">
        <f t="shared" si="168"/>
        <v>702.03450144994804</v>
      </c>
      <c r="BH174" s="59">
        <f t="shared" si="116"/>
        <v>995.3678347832813</v>
      </c>
      <c r="BI174" s="59">
        <f ca="1">AVERAGE(OFFSET($BH$3,0,0,'Données projet'!$E$11+1,1))-AVERAGE(OFFSET($H$3,0,0,'Données projet'!$E$11+1,1))</f>
        <v>446.62872871405051</v>
      </c>
      <c r="BJ174" s="59">
        <f t="shared" si="146"/>
        <v>471.28934889691658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8.0510721420750393</v>
      </c>
      <c r="BQ174" s="21">
        <f>EXP(-LN(2)/25)*BQ173+(1-EXP(-LN(2)/25))/(LN(2)/25)*Calculateur!BL174*Calculateur!BN174*VLOOKUP('Données projet'!$B$11,Paramètres!$A$1:$I$89,3,0)*0.475*44/12</f>
        <v>0.2043748848964998</v>
      </c>
      <c r="BR174" s="21">
        <f>EXP(-LN(2)/2)*BR173+(1-EXP(-LN(2)/2))/(LN(2)/2)*BL174*BO174*VLOOKUP('Données projet'!$B$11,Paramètres!$A$1:$I$89,3,0)*0.475*44/12</f>
        <v>1.0760983146365432E-15</v>
      </c>
      <c r="BS174" s="22">
        <f t="shared" si="169"/>
        <v>8.2554470269715416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991.00000000000011</v>
      </c>
      <c r="BZ174" s="13">
        <f>BY174*VLOOKUP('Données projet'!$B$12,Paramètres!$A$1:$I$89,3,0)*VLOOKUP('Données projet'!$B$12,Paramètres!$A$1:$I$89,5,0)</f>
        <v>438.02200000000011</v>
      </c>
      <c r="CA174" s="13">
        <f t="shared" si="170"/>
        <v>99.443834741543355</v>
      </c>
      <c r="CB174" s="20">
        <f t="shared" si="171"/>
        <v>936.08632884152132</v>
      </c>
      <c r="CC174" s="59">
        <f t="shared" si="119"/>
        <v>1229.4196621748547</v>
      </c>
      <c r="CD174" s="59">
        <f ca="1">AVERAGE(OFFSET($CC$3,0,0,'Données projet'!$E$12+1,1))-AVERAGE(OFFSET($H$3,0,0,'Données projet'!$E$12+1,1))</f>
        <v>534.99316143569899</v>
      </c>
      <c r="CE174" s="59">
        <f t="shared" si="148"/>
        <v>449.56965858934262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11.564981968682929</v>
      </c>
      <c r="CL174" s="21">
        <f>EXP(-LN(2)/25)*CL173+(1-EXP(-LN(2)/25))/(LN(2)/25)*Calculateur!CG174*Calculateur!CI174*VLOOKUP('Données projet'!$B$12,Paramètres!$A$1:$I$89,3,0)*0.475*44/12</f>
        <v>2.570216921329695</v>
      </c>
      <c r="CM174" s="21">
        <f>EXP(-LN(2)/2)*CM173+(1-EXP(-LN(2)/2))/(LN(2)/2)*CG174*CJ174*VLOOKUP('Données projet'!$B$12,Paramètres!$A$1:$I$89,3,0)*0.475*44/12</f>
        <v>5.4790074049994614E-14</v>
      </c>
      <c r="CN174" s="22">
        <f t="shared" si="172"/>
        <v>14.135198890012679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251.00000000000006</v>
      </c>
      <c r="CU174" s="17">
        <f>CT174*VLOOKUP('Données projet'!$B$13,Paramètres!$A$1:$I$89,3,0)*VLOOKUP('Données projet'!$B$13,Paramètres!$A$1:$I$89,5,0)</f>
        <v>285.83880000000011</v>
      </c>
      <c r="CV174" s="13">
        <f t="shared" si="173"/>
        <v>68.199429147498265</v>
      </c>
      <c r="CW174" s="20">
        <f t="shared" si="174"/>
        <v>616.61658243189299</v>
      </c>
      <c r="CX174" s="59">
        <f t="shared" si="122"/>
        <v>909.94991576522625</v>
      </c>
      <c r="CY174" s="59">
        <f ca="1">AVERAGE(OFFSET($CX$3,0,0,'Données projet'!$E$13+1,1))-AVERAGE(OFFSET($H$3,0,0,'Données projet'!$E$13+1,1))</f>
        <v>389.89050053480827</v>
      </c>
      <c r="CZ174" s="59">
        <f t="shared" si="150"/>
        <v>216.40816051909616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4.9877120240818122</v>
      </c>
      <c r="DG174" s="21">
        <f>EXP(-LN(2)/25)*DG173+(1-EXP(-LN(2)/25))/(LN(2)/25)*Calculateur!DB174*Calculateur!DD174*VLOOKUP('Données projet'!$B$13,Paramètres!$A$1:$I$89,3,0)*0.475*44/12</f>
        <v>0.34774866258086862</v>
      </c>
      <c r="DH174" s="21">
        <f>EXP(-LN(2)/2)*DH173+(1-EXP(-LN(2)/2))/(LN(2)/2)*DB174*DE174*VLOOKUP('Données projet'!$B$13,Paramètres!$A$1:$I$89,3,0)*0.475*44/12</f>
        <v>1.3211796954063356E-8</v>
      </c>
      <c r="DI174" s="22">
        <f t="shared" si="175"/>
        <v>5.3354606998744778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268.00000000000011</v>
      </c>
      <c r="O175" s="13">
        <f>N175*VLOOKUP('Données projet'!$B$9,Paramètres!$A$1:$I$89,3,0)*VLOOKUP('Données projet'!$B$9,Paramètres!$A$1:$I$89,5,0)</f>
        <v>242.48640000000009</v>
      </c>
      <c r="P175" s="13">
        <f t="shared" si="141"/>
        <v>58.974170235372476</v>
      </c>
      <c r="Q175" s="20">
        <f t="shared" si="162"/>
        <v>525.04382649327385</v>
      </c>
      <c r="R175" s="59">
        <f t="shared" si="109"/>
        <v>818.37715982660711</v>
      </c>
      <c r="S175" s="59">
        <f ca="1">AVERAGE(OFFSET($R$3,0,0,'Données projet'!$E$9+1,1))-AVERAGE(OFFSET($H$3,0,0,'Données projet'!$E$9+1,1))</f>
        <v>371.7282125501186</v>
      </c>
      <c r="T175" s="59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20.833366054990023</v>
      </c>
      <c r="AA175" s="21">
        <f>EXP(-LN(2)/25)*AA174+(1-EXP(-LN(2)/25))/(LN(2)/25)*Calculateur!V175*Calculateur!X175*VLOOKUP('Données projet'!$B$9,Paramètres!$A$1:$I$89,3,0)*0.475*44/12</f>
        <v>0.58498141568182582</v>
      </c>
      <c r="AB175" s="21">
        <f>EXP(-LN(2)/2)*AB174+(1-EXP(-LN(2)/2))/(LN(2)/2)*V175*Y175*VLOOKUP('Données projet'!$B$9,Paramètres!$A$1:$I$89,3,0)*0.475*44/12</f>
        <v>1.5960838357663276E-8</v>
      </c>
      <c r="AC175" s="22">
        <f t="shared" si="163"/>
        <v>21.418347486632687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1.7053025658242404E-13</v>
      </c>
      <c r="AJ175" s="13">
        <f>AI175*VLOOKUP('Données projet'!$B$10,Paramètres!$A$1:$I$89,3,0)*VLOOKUP('Données projet'!$B$10,Paramètres!$A$1:$I$89,5,0)</f>
        <v>7.9808160080574461E-14</v>
      </c>
      <c r="AK175" s="13">
        <f t="shared" si="164"/>
        <v>1.2308384591775343E-12</v>
      </c>
      <c r="AL175" s="20">
        <f t="shared" si="165"/>
        <v>2.282709528541206E-12</v>
      </c>
      <c r="AM175" s="59">
        <f t="shared" si="113"/>
        <v>293.33333333333559</v>
      </c>
      <c r="AN175" s="59">
        <f ca="1">AVERAGE(OFFSET($AM$3,0,0,'Données projet'!$E$10+1,1))-AVERAGE(OFFSET($H$3,0,0,'Données projet'!$E$10+1,1))</f>
        <v>218.32525311070435</v>
      </c>
      <c r="AO175" s="59">
        <f t="shared" si="144"/>
        <v>275.36315264099204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9.4895457198212974</v>
      </c>
      <c r="AV175" s="21">
        <f>EXP(-LN(2)/25)*AV174+(1-EXP(-LN(2)/25))/(LN(2)/25)*Calculateur!AQ175*Calculateur!AS175*VLOOKUP('Données projet'!$B$10,Paramètres!$A$1:$I$89,3,0)*0.475*44/12</f>
        <v>1.6868127387068843</v>
      </c>
      <c r="AW175" s="21">
        <f>EXP(-LN(2)/2)*AW174+(1-EXP(-LN(2)/2))/(LN(2)/2)*AQ175*AT175*VLOOKUP('Données projet'!$B$10,Paramètres!$A$1:$I$89,3,0)*0.475*44/12</f>
        <v>9.0565105164379033E-16</v>
      </c>
      <c r="AX175" s="21">
        <f t="shared" si="166"/>
        <v>11.176358458528183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343</v>
      </c>
      <c r="BE175" s="13">
        <f>BD175*VLOOKUP('Données projet'!$B$11,Paramètres!$A$1:$I$89,3,0)*VLOOKUP('Données projet'!$B$11,Paramètres!$A$1:$I$89,5,0)</f>
        <v>326.39879999999999</v>
      </c>
      <c r="BF175" s="13">
        <f t="shared" si="167"/>
        <v>76.683210401884097</v>
      </c>
      <c r="BG175" s="20">
        <f t="shared" si="168"/>
        <v>702.03450144994804</v>
      </c>
      <c r="BH175" s="59">
        <f t="shared" si="116"/>
        <v>995.3678347832813</v>
      </c>
      <c r="BI175" s="59">
        <f ca="1">AVERAGE(OFFSET($BH$3,0,0,'Données projet'!$E$11+1,1))-AVERAGE(OFFSET($H$3,0,0,'Données projet'!$E$11+1,1))</f>
        <v>446.62872871405051</v>
      </c>
      <c r="BJ175" s="59">
        <f t="shared" si="146"/>
        <v>471.28934889691658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7.8931955280380661</v>
      </c>
      <c r="BQ175" s="21">
        <f>EXP(-LN(2)/25)*BQ174+(1-EXP(-LN(2)/25))/(LN(2)/25)*Calculateur!BL175*Calculateur!BN175*VLOOKUP('Données projet'!$B$11,Paramètres!$A$1:$I$89,3,0)*0.475*44/12</f>
        <v>0.19878624292139693</v>
      </c>
      <c r="BR175" s="21">
        <f>EXP(-LN(2)/2)*BR174+(1-EXP(-LN(2)/2))/(LN(2)/2)*BL175*BO175*VLOOKUP('Données projet'!$B$11,Paramètres!$A$1:$I$89,3,0)*0.475*44/12</f>
        <v>7.609164155029147E-16</v>
      </c>
      <c r="BS175" s="22">
        <f t="shared" si="169"/>
        <v>8.0919817709594639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991.00000000000011</v>
      </c>
      <c r="BZ175" s="13">
        <f>BY175*VLOOKUP('Données projet'!$B$12,Paramètres!$A$1:$I$89,3,0)*VLOOKUP('Données projet'!$B$12,Paramètres!$A$1:$I$89,5,0)</f>
        <v>438.02200000000011</v>
      </c>
      <c r="CA175" s="13">
        <f t="shared" si="170"/>
        <v>99.443834741543355</v>
      </c>
      <c r="CB175" s="20">
        <f t="shared" si="171"/>
        <v>936.08632884152132</v>
      </c>
      <c r="CC175" s="59">
        <f t="shared" si="119"/>
        <v>1229.4196621748547</v>
      </c>
      <c r="CD175" s="59">
        <f ca="1">AVERAGE(OFFSET($CC$3,0,0,'Données projet'!$E$12+1,1))-AVERAGE(OFFSET($H$3,0,0,'Données projet'!$E$12+1,1))</f>
        <v>534.99316143569899</v>
      </c>
      <c r="CE175" s="59">
        <f t="shared" si="148"/>
        <v>449.56965858934262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11.338199726219539</v>
      </c>
      <c r="CL175" s="21">
        <f>EXP(-LN(2)/25)*CL174+(1-EXP(-LN(2)/25))/(LN(2)/25)*Calculateur!CG175*Calculateur!CI175*VLOOKUP('Données projet'!$B$12,Paramètres!$A$1:$I$89,3,0)*0.475*44/12</f>
        <v>2.4999342044541009</v>
      </c>
      <c r="CM175" s="21">
        <f>EXP(-LN(2)/2)*CM174+(1-EXP(-LN(2)/2))/(LN(2)/2)*CG175*CJ175*VLOOKUP('Données projet'!$B$12,Paramètres!$A$1:$I$89,3,0)*0.475*44/12</f>
        <v>3.8742432902464277E-14</v>
      </c>
      <c r="CN175" s="22">
        <f t="shared" si="172"/>
        <v>13.838133930673679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251.00000000000006</v>
      </c>
      <c r="CU175" s="17">
        <f>CT175*VLOOKUP('Données projet'!$B$13,Paramètres!$A$1:$I$89,3,0)*VLOOKUP('Données projet'!$B$13,Paramètres!$A$1:$I$89,5,0)</f>
        <v>285.83880000000011</v>
      </c>
      <c r="CV175" s="13">
        <f t="shared" si="173"/>
        <v>68.199429147498265</v>
      </c>
      <c r="CW175" s="20">
        <f t="shared" si="174"/>
        <v>616.61658243189299</v>
      </c>
      <c r="CX175" s="59">
        <f t="shared" si="122"/>
        <v>909.94991576522625</v>
      </c>
      <c r="CY175" s="59">
        <f ca="1">AVERAGE(OFFSET($CX$3,0,0,'Données projet'!$E$13+1,1))-AVERAGE(OFFSET($H$3,0,0,'Données projet'!$E$13+1,1))</f>
        <v>389.89050053480827</v>
      </c>
      <c r="CZ175" s="59">
        <f t="shared" si="150"/>
        <v>216.40816051909616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4.8899060334935101</v>
      </c>
      <c r="DG175" s="21">
        <f>EXP(-LN(2)/25)*DG174+(1-EXP(-LN(2)/25))/(LN(2)/25)*Calculateur!DB175*Calculateur!DD175*VLOOKUP('Données projet'!$B$13,Paramètres!$A$1:$I$89,3,0)*0.475*44/12</f>
        <v>0.33823945711528741</v>
      </c>
      <c r="DH175" s="21">
        <f>EXP(-LN(2)/2)*DH174+(1-EXP(-LN(2)/2))/(LN(2)/2)*DB175*DE175*VLOOKUP('Données projet'!$B$13,Paramètres!$A$1:$I$89,3,0)*0.475*44/12</f>
        <v>9.3421512178779725E-9</v>
      </c>
      <c r="DI175" s="22">
        <f t="shared" si="175"/>
        <v>5.2281454999509487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268.00000000000011</v>
      </c>
      <c r="O176" s="13">
        <f>N176*VLOOKUP('Données projet'!$B$9,Paramètres!$A$1:$I$89,3,0)*VLOOKUP('Données projet'!$B$9,Paramètres!$A$1:$I$89,5,0)</f>
        <v>242.48640000000009</v>
      </c>
      <c r="P176" s="13">
        <f t="shared" si="141"/>
        <v>58.974170235372476</v>
      </c>
      <c r="Q176" s="20">
        <f t="shared" si="162"/>
        <v>525.04382649327385</v>
      </c>
      <c r="R176" s="59">
        <f t="shared" si="109"/>
        <v>818.37715982660711</v>
      </c>
      <c r="S176" s="59">
        <f ca="1">AVERAGE(OFFSET($R$3,0,0,'Données projet'!$E$9+1,1))-AVERAGE(OFFSET($H$3,0,0,'Données projet'!$E$9+1,1))</f>
        <v>371.7282125501186</v>
      </c>
      <c r="T176" s="59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20.424836453750242</v>
      </c>
      <c r="AA176" s="21">
        <f>EXP(-LN(2)/25)*AA175+(1-EXP(-LN(2)/25))/(LN(2)/25)*Calculateur!V176*Calculateur!X176*VLOOKUP('Données projet'!$B$9,Paramètres!$A$1:$I$89,3,0)*0.475*44/12</f>
        <v>0.56898506810717064</v>
      </c>
      <c r="AB176" s="21">
        <f>EXP(-LN(2)/2)*AB175+(1-EXP(-LN(2)/2))/(LN(2)/2)*V176*Y176*VLOOKUP('Données projet'!$B$9,Paramètres!$A$1:$I$89,3,0)*0.475*44/12</f>
        <v>1.1286017036126061E-8</v>
      </c>
      <c r="AC176" s="22">
        <f t="shared" si="163"/>
        <v>20.993821533143429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1.7053025658242404E-13</v>
      </c>
      <c r="AJ176" s="13">
        <f>AI176*VLOOKUP('Données projet'!$B$10,Paramètres!$A$1:$I$89,3,0)*VLOOKUP('Données projet'!$B$10,Paramètres!$A$1:$I$89,5,0)</f>
        <v>7.9808160080574461E-14</v>
      </c>
      <c r="AK176" s="13">
        <f t="shared" si="164"/>
        <v>1.2308384591775343E-12</v>
      </c>
      <c r="AL176" s="20">
        <f t="shared" si="165"/>
        <v>2.282709528541206E-12</v>
      </c>
      <c r="AM176" s="59">
        <f t="shared" si="113"/>
        <v>293.33333333333559</v>
      </c>
      <c r="AN176" s="59">
        <f ca="1">AVERAGE(OFFSET($AM$3,0,0,'Données projet'!$E$10+1,1))-AVERAGE(OFFSET($H$3,0,0,'Données projet'!$E$10+1,1))</f>
        <v>218.32525311070435</v>
      </c>
      <c r="AO176" s="59">
        <f t="shared" si="144"/>
        <v>275.36315264099204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9.3034615163069674</v>
      </c>
      <c r="AV176" s="21">
        <f>EXP(-LN(2)/25)*AV175+(1-EXP(-LN(2)/25))/(LN(2)/25)*Calculateur!AQ176*Calculateur!AS176*VLOOKUP('Données projet'!$B$10,Paramètres!$A$1:$I$89,3,0)*0.475*44/12</f>
        <v>1.6406867556613178</v>
      </c>
      <c r="AW176" s="21">
        <f>EXP(-LN(2)/2)*AW175+(1-EXP(-LN(2)/2))/(LN(2)/2)*AQ176*AT176*VLOOKUP('Données projet'!$B$10,Paramètres!$A$1:$I$89,3,0)*0.475*44/12</f>
        <v>6.4039200000605231E-16</v>
      </c>
      <c r="AX176" s="21">
        <f t="shared" si="166"/>
        <v>10.944148271968285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343</v>
      </c>
      <c r="BE176" s="13">
        <f>BD176*VLOOKUP('Données projet'!$B$11,Paramètres!$A$1:$I$89,3,0)*VLOOKUP('Données projet'!$B$11,Paramètres!$A$1:$I$89,5,0)</f>
        <v>326.39879999999999</v>
      </c>
      <c r="BF176" s="13">
        <f t="shared" si="167"/>
        <v>76.683210401884097</v>
      </c>
      <c r="BG176" s="20">
        <f t="shared" si="168"/>
        <v>702.03450144994804</v>
      </c>
      <c r="BH176" s="59">
        <f t="shared" si="116"/>
        <v>995.3678347832813</v>
      </c>
      <c r="BI176" s="59">
        <f ca="1">AVERAGE(OFFSET($BH$3,0,0,'Données projet'!$E$11+1,1))-AVERAGE(OFFSET($H$3,0,0,'Données projet'!$E$11+1,1))</f>
        <v>446.62872871405051</v>
      </c>
      <c r="BJ176" s="59">
        <f t="shared" si="146"/>
        <v>471.28934889691658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7.7384147781071322</v>
      </c>
      <c r="BQ176" s="21">
        <f>EXP(-LN(2)/25)*BQ175+(1-EXP(-LN(2)/25))/(LN(2)/25)*Calculateur!BL176*Calculateur!BN176*VLOOKUP('Données projet'!$B$11,Paramètres!$A$1:$I$89,3,0)*0.475*44/12</f>
        <v>0.19335042265499716</v>
      </c>
      <c r="BR176" s="21">
        <f>EXP(-LN(2)/2)*BR175+(1-EXP(-LN(2)/2))/(LN(2)/2)*BL176*BO176*VLOOKUP('Données projet'!$B$11,Paramètres!$A$1:$I$89,3,0)*0.475*44/12</f>
        <v>5.3804915731827158E-16</v>
      </c>
      <c r="BS176" s="22">
        <f t="shared" si="169"/>
        <v>7.93176520076213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991.00000000000011</v>
      </c>
      <c r="BZ176" s="13">
        <f>BY176*VLOOKUP('Données projet'!$B$12,Paramètres!$A$1:$I$89,3,0)*VLOOKUP('Données projet'!$B$12,Paramètres!$A$1:$I$89,5,0)</f>
        <v>438.02200000000011</v>
      </c>
      <c r="CA176" s="13">
        <f t="shared" si="170"/>
        <v>99.443834741543355</v>
      </c>
      <c r="CB176" s="20">
        <f t="shared" si="171"/>
        <v>936.08632884152132</v>
      </c>
      <c r="CC176" s="59">
        <f t="shared" si="119"/>
        <v>1229.4196621748547</v>
      </c>
      <c r="CD176" s="59">
        <f ca="1">AVERAGE(OFFSET($CC$3,0,0,'Données projet'!$E$12+1,1))-AVERAGE(OFFSET($H$3,0,0,'Données projet'!$E$12+1,1))</f>
        <v>534.99316143569899</v>
      </c>
      <c r="CE176" s="59">
        <f t="shared" si="148"/>
        <v>449.56965858934262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11.115864545207346</v>
      </c>
      <c r="CL176" s="21">
        <f>EXP(-LN(2)/25)*CL175+(1-EXP(-LN(2)/25))/(LN(2)/25)*Calculateur!CG176*Calculateur!CI176*VLOOKUP('Données projet'!$B$12,Paramètres!$A$1:$I$89,3,0)*0.475*44/12</f>
        <v>2.4315733721674775</v>
      </c>
      <c r="CM176" s="21">
        <f>EXP(-LN(2)/2)*CM175+(1-EXP(-LN(2)/2))/(LN(2)/2)*CG176*CJ176*VLOOKUP('Données projet'!$B$12,Paramètres!$A$1:$I$89,3,0)*0.475*44/12</f>
        <v>2.7395037024997307E-14</v>
      </c>
      <c r="CN176" s="22">
        <f t="shared" si="172"/>
        <v>13.54743791737485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251.00000000000006</v>
      </c>
      <c r="CU176" s="17">
        <f>CT176*VLOOKUP('Données projet'!$B$13,Paramètres!$A$1:$I$89,3,0)*VLOOKUP('Données projet'!$B$13,Paramètres!$A$1:$I$89,5,0)</f>
        <v>285.83880000000011</v>
      </c>
      <c r="CV176" s="13">
        <f t="shared" si="173"/>
        <v>68.199429147498265</v>
      </c>
      <c r="CW176" s="20">
        <f t="shared" si="174"/>
        <v>616.61658243189299</v>
      </c>
      <c r="CX176" s="59">
        <f t="shared" si="122"/>
        <v>909.94991576522625</v>
      </c>
      <c r="CY176" s="59">
        <f ca="1">AVERAGE(OFFSET($CX$3,0,0,'Données projet'!$E$13+1,1))-AVERAGE(OFFSET($H$3,0,0,'Données projet'!$E$13+1,1))</f>
        <v>389.89050053480827</v>
      </c>
      <c r="CZ176" s="59">
        <f t="shared" si="150"/>
        <v>216.40816051909616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4.794017958724881</v>
      </c>
      <c r="DG176" s="21">
        <f>EXP(-LN(2)/25)*DG175+(1-EXP(-LN(2)/25))/(LN(2)/25)*Calculateur!DB176*Calculateur!DD176*VLOOKUP('Données projet'!$B$13,Paramètres!$A$1:$I$89,3,0)*0.475*44/12</f>
        <v>0.32899028137322989</v>
      </c>
      <c r="DH176" s="21">
        <f>EXP(-LN(2)/2)*DH175+(1-EXP(-LN(2)/2))/(LN(2)/2)*DB176*DE176*VLOOKUP('Données projet'!$B$13,Paramètres!$A$1:$I$89,3,0)*0.475*44/12</f>
        <v>6.605898477031678E-9</v>
      </c>
      <c r="DI176" s="22">
        <f t="shared" si="175"/>
        <v>5.1230082467040088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268.00000000000011</v>
      </c>
      <c r="O177" s="13">
        <f>N177*VLOOKUP('Données projet'!$B$9,Paramètres!$A$1:$I$89,3,0)*VLOOKUP('Données projet'!$B$9,Paramètres!$A$1:$I$89,5,0)</f>
        <v>242.48640000000009</v>
      </c>
      <c r="P177" s="13">
        <f t="shared" si="141"/>
        <v>58.974170235372476</v>
      </c>
      <c r="Q177" s="20">
        <f t="shared" si="162"/>
        <v>525.04382649327385</v>
      </c>
      <c r="R177" s="59">
        <f t="shared" si="109"/>
        <v>818.37715982660711</v>
      </c>
      <c r="S177" s="59">
        <f ca="1">AVERAGE(OFFSET($R$3,0,0,'Données projet'!$E$9+1,1))-AVERAGE(OFFSET($H$3,0,0,'Données projet'!$E$9+1,1))</f>
        <v>371.7282125501186</v>
      </c>
      <c r="T177" s="59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20.024317868812318</v>
      </c>
      <c r="AA177" s="21">
        <f>EXP(-LN(2)/25)*AA176+(1-EXP(-LN(2)/25))/(LN(2)/25)*Calculateur!V177*Calculateur!X177*VLOOKUP('Données projet'!$B$9,Paramètres!$A$1:$I$89,3,0)*0.475*44/12</f>
        <v>0.55342614149815572</v>
      </c>
      <c r="AB177" s="21">
        <f>EXP(-LN(2)/2)*AB176+(1-EXP(-LN(2)/2))/(LN(2)/2)*V177*Y177*VLOOKUP('Données projet'!$B$9,Paramètres!$A$1:$I$89,3,0)*0.475*44/12</f>
        <v>7.9804191788316381E-9</v>
      </c>
      <c r="AC177" s="22">
        <f t="shared" si="163"/>
        <v>20.577744018290893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1.7053025658242404E-13</v>
      </c>
      <c r="AJ177" s="13">
        <f>AI177*VLOOKUP('Données projet'!$B$10,Paramètres!$A$1:$I$89,3,0)*VLOOKUP('Données projet'!$B$10,Paramètres!$A$1:$I$89,5,0)</f>
        <v>7.9808160080574461E-14</v>
      </c>
      <c r="AK177" s="13">
        <f t="shared" si="164"/>
        <v>1.2308384591775343E-12</v>
      </c>
      <c r="AL177" s="20">
        <f t="shared" si="165"/>
        <v>2.282709528541206E-12</v>
      </c>
      <c r="AM177" s="59">
        <f t="shared" si="113"/>
        <v>293.33333333333559</v>
      </c>
      <c r="AN177" s="59">
        <f ca="1">AVERAGE(OFFSET($AM$3,0,0,'Données projet'!$E$10+1,1))-AVERAGE(OFFSET($H$3,0,0,'Données projet'!$E$10+1,1))</f>
        <v>218.32525311070435</v>
      </c>
      <c r="AO177" s="59">
        <f t="shared" si="144"/>
        <v>275.36315264099204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9.1210263105233977</v>
      </c>
      <c r="AV177" s="21">
        <f>EXP(-LN(2)/25)*AV176+(1-EXP(-LN(2)/25))/(LN(2)/25)*Calculateur!AQ177*Calculateur!AS177*VLOOKUP('Données projet'!$B$10,Paramètres!$A$1:$I$89,3,0)*0.475*44/12</f>
        <v>1.5958220900477924</v>
      </c>
      <c r="AW177" s="21">
        <f>EXP(-LN(2)/2)*AW176+(1-EXP(-LN(2)/2))/(LN(2)/2)*AQ177*AT177*VLOOKUP('Données projet'!$B$10,Paramètres!$A$1:$I$89,3,0)*0.475*44/12</f>
        <v>4.5282552582189517E-16</v>
      </c>
      <c r="AX177" s="21">
        <f t="shared" si="166"/>
        <v>10.716848400571191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343</v>
      </c>
      <c r="BE177" s="13">
        <f>BD177*VLOOKUP('Données projet'!$B$11,Paramètres!$A$1:$I$89,3,0)*VLOOKUP('Données projet'!$B$11,Paramètres!$A$1:$I$89,5,0)</f>
        <v>326.39879999999999</v>
      </c>
      <c r="BF177" s="13">
        <f t="shared" si="167"/>
        <v>76.683210401884097</v>
      </c>
      <c r="BG177" s="20">
        <f t="shared" si="168"/>
        <v>702.03450144994804</v>
      </c>
      <c r="BH177" s="59">
        <f t="shared" si="116"/>
        <v>995.3678347832813</v>
      </c>
      <c r="BI177" s="59">
        <f ca="1">AVERAGE(OFFSET($BH$3,0,0,'Données projet'!$E$11+1,1))-AVERAGE(OFFSET($H$3,0,0,'Données projet'!$E$11+1,1))</f>
        <v>446.62872871405051</v>
      </c>
      <c r="BJ177" s="59">
        <f t="shared" si="146"/>
        <v>471.28934889691658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7.5866691842754079</v>
      </c>
      <c r="BQ177" s="21">
        <f>EXP(-LN(2)/25)*BQ176+(1-EXP(-LN(2)/25))/(LN(2)/25)*Calculateur!BL177*Calculateur!BN177*VLOOKUP('Données projet'!$B$11,Paramètres!$A$1:$I$89,3,0)*0.475*44/12</f>
        <v>0.18806324517963943</v>
      </c>
      <c r="BR177" s="21">
        <f>EXP(-LN(2)/2)*BR176+(1-EXP(-LN(2)/2))/(LN(2)/2)*BL177*BO177*VLOOKUP('Données projet'!$B$11,Paramètres!$A$1:$I$89,3,0)*0.475*44/12</f>
        <v>3.8045820775145735E-16</v>
      </c>
      <c r="BS177" s="22">
        <f t="shared" si="169"/>
        <v>7.7747324294550477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991.00000000000011</v>
      </c>
      <c r="BZ177" s="13">
        <f>BY177*VLOOKUP('Données projet'!$B$12,Paramètres!$A$1:$I$89,3,0)*VLOOKUP('Données projet'!$B$12,Paramètres!$A$1:$I$89,5,0)</f>
        <v>438.02200000000011</v>
      </c>
      <c r="CA177" s="13">
        <f t="shared" si="170"/>
        <v>99.443834741543355</v>
      </c>
      <c r="CB177" s="20">
        <f t="shared" si="171"/>
        <v>936.08632884152132</v>
      </c>
      <c r="CC177" s="59">
        <f t="shared" si="119"/>
        <v>1229.4196621748547</v>
      </c>
      <c r="CD177" s="59">
        <f ca="1">AVERAGE(OFFSET($CC$3,0,0,'Données projet'!$E$12+1,1))-AVERAGE(OFFSET($H$3,0,0,'Données projet'!$E$12+1,1))</f>
        <v>534.99316143569899</v>
      </c>
      <c r="CE177" s="59">
        <f t="shared" si="148"/>
        <v>449.56965858934262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10.897889221483732</v>
      </c>
      <c r="CL177" s="21">
        <f>EXP(-LN(2)/25)*CL176+(1-EXP(-LN(2)/25))/(LN(2)/25)*Calculateur!CG177*Calculateur!CI177*VLOOKUP('Données projet'!$B$12,Paramètres!$A$1:$I$89,3,0)*0.475*44/12</f>
        <v>2.3650818704346714</v>
      </c>
      <c r="CM177" s="21">
        <f>EXP(-LN(2)/2)*CM176+(1-EXP(-LN(2)/2))/(LN(2)/2)*CG177*CJ177*VLOOKUP('Données projet'!$B$12,Paramètres!$A$1:$I$89,3,0)*0.475*44/12</f>
        <v>1.9371216451232138E-14</v>
      </c>
      <c r="CN177" s="22">
        <f t="shared" si="172"/>
        <v>13.262971091918423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251.00000000000006</v>
      </c>
      <c r="CU177" s="17">
        <f>CT177*VLOOKUP('Données projet'!$B$13,Paramètres!$A$1:$I$89,3,0)*VLOOKUP('Données projet'!$B$13,Paramètres!$A$1:$I$89,5,0)</f>
        <v>285.83880000000011</v>
      </c>
      <c r="CV177" s="13">
        <f t="shared" si="173"/>
        <v>68.199429147498265</v>
      </c>
      <c r="CW177" s="20">
        <f t="shared" si="174"/>
        <v>616.61658243189299</v>
      </c>
      <c r="CX177" s="59">
        <f t="shared" si="122"/>
        <v>909.94991576522625</v>
      </c>
      <c r="CY177" s="59">
        <f ca="1">AVERAGE(OFFSET($CX$3,0,0,'Données projet'!$E$13+1,1))-AVERAGE(OFFSET($H$3,0,0,'Données projet'!$E$13+1,1))</f>
        <v>389.89050053480827</v>
      </c>
      <c r="CZ177" s="59">
        <f t="shared" si="150"/>
        <v>216.40816051909616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4.7000101906165135</v>
      </c>
      <c r="DG177" s="21">
        <f>EXP(-LN(2)/25)*DG176+(1-EXP(-LN(2)/25))/(LN(2)/25)*Calculateur!DB177*Calculateur!DD177*VLOOKUP('Données projet'!$B$13,Paramètres!$A$1:$I$89,3,0)*0.475*44/12</f>
        <v>0.31999402482823192</v>
      </c>
      <c r="DH177" s="21">
        <f>EXP(-LN(2)/2)*DH176+(1-EXP(-LN(2)/2))/(LN(2)/2)*DB177*DE177*VLOOKUP('Données projet'!$B$13,Paramètres!$A$1:$I$89,3,0)*0.475*44/12</f>
        <v>4.6710756089389862E-9</v>
      </c>
      <c r="DI177" s="22">
        <f t="shared" si="175"/>
        <v>5.0200042201158217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268.00000000000011</v>
      </c>
      <c r="O178" s="13">
        <f>N178*VLOOKUP('Données projet'!$B$9,Paramètres!$A$1:$I$89,3,0)*VLOOKUP('Données projet'!$B$9,Paramètres!$A$1:$I$89,5,0)</f>
        <v>242.48640000000009</v>
      </c>
      <c r="P178" s="13">
        <f t="shared" si="141"/>
        <v>58.974170235372476</v>
      </c>
      <c r="Q178" s="20">
        <f t="shared" si="162"/>
        <v>525.04382649327385</v>
      </c>
      <c r="R178" s="59">
        <f t="shared" si="109"/>
        <v>818.37715982660711</v>
      </c>
      <c r="S178" s="59">
        <f ca="1">AVERAGE(OFFSET($R$3,0,0,'Données projet'!$E$9+1,1))-AVERAGE(OFFSET($H$3,0,0,'Données projet'!$E$9+1,1))</f>
        <v>371.7282125501186</v>
      </c>
      <c r="T178" s="59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19.631653209032812</v>
      </c>
      <c r="AA178" s="21">
        <f>EXP(-LN(2)/25)*AA177+(1-EXP(-LN(2)/25))/(LN(2)/25)*Calculateur!V178*Calculateur!X178*VLOOKUP('Données projet'!$B$9,Paramètres!$A$1:$I$89,3,0)*0.475*44/12</f>
        <v>0.53829267455547269</v>
      </c>
      <c r="AB178" s="21">
        <f>EXP(-LN(2)/2)*AB177+(1-EXP(-LN(2)/2))/(LN(2)/2)*V178*Y178*VLOOKUP('Données projet'!$B$9,Paramètres!$A$1:$I$89,3,0)*0.475*44/12</f>
        <v>5.6430085180630304E-9</v>
      </c>
      <c r="AC178" s="22">
        <f t="shared" si="163"/>
        <v>20.169945889231293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1.7053025658242404E-13</v>
      </c>
      <c r="AJ178" s="13">
        <f>AI178*VLOOKUP('Données projet'!$B$10,Paramètres!$A$1:$I$89,3,0)*VLOOKUP('Données projet'!$B$10,Paramètres!$A$1:$I$89,5,0)</f>
        <v>7.9808160080574461E-14</v>
      </c>
      <c r="AK178" s="13">
        <f t="shared" si="164"/>
        <v>1.2308384591775343E-12</v>
      </c>
      <c r="AL178" s="20">
        <f t="shared" si="165"/>
        <v>2.282709528541206E-12</v>
      </c>
      <c r="AM178" s="59">
        <f t="shared" si="113"/>
        <v>293.33333333333559</v>
      </c>
      <c r="AN178" s="59">
        <f ca="1">AVERAGE(OFFSET($AM$3,0,0,'Données projet'!$E$10+1,1))-AVERAGE(OFFSET($H$3,0,0,'Données projet'!$E$10+1,1))</f>
        <v>218.32525311070435</v>
      </c>
      <c r="AO178" s="59">
        <f t="shared" si="144"/>
        <v>275.36315264099204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8.9421685478507555</v>
      </c>
      <c r="AV178" s="21">
        <f>EXP(-LN(2)/25)*AV177+(1-EXP(-LN(2)/25))/(LN(2)/25)*Calculateur!AQ178*Calculateur!AS178*VLOOKUP('Données projet'!$B$10,Paramètres!$A$1:$I$89,3,0)*0.475*44/12</f>
        <v>1.5521842510747992</v>
      </c>
      <c r="AW178" s="21">
        <f>EXP(-LN(2)/2)*AW177+(1-EXP(-LN(2)/2))/(LN(2)/2)*AQ178*AT178*VLOOKUP('Données projet'!$B$10,Paramètres!$A$1:$I$89,3,0)*0.475*44/12</f>
        <v>3.2019600000302616E-16</v>
      </c>
      <c r="AX178" s="21">
        <f t="shared" si="166"/>
        <v>10.494352798925554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343</v>
      </c>
      <c r="BE178" s="13">
        <f>BD178*VLOOKUP('Données projet'!$B$11,Paramètres!$A$1:$I$89,3,0)*VLOOKUP('Données projet'!$B$11,Paramètres!$A$1:$I$89,5,0)</f>
        <v>326.39879999999999</v>
      </c>
      <c r="BF178" s="13">
        <f t="shared" si="167"/>
        <v>76.683210401884097</v>
      </c>
      <c r="BG178" s="20">
        <f t="shared" si="168"/>
        <v>702.03450144994804</v>
      </c>
      <c r="BH178" s="59">
        <f t="shared" si="116"/>
        <v>995.3678347832813</v>
      </c>
      <c r="BI178" s="59">
        <f ca="1">AVERAGE(OFFSET($BH$3,0,0,'Données projet'!$E$11+1,1))-AVERAGE(OFFSET($H$3,0,0,'Données projet'!$E$11+1,1))</f>
        <v>446.62872871405051</v>
      </c>
      <c r="BJ178" s="59">
        <f t="shared" si="146"/>
        <v>471.28934889691658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7.437899228983051</v>
      </c>
      <c r="BQ178" s="21">
        <f>EXP(-LN(2)/25)*BQ177+(1-EXP(-LN(2)/25))/(LN(2)/25)*Calculateur!BL178*Calculateur!BN178*VLOOKUP('Données projet'!$B$11,Paramètres!$A$1:$I$89,3,0)*0.475*44/12</f>
        <v>0.18292064585038595</v>
      </c>
      <c r="BR178" s="21">
        <f>EXP(-LN(2)/2)*BR177+(1-EXP(-LN(2)/2))/(LN(2)/2)*BL178*BO178*VLOOKUP('Données projet'!$B$11,Paramètres!$A$1:$I$89,3,0)*0.475*44/12</f>
        <v>2.6902457865913579E-16</v>
      </c>
      <c r="BS178" s="22">
        <f t="shared" si="169"/>
        <v>7.6208198748334368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991.00000000000011</v>
      </c>
      <c r="BZ178" s="13">
        <f>BY178*VLOOKUP('Données projet'!$B$12,Paramètres!$A$1:$I$89,3,0)*VLOOKUP('Données projet'!$B$12,Paramètres!$A$1:$I$89,5,0)</f>
        <v>438.02200000000011</v>
      </c>
      <c r="CA178" s="13">
        <f t="shared" si="170"/>
        <v>99.443834741543355</v>
      </c>
      <c r="CB178" s="20">
        <f t="shared" si="171"/>
        <v>936.08632884152132</v>
      </c>
      <c r="CC178" s="59">
        <f t="shared" si="119"/>
        <v>1229.4196621748547</v>
      </c>
      <c r="CD178" s="59">
        <f ca="1">AVERAGE(OFFSET($CC$3,0,0,'Données projet'!$E$12+1,1))-AVERAGE(OFFSET($H$3,0,0,'Données projet'!$E$12+1,1))</f>
        <v>534.99316143569899</v>
      </c>
      <c r="CE178" s="59">
        <f t="shared" si="148"/>
        <v>449.56965858934262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10.684188260906518</v>
      </c>
      <c r="CL178" s="21">
        <f>EXP(-LN(2)/25)*CL177+(1-EXP(-LN(2)/25))/(LN(2)/25)*Calculateur!CG178*Calculateur!CI178*VLOOKUP('Données projet'!$B$12,Paramètres!$A$1:$I$89,3,0)*0.475*44/12</f>
        <v>2.3004085823133851</v>
      </c>
      <c r="CM178" s="21">
        <f>EXP(-LN(2)/2)*CM177+(1-EXP(-LN(2)/2))/(LN(2)/2)*CG178*CJ178*VLOOKUP('Données projet'!$B$12,Paramètres!$A$1:$I$89,3,0)*0.475*44/12</f>
        <v>1.3697518512498653E-14</v>
      </c>
      <c r="CN178" s="22">
        <f t="shared" si="172"/>
        <v>12.984596843219919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251.00000000000006</v>
      </c>
      <c r="CU178" s="17">
        <f>CT178*VLOOKUP('Données projet'!$B$13,Paramètres!$A$1:$I$89,3,0)*VLOOKUP('Données projet'!$B$13,Paramètres!$A$1:$I$89,5,0)</f>
        <v>285.83880000000011</v>
      </c>
      <c r="CV178" s="13">
        <f t="shared" si="173"/>
        <v>68.199429147498265</v>
      </c>
      <c r="CW178" s="20">
        <f t="shared" si="174"/>
        <v>616.61658243189299</v>
      </c>
      <c r="CX178" s="59">
        <f t="shared" si="122"/>
        <v>909.94991576522625</v>
      </c>
      <c r="CY178" s="59">
        <f ca="1">AVERAGE(OFFSET($CX$3,0,0,'Données projet'!$E$13+1,1))-AVERAGE(OFFSET($H$3,0,0,'Données projet'!$E$13+1,1))</f>
        <v>389.89050053480827</v>
      </c>
      <c r="CZ178" s="59">
        <f t="shared" si="150"/>
        <v>216.40816051909616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4.6078458575016743</v>
      </c>
      <c r="DG178" s="21">
        <f>EXP(-LN(2)/25)*DG177+(1-EXP(-LN(2)/25))/(LN(2)/25)*Calculateur!DB178*Calculateur!DD178*VLOOKUP('Données projet'!$B$13,Paramètres!$A$1:$I$89,3,0)*0.475*44/12</f>
        <v>0.31124377139154952</v>
      </c>
      <c r="DH178" s="21">
        <f>EXP(-LN(2)/2)*DH177+(1-EXP(-LN(2)/2))/(LN(2)/2)*DB178*DE178*VLOOKUP('Données projet'!$B$13,Paramètres!$A$1:$I$89,3,0)*0.475*44/12</f>
        <v>3.302949238515839E-9</v>
      </c>
      <c r="DI178" s="22">
        <f t="shared" si="175"/>
        <v>4.9190896321961732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268.00000000000011</v>
      </c>
      <c r="O179" s="13">
        <f>N179*VLOOKUP('Données projet'!$B$9,Paramètres!$A$1:$I$89,3,0)*VLOOKUP('Données projet'!$B$9,Paramètres!$A$1:$I$89,5,0)</f>
        <v>242.48640000000009</v>
      </c>
      <c r="P179" s="13">
        <f t="shared" si="141"/>
        <v>58.974170235372476</v>
      </c>
      <c r="Q179" s="20">
        <f t="shared" si="162"/>
        <v>525.04382649327385</v>
      </c>
      <c r="R179" s="59">
        <f t="shared" si="109"/>
        <v>818.37715982660711</v>
      </c>
      <c r="S179" s="59">
        <f ca="1">AVERAGE(OFFSET($R$3,0,0,'Données projet'!$E$9+1,1))-AVERAGE(OFFSET($H$3,0,0,'Données projet'!$E$9+1,1))</f>
        <v>371.7282125501186</v>
      </c>
      <c r="T179" s="59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19.246688463729789</v>
      </c>
      <c r="AA179" s="21">
        <f>EXP(-LN(2)/25)*AA178+(1-EXP(-LN(2)/25))/(LN(2)/25)*Calculateur!V179*Calculateur!X179*VLOOKUP('Données projet'!$B$9,Paramètres!$A$1:$I$89,3,0)*0.475*44/12</f>
        <v>0.52357303306217184</v>
      </c>
      <c r="AB179" s="21">
        <f>EXP(-LN(2)/2)*AB178+(1-EXP(-LN(2)/2))/(LN(2)/2)*V179*Y179*VLOOKUP('Données projet'!$B$9,Paramètres!$A$1:$I$89,3,0)*0.475*44/12</f>
        <v>3.990209589415819E-9</v>
      </c>
      <c r="AC179" s="22">
        <f t="shared" si="163"/>
        <v>19.770261500782169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1.7053025658242404E-13</v>
      </c>
      <c r="AJ179" s="13">
        <f>AI179*VLOOKUP('Données projet'!$B$10,Paramètres!$A$1:$I$89,3,0)*VLOOKUP('Données projet'!$B$10,Paramètres!$A$1:$I$89,5,0)</f>
        <v>7.9808160080574461E-14</v>
      </c>
      <c r="AK179" s="13">
        <f t="shared" si="164"/>
        <v>1.2308384591775343E-12</v>
      </c>
      <c r="AL179" s="20">
        <f t="shared" si="165"/>
        <v>2.282709528541206E-12</v>
      </c>
      <c r="AM179" s="59">
        <f t="shared" si="113"/>
        <v>293.33333333333559</v>
      </c>
      <c r="AN179" s="59">
        <f ca="1">AVERAGE(OFFSET($AM$3,0,0,'Données projet'!$E$10+1,1))-AVERAGE(OFFSET($H$3,0,0,'Données projet'!$E$10+1,1))</f>
        <v>218.32525311070435</v>
      </c>
      <c r="AO179" s="59">
        <f t="shared" si="144"/>
        <v>275.36315264099204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8.7668180768116599</v>
      </c>
      <c r="AV179" s="21">
        <f>EXP(-LN(2)/25)*AV178+(1-EXP(-LN(2)/25))/(LN(2)/25)*Calculateur!AQ179*Calculateur!AS179*VLOOKUP('Données projet'!$B$10,Paramètres!$A$1:$I$89,3,0)*0.475*44/12</f>
        <v>1.5097396911033365</v>
      </c>
      <c r="AW179" s="21">
        <f>EXP(-LN(2)/2)*AW178+(1-EXP(-LN(2)/2))/(LN(2)/2)*AQ179*AT179*VLOOKUP('Données projet'!$B$10,Paramètres!$A$1:$I$89,3,0)*0.475*44/12</f>
        <v>2.2641276291094758E-16</v>
      </c>
      <c r="AX179" s="21">
        <f t="shared" si="166"/>
        <v>10.276557767914996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343</v>
      </c>
      <c r="BE179" s="13">
        <f>BD179*VLOOKUP('Données projet'!$B$11,Paramètres!$A$1:$I$89,3,0)*VLOOKUP('Données projet'!$B$11,Paramètres!$A$1:$I$89,5,0)</f>
        <v>326.39879999999999</v>
      </c>
      <c r="BF179" s="13">
        <f t="shared" si="167"/>
        <v>76.683210401884097</v>
      </c>
      <c r="BG179" s="20">
        <f t="shared" si="168"/>
        <v>702.03450144994804</v>
      </c>
      <c r="BH179" s="59">
        <f t="shared" si="116"/>
        <v>995.3678347832813</v>
      </c>
      <c r="BI179" s="59">
        <f ca="1">AVERAGE(OFFSET($BH$3,0,0,'Données projet'!$E$11+1,1))-AVERAGE(OFFSET($H$3,0,0,'Données projet'!$E$11+1,1))</f>
        <v>446.62872871405051</v>
      </c>
      <c r="BJ179" s="59">
        <f t="shared" si="146"/>
        <v>471.28934889691658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7.2920465617732644</v>
      </c>
      <c r="BQ179" s="21">
        <f>EXP(-LN(2)/25)*BQ178+(1-EXP(-LN(2)/25))/(LN(2)/25)*Calculateur!BL179*Calculateur!BN179*VLOOKUP('Données projet'!$B$11,Paramètres!$A$1:$I$89,3,0)*0.475*44/12</f>
        <v>0.17791867117022844</v>
      </c>
      <c r="BR179" s="21">
        <f>EXP(-LN(2)/2)*BR178+(1-EXP(-LN(2)/2))/(LN(2)/2)*BL179*BO179*VLOOKUP('Données projet'!$B$11,Paramètres!$A$1:$I$89,3,0)*0.475*44/12</f>
        <v>1.9022910387572868E-16</v>
      </c>
      <c r="BS179" s="22">
        <f t="shared" si="169"/>
        <v>7.4699652329434931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991.00000000000011</v>
      </c>
      <c r="BZ179" s="13">
        <f>BY179*VLOOKUP('Données projet'!$B$12,Paramètres!$A$1:$I$89,3,0)*VLOOKUP('Données projet'!$B$12,Paramètres!$A$1:$I$89,5,0)</f>
        <v>438.02200000000011</v>
      </c>
      <c r="CA179" s="13">
        <f t="shared" si="170"/>
        <v>99.443834741543355</v>
      </c>
      <c r="CB179" s="20">
        <f t="shared" si="171"/>
        <v>936.08632884152132</v>
      </c>
      <c r="CC179" s="59">
        <f t="shared" si="119"/>
        <v>1229.4196621748547</v>
      </c>
      <c r="CD179" s="59">
        <f ca="1">AVERAGE(OFFSET($CC$3,0,0,'Données projet'!$E$12+1,1))-AVERAGE(OFFSET($H$3,0,0,'Données projet'!$E$12+1,1))</f>
        <v>534.99316143569899</v>
      </c>
      <c r="CE179" s="59">
        <f t="shared" si="148"/>
        <v>449.56965858934262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10.474677845821509</v>
      </c>
      <c r="CL179" s="21">
        <f>EXP(-LN(2)/25)*CL178+(1-EXP(-LN(2)/25))/(LN(2)/25)*Calculateur!CG179*Calculateur!CI179*VLOOKUP('Données projet'!$B$12,Paramètres!$A$1:$I$89,3,0)*0.475*44/12</f>
        <v>2.2375037886567957</v>
      </c>
      <c r="CM179" s="21">
        <f>EXP(-LN(2)/2)*CM178+(1-EXP(-LN(2)/2))/(LN(2)/2)*CG179*CJ179*VLOOKUP('Données projet'!$B$12,Paramètres!$A$1:$I$89,3,0)*0.475*44/12</f>
        <v>9.6856082256160692E-15</v>
      </c>
      <c r="CN179" s="22">
        <f t="shared" si="172"/>
        <v>12.712181634478313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251.00000000000006</v>
      </c>
      <c r="CU179" s="17">
        <f>CT179*VLOOKUP('Données projet'!$B$13,Paramètres!$A$1:$I$89,3,0)*VLOOKUP('Données projet'!$B$13,Paramètres!$A$1:$I$89,5,0)</f>
        <v>285.83880000000011</v>
      </c>
      <c r="CV179" s="13">
        <f t="shared" si="173"/>
        <v>68.199429147498265</v>
      </c>
      <c r="CW179" s="20">
        <f t="shared" si="174"/>
        <v>616.61658243189299</v>
      </c>
      <c r="CX179" s="59">
        <f t="shared" si="122"/>
        <v>909.94991576522625</v>
      </c>
      <c r="CY179" s="59">
        <f ca="1">AVERAGE(OFFSET($CX$3,0,0,'Données projet'!$E$13+1,1))-AVERAGE(OFFSET($H$3,0,0,'Données projet'!$E$13+1,1))</f>
        <v>389.89050053480827</v>
      </c>
      <c r="CZ179" s="59">
        <f t="shared" si="150"/>
        <v>216.40816051909616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4.517488810744525</v>
      </c>
      <c r="DG179" s="21">
        <f>EXP(-LN(2)/25)*DG178+(1-EXP(-LN(2)/25))/(LN(2)/25)*Calculateur!DB179*Calculateur!DD179*VLOOKUP('Données projet'!$B$13,Paramètres!$A$1:$I$89,3,0)*0.475*44/12</f>
        <v>0.302732794095249</v>
      </c>
      <c r="DH179" s="21">
        <f>EXP(-LN(2)/2)*DH178+(1-EXP(-LN(2)/2))/(LN(2)/2)*DB179*DE179*VLOOKUP('Données projet'!$B$13,Paramètres!$A$1:$I$89,3,0)*0.475*44/12</f>
        <v>2.3355378044694931E-9</v>
      </c>
      <c r="DI179" s="22">
        <f t="shared" si="175"/>
        <v>4.8202216071753119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268.00000000000011</v>
      </c>
      <c r="O180" s="13">
        <f>N180*VLOOKUP('Données projet'!$B$9,Paramètres!$A$1:$I$89,3,0)*VLOOKUP('Données projet'!$B$9,Paramètres!$A$1:$I$89,5,0)</f>
        <v>242.48640000000009</v>
      </c>
      <c r="P180" s="13">
        <f t="shared" si="141"/>
        <v>58.974170235372476</v>
      </c>
      <c r="Q180" s="20">
        <f t="shared" si="162"/>
        <v>525.04382649327385</v>
      </c>
      <c r="R180" s="59">
        <f t="shared" si="109"/>
        <v>818.37715982660711</v>
      </c>
      <c r="S180" s="59">
        <f ca="1">AVERAGE(OFFSET($R$3,0,0,'Données projet'!$E$9+1,1))-AVERAGE(OFFSET($H$3,0,0,'Données projet'!$E$9+1,1))</f>
        <v>371.7282125501186</v>
      </c>
      <c r="T180" s="59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18.869272642276851</v>
      </c>
      <c r="AA180" s="21">
        <f>EXP(-LN(2)/25)*AA179+(1-EXP(-LN(2)/25))/(LN(2)/25)*Calculateur!V180*Calculateur!X180*VLOOKUP('Données projet'!$B$9,Paramètres!$A$1:$I$89,3,0)*0.475*44/12</f>
        <v>0.50925590093957762</v>
      </c>
      <c r="AB180" s="21">
        <f>EXP(-LN(2)/2)*AB179+(1-EXP(-LN(2)/2))/(LN(2)/2)*V180*Y180*VLOOKUP('Données projet'!$B$9,Paramètres!$A$1:$I$89,3,0)*0.475*44/12</f>
        <v>2.8215042590315152E-9</v>
      </c>
      <c r="AC180" s="22">
        <f t="shared" si="163"/>
        <v>19.378528546037934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1.7053025658242404E-13</v>
      </c>
      <c r="AJ180" s="13">
        <f>AI180*VLOOKUP('Données projet'!$B$10,Paramètres!$A$1:$I$89,3,0)*VLOOKUP('Données projet'!$B$10,Paramètres!$A$1:$I$89,5,0)</f>
        <v>7.9808160080574461E-14</v>
      </c>
      <c r="AK180" s="13">
        <f t="shared" si="164"/>
        <v>1.2308384591775343E-12</v>
      </c>
      <c r="AL180" s="20">
        <f t="shared" si="165"/>
        <v>2.282709528541206E-12</v>
      </c>
      <c r="AM180" s="59">
        <f t="shared" si="113"/>
        <v>293.33333333333559</v>
      </c>
      <c r="AN180" s="59">
        <f ca="1">AVERAGE(OFFSET($AM$3,0,0,'Données projet'!$E$10+1,1))-AVERAGE(OFFSET($H$3,0,0,'Données projet'!$E$10+1,1))</f>
        <v>218.32525311070435</v>
      </c>
      <c r="AO180" s="59">
        <f t="shared" si="144"/>
        <v>275.36315264099204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8.5949061215564146</v>
      </c>
      <c r="AV180" s="21">
        <f>EXP(-LN(2)/25)*AV179+(1-EXP(-LN(2)/25))/(LN(2)/25)*Calculateur!AQ180*Calculateur!AS180*VLOOKUP('Données projet'!$B$10,Paramètres!$A$1:$I$89,3,0)*0.475*44/12</f>
        <v>1.468455779856356</v>
      </c>
      <c r="AW180" s="21">
        <f>EXP(-LN(2)/2)*AW179+(1-EXP(-LN(2)/2))/(LN(2)/2)*AQ180*AT180*VLOOKUP('Données projet'!$B$10,Paramètres!$A$1:$I$89,3,0)*0.475*44/12</f>
        <v>1.6009800000151308E-16</v>
      </c>
      <c r="AX180" s="21">
        <f t="shared" si="166"/>
        <v>10.063361901412771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343</v>
      </c>
      <c r="BE180" s="13">
        <f>BD180*VLOOKUP('Données projet'!$B$11,Paramètres!$A$1:$I$89,3,0)*VLOOKUP('Données projet'!$B$11,Paramètres!$A$1:$I$89,5,0)</f>
        <v>326.39879999999999</v>
      </c>
      <c r="BF180" s="13">
        <f t="shared" si="167"/>
        <v>76.683210401884097</v>
      </c>
      <c r="BG180" s="20">
        <f t="shared" si="168"/>
        <v>702.03450144994804</v>
      </c>
      <c r="BH180" s="59">
        <f t="shared" si="116"/>
        <v>995.3678347832813</v>
      </c>
      <c r="BI180" s="59">
        <f ca="1">AVERAGE(OFFSET($BH$3,0,0,'Données projet'!$E$11+1,1))-AVERAGE(OFFSET($H$3,0,0,'Données projet'!$E$11+1,1))</f>
        <v>446.62872871405051</v>
      </c>
      <c r="BJ180" s="59">
        <f t="shared" si="146"/>
        <v>471.28934889691658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7.1490539764061189</v>
      </c>
      <c r="BQ180" s="21">
        <f>EXP(-LN(2)/25)*BQ179+(1-EXP(-LN(2)/25))/(LN(2)/25)*Calculateur!BL180*Calculateur!BN180*VLOOKUP('Données projet'!$B$11,Paramètres!$A$1:$I$89,3,0)*0.475*44/12</f>
        <v>0.17305347575074226</v>
      </c>
      <c r="BR180" s="21">
        <f>EXP(-LN(2)/2)*BR179+(1-EXP(-LN(2)/2))/(LN(2)/2)*BL180*BO180*VLOOKUP('Données projet'!$B$11,Paramètres!$A$1:$I$89,3,0)*0.475*44/12</f>
        <v>1.345122893295679E-16</v>
      </c>
      <c r="BS180" s="22">
        <f t="shared" si="169"/>
        <v>7.3221074521568612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991.00000000000011</v>
      </c>
      <c r="BZ180" s="13">
        <f>BY180*VLOOKUP('Données projet'!$B$12,Paramètres!$A$1:$I$89,3,0)*VLOOKUP('Données projet'!$B$12,Paramètres!$A$1:$I$89,5,0)</f>
        <v>438.02200000000011</v>
      </c>
      <c r="CA180" s="13">
        <f t="shared" si="170"/>
        <v>99.443834741543355</v>
      </c>
      <c r="CB180" s="20">
        <f t="shared" si="171"/>
        <v>936.08632884152132</v>
      </c>
      <c r="CC180" s="59">
        <f t="shared" si="119"/>
        <v>1229.4196621748547</v>
      </c>
      <c r="CD180" s="59">
        <f ca="1">AVERAGE(OFFSET($CC$3,0,0,'Données projet'!$E$12+1,1))-AVERAGE(OFFSET($H$3,0,0,'Données projet'!$E$12+1,1))</f>
        <v>534.99316143569899</v>
      </c>
      <c r="CE180" s="59">
        <f t="shared" si="148"/>
        <v>449.56965858934262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10.269275802187581</v>
      </c>
      <c r="CL180" s="21">
        <f>EXP(-LN(2)/25)*CL179+(1-EXP(-LN(2)/25))/(LN(2)/25)*Calculateur!CG180*Calculateur!CI180*VLOOKUP('Données projet'!$B$12,Paramètres!$A$1:$I$89,3,0)*0.475*44/12</f>
        <v>2.1763191298907651</v>
      </c>
      <c r="CM180" s="21">
        <f>EXP(-LN(2)/2)*CM179+(1-EXP(-LN(2)/2))/(LN(2)/2)*CG180*CJ180*VLOOKUP('Données projet'!$B$12,Paramètres!$A$1:$I$89,3,0)*0.475*44/12</f>
        <v>6.8487592562493267E-15</v>
      </c>
      <c r="CN180" s="22">
        <f t="shared" si="172"/>
        <v>12.445594932078354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251.00000000000006</v>
      </c>
      <c r="CU180" s="17">
        <f>CT180*VLOOKUP('Données projet'!$B$13,Paramètres!$A$1:$I$89,3,0)*VLOOKUP('Données projet'!$B$13,Paramètres!$A$1:$I$89,5,0)</f>
        <v>285.83880000000011</v>
      </c>
      <c r="CV180" s="13">
        <f t="shared" si="173"/>
        <v>68.199429147498265</v>
      </c>
      <c r="CW180" s="20">
        <f t="shared" si="174"/>
        <v>616.61658243189299</v>
      </c>
      <c r="CX180" s="59">
        <f t="shared" si="122"/>
        <v>909.94991576522625</v>
      </c>
      <c r="CY180" s="59">
        <f ca="1">AVERAGE(OFFSET($CX$3,0,0,'Données projet'!$E$13+1,1))-AVERAGE(OFFSET($H$3,0,0,'Données projet'!$E$13+1,1))</f>
        <v>389.89050053480827</v>
      </c>
      <c r="CZ180" s="59">
        <f t="shared" si="150"/>
        <v>216.40816051909616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4.4289036105619264</v>
      </c>
      <c r="DG180" s="21">
        <f>EXP(-LN(2)/25)*DG179+(1-EXP(-LN(2)/25))/(LN(2)/25)*Calculateur!DB180*Calculateur!DD180*VLOOKUP('Données projet'!$B$13,Paramètres!$A$1:$I$89,3,0)*0.475*44/12</f>
        <v>0.2944545499206887</v>
      </c>
      <c r="DH180" s="21">
        <f>EXP(-LN(2)/2)*DH179+(1-EXP(-LN(2)/2))/(LN(2)/2)*DB180*DE180*VLOOKUP('Données projet'!$B$13,Paramètres!$A$1:$I$89,3,0)*0.475*44/12</f>
        <v>1.6514746192579195E-9</v>
      </c>
      <c r="DI180" s="22">
        <f t="shared" si="175"/>
        <v>4.7233581621340894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268.00000000000011</v>
      </c>
      <c r="O181" s="13">
        <f>N181*VLOOKUP('Données projet'!$B$9,Paramètres!$A$1:$I$89,3,0)*VLOOKUP('Données projet'!$B$9,Paramètres!$A$1:$I$89,5,0)</f>
        <v>242.48640000000009</v>
      </c>
      <c r="P181" s="13">
        <f t="shared" si="141"/>
        <v>58.974170235372476</v>
      </c>
      <c r="Q181" s="20">
        <f t="shared" si="162"/>
        <v>525.04382649327385</v>
      </c>
      <c r="R181" s="59">
        <f t="shared" si="109"/>
        <v>818.37715982660711</v>
      </c>
      <c r="S181" s="59">
        <f ca="1">AVERAGE(OFFSET($R$3,0,0,'Données projet'!$E$9+1,1))-AVERAGE(OFFSET($H$3,0,0,'Données projet'!$E$9+1,1))</f>
        <v>371.7282125501186</v>
      </c>
      <c r="T181" s="59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18.499257714881683</v>
      </c>
      <c r="AA181" s="21">
        <f>EXP(-LN(2)/25)*AA180+(1-EXP(-LN(2)/25))/(LN(2)/25)*Calculateur!V181*Calculateur!X181*VLOOKUP('Données projet'!$B$9,Paramètres!$A$1:$I$89,3,0)*0.475*44/12</f>
        <v>0.49533027154778098</v>
      </c>
      <c r="AB181" s="21">
        <f>EXP(-LN(2)/2)*AB180+(1-EXP(-LN(2)/2))/(LN(2)/2)*V181*Y181*VLOOKUP('Données projet'!$B$9,Paramètres!$A$1:$I$89,3,0)*0.475*44/12</f>
        <v>1.9951047947079095E-9</v>
      </c>
      <c r="AC181" s="22">
        <f t="shared" si="163"/>
        <v>18.99458798842457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1.7053025658242404E-13</v>
      </c>
      <c r="AJ181" s="13">
        <f>AI181*VLOOKUP('Données projet'!$B$10,Paramètres!$A$1:$I$89,3,0)*VLOOKUP('Données projet'!$B$10,Paramètres!$A$1:$I$89,5,0)</f>
        <v>7.9808160080574461E-14</v>
      </c>
      <c r="AK181" s="13">
        <f t="shared" si="164"/>
        <v>1.2308384591775343E-12</v>
      </c>
      <c r="AL181" s="20">
        <f t="shared" si="165"/>
        <v>2.282709528541206E-12</v>
      </c>
      <c r="AM181" s="59">
        <f t="shared" si="113"/>
        <v>293.33333333333559</v>
      </c>
      <c r="AN181" s="59">
        <f ca="1">AVERAGE(OFFSET($AM$3,0,0,'Données projet'!$E$10+1,1))-AVERAGE(OFFSET($H$3,0,0,'Données projet'!$E$10+1,1))</f>
        <v>218.32525311070435</v>
      </c>
      <c r="AO181" s="59">
        <f t="shared" si="144"/>
        <v>275.36315264099204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8.4263652548877861</v>
      </c>
      <c r="AV181" s="21">
        <f>EXP(-LN(2)/25)*AV180+(1-EXP(-LN(2)/25))/(LN(2)/25)*Calculateur!AQ181*Calculateur!AS181*VLOOKUP('Données projet'!$B$10,Paramètres!$A$1:$I$89,3,0)*0.475*44/12</f>
        <v>1.4283007793334508</v>
      </c>
      <c r="AW181" s="21">
        <f>EXP(-LN(2)/2)*AW180+(1-EXP(-LN(2)/2))/(LN(2)/2)*AQ181*AT181*VLOOKUP('Données projet'!$B$10,Paramètres!$A$1:$I$89,3,0)*0.475*44/12</f>
        <v>1.1320638145547379E-16</v>
      </c>
      <c r="AX181" s="21">
        <f t="shared" si="166"/>
        <v>9.8546660342212373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343</v>
      </c>
      <c r="BE181" s="13">
        <f>BD181*VLOOKUP('Données projet'!$B$11,Paramètres!$A$1:$I$89,3,0)*VLOOKUP('Données projet'!$B$11,Paramètres!$A$1:$I$89,5,0)</f>
        <v>326.39879999999999</v>
      </c>
      <c r="BF181" s="13">
        <f t="shared" si="167"/>
        <v>76.683210401884097</v>
      </c>
      <c r="BG181" s="20">
        <f t="shared" si="168"/>
        <v>702.03450144994804</v>
      </c>
      <c r="BH181" s="59">
        <f t="shared" si="116"/>
        <v>995.3678347832813</v>
      </c>
      <c r="BI181" s="59">
        <f ca="1">AVERAGE(OFFSET($BH$3,0,0,'Données projet'!$E$11+1,1))-AVERAGE(OFFSET($H$3,0,0,'Données projet'!$E$11+1,1))</f>
        <v>446.62872871405051</v>
      </c>
      <c r="BJ181" s="59">
        <f t="shared" si="146"/>
        <v>471.28934889691658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7.0088653884211576</v>
      </c>
      <c r="BQ181" s="21">
        <f>EXP(-LN(2)/25)*BQ180+(1-EXP(-LN(2)/25))/(LN(2)/25)*Calculateur!BL181*Calculateur!BN181*VLOOKUP('Données projet'!$B$11,Paramètres!$A$1:$I$89,3,0)*0.475*44/12</f>
        <v>0.16832131935585143</v>
      </c>
      <c r="BR181" s="21">
        <f>EXP(-LN(2)/2)*BR180+(1-EXP(-LN(2)/2))/(LN(2)/2)*BL181*BO181*VLOOKUP('Données projet'!$B$11,Paramètres!$A$1:$I$89,3,0)*0.475*44/12</f>
        <v>9.5114551937864338E-17</v>
      </c>
      <c r="BS181" s="22">
        <f t="shared" si="169"/>
        <v>7.1771867077770093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991.00000000000011</v>
      </c>
      <c r="BZ181" s="13">
        <f>BY181*VLOOKUP('Données projet'!$B$12,Paramètres!$A$1:$I$89,3,0)*VLOOKUP('Données projet'!$B$12,Paramètres!$A$1:$I$89,5,0)</f>
        <v>438.02200000000011</v>
      </c>
      <c r="CA181" s="13">
        <f t="shared" si="170"/>
        <v>99.443834741543355</v>
      </c>
      <c r="CB181" s="20">
        <f t="shared" si="171"/>
        <v>936.08632884152132</v>
      </c>
      <c r="CC181" s="59">
        <f t="shared" si="119"/>
        <v>1229.4196621748547</v>
      </c>
      <c r="CD181" s="59">
        <f ca="1">AVERAGE(OFFSET($CC$3,0,0,'Données projet'!$E$12+1,1))-AVERAGE(OFFSET($H$3,0,0,'Données projet'!$E$12+1,1))</f>
        <v>534.99316143569899</v>
      </c>
      <c r="CE181" s="59">
        <f t="shared" si="148"/>
        <v>449.56965858934262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10.067901567346439</v>
      </c>
      <c r="CL181" s="21">
        <f>EXP(-LN(2)/25)*CL180+(1-EXP(-LN(2)/25))/(LN(2)/25)*Calculateur!CG181*Calculateur!CI181*VLOOKUP('Données projet'!$B$12,Paramètres!$A$1:$I$89,3,0)*0.475*44/12</f>
        <v>2.1168075688362533</v>
      </c>
      <c r="CM181" s="21">
        <f>EXP(-LN(2)/2)*CM180+(1-EXP(-LN(2)/2))/(LN(2)/2)*CG181*CJ181*VLOOKUP('Données projet'!$B$12,Paramètres!$A$1:$I$89,3,0)*0.475*44/12</f>
        <v>4.8428041128080346E-15</v>
      </c>
      <c r="CN181" s="22">
        <f t="shared" si="172"/>
        <v>12.184709136182699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251.00000000000006</v>
      </c>
      <c r="CU181" s="17">
        <f>CT181*VLOOKUP('Données projet'!$B$13,Paramètres!$A$1:$I$89,3,0)*VLOOKUP('Données projet'!$B$13,Paramètres!$A$1:$I$89,5,0)</f>
        <v>285.83880000000011</v>
      </c>
      <c r="CV181" s="13">
        <f t="shared" si="173"/>
        <v>68.199429147498265</v>
      </c>
      <c r="CW181" s="20">
        <f t="shared" si="174"/>
        <v>616.61658243189299</v>
      </c>
      <c r="CX181" s="59">
        <f t="shared" si="122"/>
        <v>909.94991576522625</v>
      </c>
      <c r="CY181" s="59">
        <f ca="1">AVERAGE(OFFSET($CX$3,0,0,'Données projet'!$E$13+1,1))-AVERAGE(OFFSET($H$3,0,0,'Données projet'!$E$13+1,1))</f>
        <v>389.89050053480827</v>
      </c>
      <c r="CZ181" s="59">
        <f t="shared" si="150"/>
        <v>216.40816051909616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4.342055512123272</v>
      </c>
      <c r="DG181" s="21">
        <f>EXP(-LN(2)/25)*DG180+(1-EXP(-LN(2)/25))/(LN(2)/25)*Calculateur!DB181*Calculateur!DD181*VLOOKUP('Données projet'!$B$13,Paramètres!$A$1:$I$89,3,0)*0.475*44/12</f>
        <v>0.28640267476841569</v>
      </c>
      <c r="DH181" s="21">
        <f>EXP(-LN(2)/2)*DH180+(1-EXP(-LN(2)/2))/(LN(2)/2)*DB181*DE181*VLOOKUP('Données projet'!$B$13,Paramètres!$A$1:$I$89,3,0)*0.475*44/12</f>
        <v>1.1677689022347466E-9</v>
      </c>
      <c r="DI181" s="22">
        <f t="shared" si="175"/>
        <v>4.6284581880594571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268.00000000000011</v>
      </c>
      <c r="O182" s="13">
        <f>N182*VLOOKUP('Données projet'!$B$9,Paramètres!$A$1:$I$89,3,0)*VLOOKUP('Données projet'!$B$9,Paramètres!$A$1:$I$89,5,0)</f>
        <v>242.48640000000009</v>
      </c>
      <c r="P182" s="13">
        <f t="shared" si="141"/>
        <v>58.974170235372476</v>
      </c>
      <c r="Q182" s="20">
        <f t="shared" si="162"/>
        <v>525.04382649327385</v>
      </c>
      <c r="R182" s="59">
        <f t="shared" si="109"/>
        <v>818.37715982660711</v>
      </c>
      <c r="S182" s="59">
        <f ca="1">AVERAGE(OFFSET($R$3,0,0,'Données projet'!$E$9+1,1))-AVERAGE(OFFSET($H$3,0,0,'Données projet'!$E$9+1,1))</f>
        <v>371.7282125501186</v>
      </c>
      <c r="T182" s="59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18.136498554525911</v>
      </c>
      <c r="AA182" s="21">
        <f>EXP(-LN(2)/25)*AA181+(1-EXP(-LN(2)/25))/(LN(2)/25)*Calculateur!V182*Calculateur!X182*VLOOKUP('Données projet'!$B$9,Paramètres!$A$1:$I$89,3,0)*0.475*44/12</f>
        <v>0.48178543922402001</v>
      </c>
      <c r="AB182" s="21">
        <f>EXP(-LN(2)/2)*AB181+(1-EXP(-LN(2)/2))/(LN(2)/2)*V182*Y182*VLOOKUP('Données projet'!$B$9,Paramètres!$A$1:$I$89,3,0)*0.475*44/12</f>
        <v>1.4107521295157576E-9</v>
      </c>
      <c r="AC182" s="22">
        <f t="shared" si="163"/>
        <v>18.618283995160681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1.7053025658242404E-13</v>
      </c>
      <c r="AJ182" s="13">
        <f>AI182*VLOOKUP('Données projet'!$B$10,Paramètres!$A$1:$I$89,3,0)*VLOOKUP('Données projet'!$B$10,Paramètres!$A$1:$I$89,5,0)</f>
        <v>7.9808160080574461E-14</v>
      </c>
      <c r="AK182" s="13">
        <f t="shared" si="164"/>
        <v>1.2308384591775343E-12</v>
      </c>
      <c r="AL182" s="20">
        <f t="shared" si="165"/>
        <v>2.282709528541206E-12</v>
      </c>
      <c r="AM182" s="59">
        <f t="shared" si="113"/>
        <v>293.33333333333559</v>
      </c>
      <c r="AN182" s="59">
        <f ca="1">AVERAGE(OFFSET($AM$3,0,0,'Données projet'!$E$10+1,1))-AVERAGE(OFFSET($H$3,0,0,'Données projet'!$E$10+1,1))</f>
        <v>218.32525311070435</v>
      </c>
      <c r="AO182" s="59">
        <f t="shared" si="144"/>
        <v>275.36315264099204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8.2611293718147518</v>
      </c>
      <c r="AV182" s="21">
        <f>EXP(-LN(2)/25)*AV181+(1-EXP(-LN(2)/25))/(LN(2)/25)*Calculateur!AQ182*Calculateur!AS182*VLOOKUP('Données projet'!$B$10,Paramètres!$A$1:$I$89,3,0)*0.475*44/12</f>
        <v>1.389243819411504</v>
      </c>
      <c r="AW182" s="21">
        <f>EXP(-LN(2)/2)*AW181+(1-EXP(-LN(2)/2))/(LN(2)/2)*AQ182*AT182*VLOOKUP('Données projet'!$B$10,Paramètres!$A$1:$I$89,3,0)*0.475*44/12</f>
        <v>8.0049000000756539E-17</v>
      </c>
      <c r="AX182" s="21">
        <f t="shared" si="166"/>
        <v>9.6503731912262563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343</v>
      </c>
      <c r="BE182" s="13">
        <f>BD182*VLOOKUP('Données projet'!$B$11,Paramètres!$A$1:$I$89,3,0)*VLOOKUP('Données projet'!$B$11,Paramètres!$A$1:$I$89,5,0)</f>
        <v>326.39879999999999</v>
      </c>
      <c r="BF182" s="13">
        <f t="shared" si="167"/>
        <v>76.683210401884097</v>
      </c>
      <c r="BG182" s="20">
        <f t="shared" si="168"/>
        <v>702.03450144994804</v>
      </c>
      <c r="BH182" s="59">
        <f t="shared" si="116"/>
        <v>995.3678347832813</v>
      </c>
      <c r="BI182" s="59">
        <f ca="1">AVERAGE(OFFSET($BH$3,0,0,'Données projet'!$E$11+1,1))-AVERAGE(OFFSET($H$3,0,0,'Données projet'!$E$11+1,1))</f>
        <v>446.62872871405051</v>
      </c>
      <c r="BJ182" s="59">
        <f t="shared" si="146"/>
        <v>471.28934889691658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6.8714258131399859</v>
      </c>
      <c r="BQ182" s="21">
        <f>EXP(-LN(2)/25)*BQ181+(1-EXP(-LN(2)/25))/(LN(2)/25)*Calculateur!BL182*Calculateur!BN182*VLOOKUP('Données projet'!$B$11,Paramètres!$A$1:$I$89,3,0)*0.475*44/12</f>
        <v>0.1637185640264322</v>
      </c>
      <c r="BR182" s="21">
        <f>EXP(-LN(2)/2)*BR181+(1-EXP(-LN(2)/2))/(LN(2)/2)*BL182*BO182*VLOOKUP('Données projet'!$B$11,Paramètres!$A$1:$I$89,3,0)*0.475*44/12</f>
        <v>6.7256144664783948E-17</v>
      </c>
      <c r="BS182" s="22">
        <f t="shared" si="169"/>
        <v>7.0351443771664179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991.00000000000011</v>
      </c>
      <c r="BZ182" s="13">
        <f>BY182*VLOOKUP('Données projet'!$B$12,Paramètres!$A$1:$I$89,3,0)*VLOOKUP('Données projet'!$B$12,Paramètres!$A$1:$I$89,5,0)</f>
        <v>438.02200000000011</v>
      </c>
      <c r="CA182" s="13">
        <f t="shared" si="170"/>
        <v>99.443834741543355</v>
      </c>
      <c r="CB182" s="20">
        <f t="shared" si="171"/>
        <v>936.08632884152132</v>
      </c>
      <c r="CC182" s="59">
        <f t="shared" si="119"/>
        <v>1229.4196621748547</v>
      </c>
      <c r="CD182" s="59">
        <f ca="1">AVERAGE(OFFSET($CC$3,0,0,'Données projet'!$E$12+1,1))-AVERAGE(OFFSET($H$3,0,0,'Données projet'!$E$12+1,1))</f>
        <v>534.99316143569899</v>
      </c>
      <c r="CE182" s="59">
        <f t="shared" si="148"/>
        <v>449.56965858934262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9.8704761584243759</v>
      </c>
      <c r="CL182" s="21">
        <f>EXP(-LN(2)/25)*CL181+(1-EXP(-LN(2)/25))/(LN(2)/25)*Calculateur!CG182*Calculateur!CI182*VLOOKUP('Données projet'!$B$12,Paramètres!$A$1:$I$89,3,0)*0.475*44/12</f>
        <v>2.0589233545483538</v>
      </c>
      <c r="CM182" s="21">
        <f>EXP(-LN(2)/2)*CM181+(1-EXP(-LN(2)/2))/(LN(2)/2)*CG182*CJ182*VLOOKUP('Données projet'!$B$12,Paramètres!$A$1:$I$89,3,0)*0.475*44/12</f>
        <v>3.4243796281246634E-15</v>
      </c>
      <c r="CN182" s="22">
        <f t="shared" si="172"/>
        <v>11.929399512972733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251.00000000000006</v>
      </c>
      <c r="CU182" s="17">
        <f>CT182*VLOOKUP('Données projet'!$B$13,Paramètres!$A$1:$I$89,3,0)*VLOOKUP('Données projet'!$B$13,Paramètres!$A$1:$I$89,5,0)</f>
        <v>285.83880000000011</v>
      </c>
      <c r="CV182" s="13">
        <f t="shared" si="173"/>
        <v>68.199429147498265</v>
      </c>
      <c r="CW182" s="20">
        <f t="shared" si="174"/>
        <v>616.61658243189299</v>
      </c>
      <c r="CX182" s="59">
        <f t="shared" si="122"/>
        <v>909.94991576522625</v>
      </c>
      <c r="CY182" s="59">
        <f ca="1">AVERAGE(OFFSET($CX$3,0,0,'Données projet'!$E$13+1,1))-AVERAGE(OFFSET($H$3,0,0,'Données projet'!$E$13+1,1))</f>
        <v>389.89050053480827</v>
      </c>
      <c r="CZ182" s="59">
        <f t="shared" si="150"/>
        <v>216.40816051909616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4.2569104519228897</v>
      </c>
      <c r="DG182" s="21">
        <f>EXP(-LN(2)/25)*DG181+(1-EXP(-LN(2)/25))/(LN(2)/25)*Calculateur!DB182*Calculateur!DD182*VLOOKUP('Données projet'!$B$13,Paramètres!$A$1:$I$89,3,0)*0.475*44/12</f>
        <v>0.2785709785656113</v>
      </c>
      <c r="DH182" s="21">
        <f>EXP(-LN(2)/2)*DH181+(1-EXP(-LN(2)/2))/(LN(2)/2)*DB182*DE182*VLOOKUP('Données projet'!$B$13,Paramètres!$A$1:$I$89,3,0)*0.475*44/12</f>
        <v>8.2573730962895976E-10</v>
      </c>
      <c r="DI182" s="22">
        <f t="shared" si="175"/>
        <v>4.5354814313142384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268.00000000000011</v>
      </c>
      <c r="O183" s="13">
        <f>N183*VLOOKUP('Données projet'!$B$9,Paramètres!$A$1:$I$89,3,0)*VLOOKUP('Données projet'!$B$9,Paramètres!$A$1:$I$89,5,0)</f>
        <v>242.48640000000009</v>
      </c>
      <c r="P183" s="13">
        <f t="shared" si="141"/>
        <v>58.974170235372476</v>
      </c>
      <c r="Q183" s="20">
        <f t="shared" si="162"/>
        <v>525.04382649327385</v>
      </c>
      <c r="R183" s="59">
        <f t="shared" si="109"/>
        <v>818.37715982660711</v>
      </c>
      <c r="S183" s="59">
        <f ca="1">AVERAGE(OFFSET($R$3,0,0,'Données projet'!$E$9+1,1))-AVERAGE(OFFSET($H$3,0,0,'Données projet'!$E$9+1,1))</f>
        <v>371.7282125501186</v>
      </c>
      <c r="T183" s="59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17.780852880043476</v>
      </c>
      <c r="AA183" s="21">
        <f>EXP(-LN(2)/25)*AA182+(1-EXP(-LN(2)/25))/(LN(2)/25)*Calculateur!V183*Calculateur!X183*VLOOKUP('Données projet'!$B$9,Paramètres!$A$1:$I$89,3,0)*0.475*44/12</f>
        <v>0.46861099105244408</v>
      </c>
      <c r="AB183" s="21">
        <f>EXP(-LN(2)/2)*AB182+(1-EXP(-LN(2)/2))/(LN(2)/2)*V183*Y183*VLOOKUP('Données projet'!$B$9,Paramètres!$A$1:$I$89,3,0)*0.475*44/12</f>
        <v>9.9755239735395476E-10</v>
      </c>
      <c r="AC183" s="22">
        <f t="shared" si="163"/>
        <v>18.249463872093472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1.7053025658242404E-13</v>
      </c>
      <c r="AJ183" s="13">
        <f>AI183*VLOOKUP('Données projet'!$B$10,Paramètres!$A$1:$I$89,3,0)*VLOOKUP('Données projet'!$B$10,Paramètres!$A$1:$I$89,5,0)</f>
        <v>7.9808160080574461E-14</v>
      </c>
      <c r="AK183" s="13">
        <f t="shared" si="164"/>
        <v>1.2308384591775343E-12</v>
      </c>
      <c r="AL183" s="20">
        <f t="shared" si="165"/>
        <v>2.282709528541206E-12</v>
      </c>
      <c r="AM183" s="59">
        <f t="shared" si="113"/>
        <v>293.33333333333559</v>
      </c>
      <c r="AN183" s="59">
        <f ca="1">AVERAGE(OFFSET($AM$3,0,0,'Données projet'!$E$10+1,1))-AVERAGE(OFFSET($H$3,0,0,'Données projet'!$E$10+1,1))</f>
        <v>218.32525311070435</v>
      </c>
      <c r="AO183" s="59">
        <f t="shared" si="144"/>
        <v>275.36315264099204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8.0991336636248423</v>
      </c>
      <c r="AV183" s="21">
        <f>EXP(-LN(2)/25)*AV182+(1-EXP(-LN(2)/25))/(LN(2)/25)*Calculateur!AQ183*Calculateur!AS183*VLOOKUP('Données projet'!$B$10,Paramètres!$A$1:$I$89,3,0)*0.475*44/12</f>
        <v>1.3512548741125392</v>
      </c>
      <c r="AW183" s="21">
        <f>EXP(-LN(2)/2)*AW182+(1-EXP(-LN(2)/2))/(LN(2)/2)*AQ183*AT183*VLOOKUP('Données projet'!$B$10,Paramètres!$A$1:$I$89,3,0)*0.475*44/12</f>
        <v>5.6603190727736896E-17</v>
      </c>
      <c r="AX183" s="21">
        <f t="shared" si="166"/>
        <v>9.450388537737382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343</v>
      </c>
      <c r="BE183" s="13">
        <f>BD183*VLOOKUP('Données projet'!$B$11,Paramètres!$A$1:$I$89,3,0)*VLOOKUP('Données projet'!$B$11,Paramètres!$A$1:$I$89,5,0)</f>
        <v>326.39879999999999</v>
      </c>
      <c r="BF183" s="13">
        <f t="shared" si="167"/>
        <v>76.683210401884097</v>
      </c>
      <c r="BG183" s="20">
        <f t="shared" si="168"/>
        <v>702.03450144994804</v>
      </c>
      <c r="BH183" s="59">
        <f t="shared" si="116"/>
        <v>995.3678347832813</v>
      </c>
      <c r="BI183" s="59">
        <f ca="1">AVERAGE(OFFSET($BH$3,0,0,'Données projet'!$E$11+1,1))-AVERAGE(OFFSET($H$3,0,0,'Données projet'!$E$11+1,1))</f>
        <v>446.62872871405051</v>
      </c>
      <c r="BJ183" s="59">
        <f t="shared" si="146"/>
        <v>471.28934889691658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6.7366813441002149</v>
      </c>
      <c r="BQ183" s="21">
        <f>EXP(-LN(2)/25)*BQ182+(1-EXP(-LN(2)/25))/(LN(2)/25)*Calculateur!BL183*Calculateur!BN183*VLOOKUP('Données projet'!$B$11,Paramètres!$A$1:$I$89,3,0)*0.475*44/12</f>
        <v>0.1592416712835443</v>
      </c>
      <c r="BR183" s="21">
        <f>EXP(-LN(2)/2)*BR182+(1-EXP(-LN(2)/2))/(LN(2)/2)*BL183*BO183*VLOOKUP('Données projet'!$B$11,Paramètres!$A$1:$I$89,3,0)*0.475*44/12</f>
        <v>4.7557275968932169E-17</v>
      </c>
      <c r="BS183" s="22">
        <f t="shared" si="169"/>
        <v>6.895923015383759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991.00000000000011</v>
      </c>
      <c r="BZ183" s="13">
        <f>BY183*VLOOKUP('Données projet'!$B$12,Paramètres!$A$1:$I$89,3,0)*VLOOKUP('Données projet'!$B$12,Paramètres!$A$1:$I$89,5,0)</f>
        <v>438.02200000000011</v>
      </c>
      <c r="CA183" s="13">
        <f t="shared" si="170"/>
        <v>99.443834741543355</v>
      </c>
      <c r="CB183" s="20">
        <f t="shared" si="171"/>
        <v>936.08632884152132</v>
      </c>
      <c r="CC183" s="59">
        <f t="shared" si="119"/>
        <v>1229.4196621748547</v>
      </c>
      <c r="CD183" s="59">
        <f ca="1">AVERAGE(OFFSET($CC$3,0,0,'Données projet'!$E$12+1,1))-AVERAGE(OFFSET($H$3,0,0,'Données projet'!$E$12+1,1))</f>
        <v>534.99316143569899</v>
      </c>
      <c r="CE183" s="59">
        <f t="shared" si="148"/>
        <v>449.56965858934262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9.6769221413536659</v>
      </c>
      <c r="CL183" s="21">
        <f>EXP(-LN(2)/25)*CL182+(1-EXP(-LN(2)/25))/(LN(2)/25)*Calculateur!CG183*Calculateur!CI183*VLOOKUP('Données projet'!$B$12,Paramètres!$A$1:$I$89,3,0)*0.475*44/12</f>
        <v>2.0026219871441557</v>
      </c>
      <c r="CM183" s="21">
        <f>EXP(-LN(2)/2)*CM182+(1-EXP(-LN(2)/2))/(LN(2)/2)*CG183*CJ183*VLOOKUP('Données projet'!$B$12,Paramètres!$A$1:$I$89,3,0)*0.475*44/12</f>
        <v>2.4214020564040173E-15</v>
      </c>
      <c r="CN183" s="22">
        <f t="shared" si="172"/>
        <v>11.679544128497824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251.00000000000006</v>
      </c>
      <c r="CU183" s="17">
        <f>CT183*VLOOKUP('Données projet'!$B$13,Paramètres!$A$1:$I$89,3,0)*VLOOKUP('Données projet'!$B$13,Paramètres!$A$1:$I$89,5,0)</f>
        <v>285.83880000000011</v>
      </c>
      <c r="CV183" s="13">
        <f t="shared" si="173"/>
        <v>68.199429147498265</v>
      </c>
      <c r="CW183" s="20">
        <f t="shared" si="174"/>
        <v>616.61658243189299</v>
      </c>
      <c r="CX183" s="59">
        <f t="shared" si="122"/>
        <v>909.94991576522625</v>
      </c>
      <c r="CY183" s="59">
        <f ca="1">AVERAGE(OFFSET($CX$3,0,0,'Données projet'!$E$13+1,1))-AVERAGE(OFFSET($H$3,0,0,'Données projet'!$E$13+1,1))</f>
        <v>389.89050053480827</v>
      </c>
      <c r="CZ183" s="59">
        <f t="shared" si="150"/>
        <v>216.40816051909616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4.1734350344196782</v>
      </c>
      <c r="DG183" s="21">
        <f>EXP(-LN(2)/25)*DG182+(1-EXP(-LN(2)/25))/(LN(2)/25)*Calculateur!DB183*Calculateur!DD183*VLOOKUP('Données projet'!$B$13,Paramètres!$A$1:$I$89,3,0)*0.475*44/12</f>
        <v>0.27095344050732356</v>
      </c>
      <c r="DH183" s="21">
        <f>EXP(-LN(2)/2)*DH182+(1-EXP(-LN(2)/2))/(LN(2)/2)*DB183*DE183*VLOOKUP('Données projet'!$B$13,Paramètres!$A$1:$I$89,3,0)*0.475*44/12</f>
        <v>5.8388445111737328E-10</v>
      </c>
      <c r="DI183" s="22">
        <f t="shared" si="175"/>
        <v>4.4443884755108858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268.00000000000011</v>
      </c>
      <c r="O184" s="13">
        <f>N184*VLOOKUP('Données projet'!$B$9,Paramètres!$A$1:$I$89,3,0)*VLOOKUP('Données projet'!$B$9,Paramètres!$A$1:$I$89,5,0)</f>
        <v>242.48640000000009</v>
      </c>
      <c r="P184" s="13">
        <f t="shared" si="141"/>
        <v>58.974170235372476</v>
      </c>
      <c r="Q184" s="20">
        <f t="shared" si="162"/>
        <v>525.04382649327385</v>
      </c>
      <c r="R184" s="59">
        <f t="shared" si="109"/>
        <v>818.37715982660711</v>
      </c>
      <c r="S184" s="59">
        <f ca="1">AVERAGE(OFFSET($R$3,0,0,'Données projet'!$E$9+1,1))-AVERAGE(OFFSET($H$3,0,0,'Données projet'!$E$9+1,1))</f>
        <v>371.7282125501186</v>
      </c>
      <c r="T184" s="59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17.432181200315199</v>
      </c>
      <c r="AA184" s="21">
        <f>EXP(-LN(2)/25)*AA183+(1-EXP(-LN(2)/25))/(LN(2)/25)*Calculateur!V184*Calculateur!X184*VLOOKUP('Données projet'!$B$9,Paramètres!$A$1:$I$89,3,0)*0.475*44/12</f>
        <v>0.45579679885893398</v>
      </c>
      <c r="AB184" s="21">
        <f>EXP(-LN(2)/2)*AB183+(1-EXP(-LN(2)/2))/(LN(2)/2)*V184*Y184*VLOOKUP('Données projet'!$B$9,Paramètres!$A$1:$I$89,3,0)*0.475*44/12</f>
        <v>7.053760647578788E-10</v>
      </c>
      <c r="AC184" s="22">
        <f t="shared" si="163"/>
        <v>17.88797799987951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1.7053025658242404E-13</v>
      </c>
      <c r="AJ184" s="13">
        <f>AI184*VLOOKUP('Données projet'!$B$10,Paramètres!$A$1:$I$89,3,0)*VLOOKUP('Données projet'!$B$10,Paramètres!$A$1:$I$89,5,0)</f>
        <v>7.9808160080574461E-14</v>
      </c>
      <c r="AK184" s="13">
        <f t="shared" si="164"/>
        <v>1.2308384591775343E-12</v>
      </c>
      <c r="AL184" s="20">
        <f t="shared" si="165"/>
        <v>2.282709528541206E-12</v>
      </c>
      <c r="AM184" s="59">
        <f t="shared" si="113"/>
        <v>293.33333333333559</v>
      </c>
      <c r="AN184" s="59">
        <f ca="1">AVERAGE(OFFSET($AM$3,0,0,'Données projet'!$E$10+1,1))-AVERAGE(OFFSET($H$3,0,0,'Données projet'!$E$10+1,1))</f>
        <v>218.32525311070435</v>
      </c>
      <c r="AO184" s="59">
        <f t="shared" si="144"/>
        <v>275.36315264099204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7.9403145924649108</v>
      </c>
      <c r="AV184" s="21">
        <f>EXP(-LN(2)/25)*AV183+(1-EXP(-LN(2)/25))/(LN(2)/25)*Calculateur!AQ184*Calculateur!AS184*VLOOKUP('Données projet'!$B$10,Paramètres!$A$1:$I$89,3,0)*0.475*44/12</f>
        <v>1.3143047385205262</v>
      </c>
      <c r="AW184" s="21">
        <f>EXP(-LN(2)/2)*AW183+(1-EXP(-LN(2)/2))/(LN(2)/2)*AQ184*AT184*VLOOKUP('Données projet'!$B$10,Paramètres!$A$1:$I$89,3,0)*0.475*44/12</f>
        <v>4.002450000037827E-17</v>
      </c>
      <c r="AX184" s="21">
        <f t="shared" si="166"/>
        <v>9.2546193309854363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343</v>
      </c>
      <c r="BE184" s="13">
        <f>BD184*VLOOKUP('Données projet'!$B$11,Paramètres!$A$1:$I$89,3,0)*VLOOKUP('Données projet'!$B$11,Paramètres!$A$1:$I$89,5,0)</f>
        <v>326.39879999999999</v>
      </c>
      <c r="BF184" s="13">
        <f t="shared" si="167"/>
        <v>76.683210401884097</v>
      </c>
      <c r="BG184" s="20">
        <f t="shared" si="168"/>
        <v>702.03450144994804</v>
      </c>
      <c r="BH184" s="59">
        <f t="shared" si="116"/>
        <v>995.3678347832813</v>
      </c>
      <c r="BI184" s="59">
        <f ca="1">AVERAGE(OFFSET($BH$3,0,0,'Données projet'!$E$11+1,1))-AVERAGE(OFFSET($H$3,0,0,'Données projet'!$E$11+1,1))</f>
        <v>446.62872871405051</v>
      </c>
      <c r="BJ184" s="59">
        <f t="shared" si="146"/>
        <v>471.28934889691658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6.6045791319123026</v>
      </c>
      <c r="BQ184" s="21">
        <f>EXP(-LN(2)/25)*BQ183+(1-EXP(-LN(2)/25))/(LN(2)/25)*Calculateur!BL184*Calculateur!BN184*VLOOKUP('Données projet'!$B$11,Paramètres!$A$1:$I$89,3,0)*0.475*44/12</f>
        <v>0.15488719940814025</v>
      </c>
      <c r="BR184" s="21">
        <f>EXP(-LN(2)/2)*BR183+(1-EXP(-LN(2)/2))/(LN(2)/2)*BL184*BO184*VLOOKUP('Données projet'!$B$11,Paramètres!$A$1:$I$89,3,0)*0.475*44/12</f>
        <v>3.3628072332391974E-17</v>
      </c>
      <c r="BS184" s="22">
        <f t="shared" si="169"/>
        <v>6.7594663313204428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991.00000000000011</v>
      </c>
      <c r="BZ184" s="13">
        <f>BY184*VLOOKUP('Données projet'!$B$12,Paramètres!$A$1:$I$89,3,0)*VLOOKUP('Données projet'!$B$12,Paramètres!$A$1:$I$89,5,0)</f>
        <v>438.02200000000011</v>
      </c>
      <c r="CA184" s="13">
        <f t="shared" si="170"/>
        <v>99.443834741543355</v>
      </c>
      <c r="CB184" s="20">
        <f t="shared" si="171"/>
        <v>936.08632884152132</v>
      </c>
      <c r="CC184" s="59">
        <f t="shared" si="119"/>
        <v>1229.4196621748547</v>
      </c>
      <c r="CD184" s="59">
        <f ca="1">AVERAGE(OFFSET($CC$3,0,0,'Données projet'!$E$12+1,1))-AVERAGE(OFFSET($H$3,0,0,'Données projet'!$E$12+1,1))</f>
        <v>534.99316143569899</v>
      </c>
      <c r="CE184" s="59">
        <f t="shared" si="148"/>
        <v>449.56965858934262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9.4871636005014199</v>
      </c>
      <c r="CL184" s="21">
        <f>EXP(-LN(2)/25)*CL183+(1-EXP(-LN(2)/25))/(LN(2)/25)*Calculateur!CG184*Calculateur!CI184*VLOOKUP('Données projet'!$B$12,Paramètres!$A$1:$I$89,3,0)*0.475*44/12</f>
        <v>1.9478601835923854</v>
      </c>
      <c r="CM184" s="21">
        <f>EXP(-LN(2)/2)*CM183+(1-EXP(-LN(2)/2))/(LN(2)/2)*CG184*CJ184*VLOOKUP('Données projet'!$B$12,Paramètres!$A$1:$I$89,3,0)*0.475*44/12</f>
        <v>1.7121898140623317E-15</v>
      </c>
      <c r="CN184" s="22">
        <f t="shared" si="172"/>
        <v>11.435023784093808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251.00000000000006</v>
      </c>
      <c r="CU184" s="17">
        <f>CT184*VLOOKUP('Données projet'!$B$13,Paramètres!$A$1:$I$89,3,0)*VLOOKUP('Données projet'!$B$13,Paramètres!$A$1:$I$89,5,0)</f>
        <v>285.83880000000011</v>
      </c>
      <c r="CV184" s="13">
        <f t="shared" si="173"/>
        <v>68.199429147498265</v>
      </c>
      <c r="CW184" s="20">
        <f t="shared" si="174"/>
        <v>616.61658243189299</v>
      </c>
      <c r="CX184" s="59">
        <f t="shared" si="122"/>
        <v>909.94991576522625</v>
      </c>
      <c r="CY184" s="59">
        <f ca="1">AVERAGE(OFFSET($CX$3,0,0,'Données projet'!$E$13+1,1))-AVERAGE(OFFSET($H$3,0,0,'Données projet'!$E$13+1,1))</f>
        <v>389.89050053480827</v>
      </c>
      <c r="CZ184" s="59">
        <f t="shared" si="150"/>
        <v>216.40816051909616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4.0915965189387276</v>
      </c>
      <c r="DG184" s="21">
        <f>EXP(-LN(2)/25)*DG183+(1-EXP(-LN(2)/25))/(LN(2)/25)*Calculateur!DB184*Calculateur!DD184*VLOOKUP('Données projet'!$B$13,Paramètres!$A$1:$I$89,3,0)*0.475*44/12</f>
        <v>0.26354420442782861</v>
      </c>
      <c r="DH184" s="21">
        <f>EXP(-LN(2)/2)*DH183+(1-EXP(-LN(2)/2))/(LN(2)/2)*DB184*DE184*VLOOKUP('Données projet'!$B$13,Paramètres!$A$1:$I$89,3,0)*0.475*44/12</f>
        <v>4.1286865481447988E-10</v>
      </c>
      <c r="DI184" s="22">
        <f t="shared" si="175"/>
        <v>4.3551407237794253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268.00000000000011</v>
      </c>
      <c r="O185" s="13">
        <f>N185*VLOOKUP('Données projet'!$B$9,Paramètres!$A$1:$I$89,3,0)*VLOOKUP('Données projet'!$B$9,Paramètres!$A$1:$I$89,5,0)</f>
        <v>242.48640000000009</v>
      </c>
      <c r="P185" s="13">
        <f t="shared" si="141"/>
        <v>58.974170235372476</v>
      </c>
      <c r="Q185" s="20">
        <f t="shared" si="162"/>
        <v>525.04382649327385</v>
      </c>
      <c r="R185" s="59">
        <f t="shared" si="109"/>
        <v>818.37715982660711</v>
      </c>
      <c r="S185" s="59">
        <f ca="1">AVERAGE(OFFSET($R$3,0,0,'Données projet'!$E$9+1,1))-AVERAGE(OFFSET($H$3,0,0,'Données projet'!$E$9+1,1))</f>
        <v>371.7282125501186</v>
      </c>
      <c r="T185" s="59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17.090346759557669</v>
      </c>
      <c r="AA185" s="21">
        <f>EXP(-LN(2)/25)*AA184+(1-EXP(-LN(2)/25))/(LN(2)/25)*Calculateur!V185*Calculateur!X185*VLOOKUP('Données projet'!$B$9,Paramètres!$A$1:$I$89,3,0)*0.475*44/12</f>
        <v>0.44333301142482451</v>
      </c>
      <c r="AB185" s="21">
        <f>EXP(-LN(2)/2)*AB184+(1-EXP(-LN(2)/2))/(LN(2)/2)*V185*Y185*VLOOKUP('Données projet'!$B$9,Paramètres!$A$1:$I$89,3,0)*0.475*44/12</f>
        <v>4.9877619867697738E-10</v>
      </c>
      <c r="AC185" s="22">
        <f t="shared" si="163"/>
        <v>17.533679771481268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1.7053025658242404E-13</v>
      </c>
      <c r="AJ185" s="13">
        <f>AI185*VLOOKUP('Données projet'!$B$10,Paramètres!$A$1:$I$89,3,0)*VLOOKUP('Données projet'!$B$10,Paramètres!$A$1:$I$89,5,0)</f>
        <v>7.9808160080574461E-14</v>
      </c>
      <c r="AK185" s="13">
        <f t="shared" si="164"/>
        <v>1.2308384591775343E-12</v>
      </c>
      <c r="AL185" s="20">
        <f t="shared" si="165"/>
        <v>2.282709528541206E-12</v>
      </c>
      <c r="AM185" s="59">
        <f t="shared" si="113"/>
        <v>293.33333333333559</v>
      </c>
      <c r="AN185" s="59">
        <f ca="1">AVERAGE(OFFSET($AM$3,0,0,'Données projet'!$E$10+1,1))-AVERAGE(OFFSET($H$3,0,0,'Données projet'!$E$10+1,1))</f>
        <v>218.32525311070435</v>
      </c>
      <c r="AO185" s="59">
        <f t="shared" si="144"/>
        <v>275.36315264099204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7.7846098664203573</v>
      </c>
      <c r="AV185" s="21">
        <f>EXP(-LN(2)/25)*AV184+(1-EXP(-LN(2)/25))/(LN(2)/25)*Calculateur!AQ185*Calculateur!AS185*VLOOKUP('Données projet'!$B$10,Paramètres!$A$1:$I$89,3,0)*0.475*44/12</f>
        <v>1.2783650063294001</v>
      </c>
      <c r="AW185" s="21">
        <f>EXP(-LN(2)/2)*AW184+(1-EXP(-LN(2)/2))/(LN(2)/2)*AQ185*AT185*VLOOKUP('Données projet'!$B$10,Paramètres!$A$1:$I$89,3,0)*0.475*44/12</f>
        <v>2.8301595363868448E-17</v>
      </c>
      <c r="AX185" s="21">
        <f t="shared" si="166"/>
        <v>9.0629748727497574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343</v>
      </c>
      <c r="BE185" s="13">
        <f>BD185*VLOOKUP('Données projet'!$B$11,Paramètres!$A$1:$I$89,3,0)*VLOOKUP('Données projet'!$B$11,Paramètres!$A$1:$I$89,5,0)</f>
        <v>326.39879999999999</v>
      </c>
      <c r="BF185" s="13">
        <f t="shared" si="167"/>
        <v>76.683210401884097</v>
      </c>
      <c r="BG185" s="20">
        <f t="shared" si="168"/>
        <v>702.03450144994804</v>
      </c>
      <c r="BH185" s="59">
        <f t="shared" si="116"/>
        <v>995.3678347832813</v>
      </c>
      <c r="BI185" s="59">
        <f ca="1">AVERAGE(OFFSET($BH$3,0,0,'Données projet'!$E$11+1,1))-AVERAGE(OFFSET($H$3,0,0,'Données projet'!$E$11+1,1))</f>
        <v>446.62872871405051</v>
      </c>
      <c r="BJ185" s="59">
        <f t="shared" si="146"/>
        <v>471.28934889691658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6.4750673635310019</v>
      </c>
      <c r="BQ185" s="21">
        <f>EXP(-LN(2)/25)*BQ184+(1-EXP(-LN(2)/25))/(LN(2)/25)*Calculateur!BL185*Calculateur!BN185*VLOOKUP('Données projet'!$B$11,Paramètres!$A$1:$I$89,3,0)*0.475*44/12</f>
        <v>0.15065180079516083</v>
      </c>
      <c r="BR185" s="21">
        <f>EXP(-LN(2)/2)*BR184+(1-EXP(-LN(2)/2))/(LN(2)/2)*BL185*BO185*VLOOKUP('Données projet'!$B$11,Paramètres!$A$1:$I$89,3,0)*0.475*44/12</f>
        <v>2.3778637984466085E-17</v>
      </c>
      <c r="BS185" s="22">
        <f t="shared" si="169"/>
        <v>6.6257191643261626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991.00000000000011</v>
      </c>
      <c r="BZ185" s="13">
        <f>BY185*VLOOKUP('Données projet'!$B$12,Paramètres!$A$1:$I$89,3,0)*VLOOKUP('Données projet'!$B$12,Paramètres!$A$1:$I$89,5,0)</f>
        <v>438.02200000000011</v>
      </c>
      <c r="CA185" s="13">
        <f t="shared" si="170"/>
        <v>99.443834741543355</v>
      </c>
      <c r="CB185" s="20">
        <f t="shared" si="171"/>
        <v>936.08632884152132</v>
      </c>
      <c r="CC185" s="59">
        <f t="shared" si="119"/>
        <v>1229.4196621748547</v>
      </c>
      <c r="CD185" s="59">
        <f ca="1">AVERAGE(OFFSET($CC$3,0,0,'Données projet'!$E$12+1,1))-AVERAGE(OFFSET($H$3,0,0,'Données projet'!$E$12+1,1))</f>
        <v>534.99316143569899</v>
      </c>
      <c r="CE185" s="59">
        <f t="shared" si="148"/>
        <v>449.56965858934262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9.3011261088940049</v>
      </c>
      <c r="CL185" s="21">
        <f>EXP(-LN(2)/25)*CL184+(1-EXP(-LN(2)/25))/(LN(2)/25)*Calculateur!CG185*Calculateur!CI185*VLOOKUP('Données projet'!$B$12,Paramètres!$A$1:$I$89,3,0)*0.475*44/12</f>
        <v>1.8945958444385365</v>
      </c>
      <c r="CM185" s="21">
        <f>EXP(-LN(2)/2)*CM184+(1-EXP(-LN(2)/2))/(LN(2)/2)*CG185*CJ185*VLOOKUP('Données projet'!$B$12,Paramètres!$A$1:$I$89,3,0)*0.475*44/12</f>
        <v>1.2107010282020086E-15</v>
      </c>
      <c r="CN185" s="22">
        <f t="shared" si="172"/>
        <v>11.195721953332542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251.00000000000006</v>
      </c>
      <c r="CU185" s="17">
        <f>CT185*VLOOKUP('Données projet'!$B$13,Paramètres!$A$1:$I$89,3,0)*VLOOKUP('Données projet'!$B$13,Paramètres!$A$1:$I$89,5,0)</f>
        <v>285.83880000000011</v>
      </c>
      <c r="CV185" s="13">
        <f t="shared" si="173"/>
        <v>68.199429147498265</v>
      </c>
      <c r="CW185" s="20">
        <f t="shared" si="174"/>
        <v>616.61658243189299</v>
      </c>
      <c r="CX185" s="59">
        <f t="shared" si="122"/>
        <v>909.94991576522625</v>
      </c>
      <c r="CY185" s="59">
        <f ca="1">AVERAGE(OFFSET($CX$3,0,0,'Données projet'!$E$13+1,1))-AVERAGE(OFFSET($H$3,0,0,'Données projet'!$E$13+1,1))</f>
        <v>389.89050053480827</v>
      </c>
      <c r="CZ185" s="59">
        <f t="shared" si="150"/>
        <v>216.40816051909616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4.0113628068297933</v>
      </c>
      <c r="DG185" s="21">
        <f>EXP(-LN(2)/25)*DG184+(1-EXP(-LN(2)/25))/(LN(2)/25)*Calculateur!DB185*Calculateur!DD185*VLOOKUP('Données projet'!$B$13,Paramètres!$A$1:$I$89,3,0)*0.475*44/12</f>
        <v>0.25633757429856224</v>
      </c>
      <c r="DH185" s="21">
        <f>EXP(-LN(2)/2)*DH184+(1-EXP(-LN(2)/2))/(LN(2)/2)*DB185*DE185*VLOOKUP('Données projet'!$B$13,Paramètres!$A$1:$I$89,3,0)*0.475*44/12</f>
        <v>2.9194222555868664E-10</v>
      </c>
      <c r="DI185" s="22">
        <f t="shared" si="175"/>
        <v>4.2677003814202976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268.00000000000011</v>
      </c>
      <c r="O186" s="13">
        <f>N186*VLOOKUP('Données projet'!$B$9,Paramètres!$A$1:$I$89,3,0)*VLOOKUP('Données projet'!$B$9,Paramètres!$A$1:$I$89,5,0)</f>
        <v>242.48640000000009</v>
      </c>
      <c r="P186" s="13">
        <f t="shared" si="141"/>
        <v>58.974170235372476</v>
      </c>
      <c r="Q186" s="20">
        <f t="shared" si="162"/>
        <v>525.04382649327385</v>
      </c>
      <c r="R186" s="59">
        <f t="shared" si="109"/>
        <v>818.37715982660711</v>
      </c>
      <c r="S186" s="59">
        <f ca="1">AVERAGE(OFFSET($R$3,0,0,'Données projet'!$E$9+1,1))-AVERAGE(OFFSET($H$3,0,0,'Données projet'!$E$9+1,1))</f>
        <v>371.7282125501186</v>
      </c>
      <c r="T186" s="59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16.755215483684974</v>
      </c>
      <c r="AA186" s="21">
        <f>EXP(-LN(2)/25)*AA185+(1-EXP(-LN(2)/25))/(LN(2)/25)*Calculateur!V186*Calculateur!X186*VLOOKUP('Données projet'!$B$9,Paramètres!$A$1:$I$89,3,0)*0.475*44/12</f>
        <v>0.43121004691354287</v>
      </c>
      <c r="AB186" s="21">
        <f>EXP(-LN(2)/2)*AB185+(1-EXP(-LN(2)/2))/(LN(2)/2)*V186*Y186*VLOOKUP('Données projet'!$B$9,Paramètres!$A$1:$I$89,3,0)*0.475*44/12</f>
        <v>3.526880323789394E-10</v>
      </c>
      <c r="AC186" s="22">
        <f t="shared" si="163"/>
        <v>17.186425530951205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1.7053025658242404E-13</v>
      </c>
      <c r="AJ186" s="13">
        <f>AI186*VLOOKUP('Données projet'!$B$10,Paramètres!$A$1:$I$89,3,0)*VLOOKUP('Données projet'!$B$10,Paramètres!$A$1:$I$89,5,0)</f>
        <v>7.9808160080574461E-14</v>
      </c>
      <c r="AK186" s="13">
        <f t="shared" si="164"/>
        <v>1.2308384591775343E-12</v>
      </c>
      <c r="AL186" s="20">
        <f t="shared" si="165"/>
        <v>2.282709528541206E-12</v>
      </c>
      <c r="AM186" s="59">
        <f t="shared" si="113"/>
        <v>293.33333333333559</v>
      </c>
      <c r="AN186" s="59">
        <f ca="1">AVERAGE(OFFSET($AM$3,0,0,'Données projet'!$E$10+1,1))-AVERAGE(OFFSET($H$3,0,0,'Données projet'!$E$10+1,1))</f>
        <v>218.32525311070435</v>
      </c>
      <c r="AO186" s="59">
        <f t="shared" si="144"/>
        <v>275.36315264099204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7.6319584150830329</v>
      </c>
      <c r="AV186" s="21">
        <f>EXP(-LN(2)/25)*AV185+(1-EXP(-LN(2)/25))/(LN(2)/25)*Calculateur!AQ186*Calculateur!AS186*VLOOKUP('Données projet'!$B$10,Paramètres!$A$1:$I$89,3,0)*0.475*44/12</f>
        <v>1.2434080480050287</v>
      </c>
      <c r="AW186" s="21">
        <f>EXP(-LN(2)/2)*AW185+(1-EXP(-LN(2)/2))/(LN(2)/2)*AQ186*AT186*VLOOKUP('Données projet'!$B$10,Paramètres!$A$1:$I$89,3,0)*0.475*44/12</f>
        <v>2.0012250000189135E-17</v>
      </c>
      <c r="AX186" s="21">
        <f t="shared" si="166"/>
        <v>8.8753664630880618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343</v>
      </c>
      <c r="BE186" s="13">
        <f>BD186*VLOOKUP('Données projet'!$B$11,Paramètres!$A$1:$I$89,3,0)*VLOOKUP('Données projet'!$B$11,Paramètres!$A$1:$I$89,5,0)</f>
        <v>326.39879999999999</v>
      </c>
      <c r="BF186" s="13">
        <f t="shared" si="167"/>
        <v>76.683210401884097</v>
      </c>
      <c r="BG186" s="20">
        <f t="shared" si="168"/>
        <v>702.03450144994804</v>
      </c>
      <c r="BH186" s="59">
        <f t="shared" si="116"/>
        <v>995.3678347832813</v>
      </c>
      <c r="BI186" s="59">
        <f ca="1">AVERAGE(OFFSET($BH$3,0,0,'Données projet'!$E$11+1,1))-AVERAGE(OFFSET($H$3,0,0,'Données projet'!$E$11+1,1))</f>
        <v>446.62872871405051</v>
      </c>
      <c r="BJ186" s="59">
        <f t="shared" si="146"/>
        <v>471.28934889691658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6.3480952419332795</v>
      </c>
      <c r="BQ186" s="21">
        <f>EXP(-LN(2)/25)*BQ185+(1-EXP(-LN(2)/25))/(LN(2)/25)*Calculateur!BL186*Calculateur!BN186*VLOOKUP('Données projet'!$B$11,Paramètres!$A$1:$I$89,3,0)*0.475*44/12</f>
        <v>0.14653221937998326</v>
      </c>
      <c r="BR186" s="21">
        <f>EXP(-LN(2)/2)*BR185+(1-EXP(-LN(2)/2))/(LN(2)/2)*BL186*BO186*VLOOKUP('Données projet'!$B$11,Paramètres!$A$1:$I$89,3,0)*0.475*44/12</f>
        <v>1.6814036166195987E-17</v>
      </c>
      <c r="BS186" s="22">
        <f t="shared" si="169"/>
        <v>6.4946274613132626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991.00000000000011</v>
      </c>
      <c r="BZ186" s="13">
        <f>BY186*VLOOKUP('Données projet'!$B$12,Paramètres!$A$1:$I$89,3,0)*VLOOKUP('Données projet'!$B$12,Paramètres!$A$1:$I$89,5,0)</f>
        <v>438.02200000000011</v>
      </c>
      <c r="CA186" s="13">
        <f t="shared" si="170"/>
        <v>99.443834741543355</v>
      </c>
      <c r="CB186" s="20">
        <f t="shared" si="171"/>
        <v>936.08632884152132</v>
      </c>
      <c r="CC186" s="59">
        <f t="shared" si="119"/>
        <v>1229.4196621748547</v>
      </c>
      <c r="CD186" s="59">
        <f ca="1">AVERAGE(OFFSET($CC$3,0,0,'Données projet'!$E$12+1,1))-AVERAGE(OFFSET($H$3,0,0,'Données projet'!$E$12+1,1))</f>
        <v>534.99316143569899</v>
      </c>
      <c r="CE186" s="59">
        <f t="shared" si="148"/>
        <v>449.56965858934262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9.1187366990253444</v>
      </c>
      <c r="CL186" s="21">
        <f>EXP(-LN(2)/25)*CL185+(1-EXP(-LN(2)/25))/(LN(2)/25)*Calculateur!CG186*Calculateur!CI186*VLOOKUP('Données projet'!$B$12,Paramètres!$A$1:$I$89,3,0)*0.475*44/12</f>
        <v>1.8427880214398993</v>
      </c>
      <c r="CM186" s="21">
        <f>EXP(-LN(2)/2)*CM185+(1-EXP(-LN(2)/2))/(LN(2)/2)*CG186*CJ186*VLOOKUP('Données projet'!$B$12,Paramètres!$A$1:$I$89,3,0)*0.475*44/12</f>
        <v>8.5609490703116584E-16</v>
      </c>
      <c r="CN186" s="22">
        <f t="shared" si="172"/>
        <v>10.961524720465244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251.00000000000006</v>
      </c>
      <c r="CU186" s="17">
        <f>CT186*VLOOKUP('Données projet'!$B$13,Paramètres!$A$1:$I$89,3,0)*VLOOKUP('Données projet'!$B$13,Paramètres!$A$1:$I$89,5,0)</f>
        <v>285.83880000000011</v>
      </c>
      <c r="CV186" s="13">
        <f t="shared" si="173"/>
        <v>68.199429147498265</v>
      </c>
      <c r="CW186" s="20">
        <f t="shared" si="174"/>
        <v>616.61658243189299</v>
      </c>
      <c r="CX186" s="59">
        <f t="shared" si="122"/>
        <v>909.94991576522625</v>
      </c>
      <c r="CY186" s="59">
        <f ca="1">AVERAGE(OFFSET($CX$3,0,0,'Données projet'!$E$13+1,1))-AVERAGE(OFFSET($H$3,0,0,'Données projet'!$E$13+1,1))</f>
        <v>389.89050053480827</v>
      </c>
      <c r="CZ186" s="59">
        <f t="shared" si="150"/>
        <v>216.40816051909616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3.9327024288775827</v>
      </c>
      <c r="DG186" s="21">
        <f>EXP(-LN(2)/25)*DG185+(1-EXP(-LN(2)/25))/(LN(2)/25)*Calculateur!DB186*Calculateur!DD186*VLOOKUP('Données projet'!$B$13,Paramètres!$A$1:$I$89,3,0)*0.475*44/12</f>
        <v>0.2493280098491609</v>
      </c>
      <c r="DH186" s="21">
        <f>EXP(-LN(2)/2)*DH185+(1-EXP(-LN(2)/2))/(LN(2)/2)*DB186*DE186*VLOOKUP('Données projet'!$B$13,Paramètres!$A$1:$I$89,3,0)*0.475*44/12</f>
        <v>2.0643432740723994E-10</v>
      </c>
      <c r="DI186" s="22">
        <f t="shared" si="175"/>
        <v>4.1820304389331779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268.00000000000011</v>
      </c>
      <c r="O187" s="13">
        <f>N187*VLOOKUP('Données projet'!$B$9,Paramètres!$A$1:$I$89,3,0)*VLOOKUP('Données projet'!$B$9,Paramètres!$A$1:$I$89,5,0)</f>
        <v>242.48640000000009</v>
      </c>
      <c r="P187" s="13">
        <f t="shared" si="141"/>
        <v>58.974170235372476</v>
      </c>
      <c r="Q187" s="20">
        <f t="shared" si="162"/>
        <v>525.04382649327385</v>
      </c>
      <c r="R187" s="59">
        <f t="shared" si="109"/>
        <v>818.37715982660711</v>
      </c>
      <c r="S187" s="59">
        <f ca="1">AVERAGE(OFFSET($R$3,0,0,'Données projet'!$E$9+1,1))-AVERAGE(OFFSET($H$3,0,0,'Données projet'!$E$9+1,1))</f>
        <v>371.7282125501186</v>
      </c>
      <c r="T187" s="59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16.426655927722248</v>
      </c>
      <c r="AA187" s="21">
        <f>EXP(-LN(2)/25)*AA186+(1-EXP(-LN(2)/25))/(LN(2)/25)*Calculateur!V187*Calculateur!X187*VLOOKUP('Données projet'!$B$9,Paramètres!$A$1:$I$89,3,0)*0.475*44/12</f>
        <v>0.41941858550434119</v>
      </c>
      <c r="AB187" s="21">
        <f>EXP(-LN(2)/2)*AB186+(1-EXP(-LN(2)/2))/(LN(2)/2)*V187*Y187*VLOOKUP('Données projet'!$B$9,Paramètres!$A$1:$I$89,3,0)*0.475*44/12</f>
        <v>2.4938809933848869E-10</v>
      </c>
      <c r="AC187" s="22">
        <f t="shared" si="163"/>
        <v>16.84607451347598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1.7053025658242404E-13</v>
      </c>
      <c r="AJ187" s="13">
        <f>AI187*VLOOKUP('Données projet'!$B$10,Paramètres!$A$1:$I$89,3,0)*VLOOKUP('Données projet'!$B$10,Paramètres!$A$1:$I$89,5,0)</f>
        <v>7.9808160080574461E-14</v>
      </c>
      <c r="AK187" s="13">
        <f t="shared" si="164"/>
        <v>1.2308384591775343E-12</v>
      </c>
      <c r="AL187" s="20">
        <f t="shared" si="165"/>
        <v>2.282709528541206E-12</v>
      </c>
      <c r="AM187" s="59">
        <f t="shared" si="113"/>
        <v>293.33333333333559</v>
      </c>
      <c r="AN187" s="59">
        <f ca="1">AVERAGE(OFFSET($AM$3,0,0,'Données projet'!$E$10+1,1))-AVERAGE(OFFSET($H$3,0,0,'Données projet'!$E$10+1,1))</f>
        <v>218.32525311070435</v>
      </c>
      <c r="AO187" s="59">
        <f t="shared" si="144"/>
        <v>275.36315264099204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7.482300365598241</v>
      </c>
      <c r="AV187" s="21">
        <f>EXP(-LN(2)/25)*AV186+(1-EXP(-LN(2)/25))/(LN(2)/25)*Calculateur!AQ187*Calculateur!AS187*VLOOKUP('Données projet'!$B$10,Paramètres!$A$1:$I$89,3,0)*0.475*44/12</f>
        <v>1.2094069895443438</v>
      </c>
      <c r="AW187" s="21">
        <f>EXP(-LN(2)/2)*AW186+(1-EXP(-LN(2)/2))/(LN(2)/2)*AQ187*AT187*VLOOKUP('Données projet'!$B$10,Paramètres!$A$1:$I$89,3,0)*0.475*44/12</f>
        <v>1.4150797681934224E-17</v>
      </c>
      <c r="AX187" s="21">
        <f t="shared" si="166"/>
        <v>8.6917073551425847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343</v>
      </c>
      <c r="BE187" s="13">
        <f>BD187*VLOOKUP('Données projet'!$B$11,Paramètres!$A$1:$I$89,3,0)*VLOOKUP('Données projet'!$B$11,Paramètres!$A$1:$I$89,5,0)</f>
        <v>326.39879999999999</v>
      </c>
      <c r="BF187" s="13">
        <f t="shared" si="167"/>
        <v>76.683210401884097</v>
      </c>
      <c r="BG187" s="20">
        <f t="shared" si="168"/>
        <v>702.03450144994804</v>
      </c>
      <c r="BH187" s="59">
        <f t="shared" si="116"/>
        <v>995.3678347832813</v>
      </c>
      <c r="BI187" s="59">
        <f ca="1">AVERAGE(OFFSET($BH$3,0,0,'Données projet'!$E$11+1,1))-AVERAGE(OFFSET($H$3,0,0,'Données projet'!$E$11+1,1))</f>
        <v>446.62872871405051</v>
      </c>
      <c r="BJ187" s="59">
        <f t="shared" si="146"/>
        <v>471.28934889691658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6.2236129661947412</v>
      </c>
      <c r="BQ187" s="21">
        <f>EXP(-LN(2)/25)*BQ186+(1-EXP(-LN(2)/25))/(LN(2)/25)*Calculateur!BL187*Calculateur!BN187*VLOOKUP('Données projet'!$B$11,Paramètres!$A$1:$I$89,3,0)*0.475*44/12</f>
        <v>0.14252528813524309</v>
      </c>
      <c r="BR187" s="21">
        <f>EXP(-LN(2)/2)*BR186+(1-EXP(-LN(2)/2))/(LN(2)/2)*BL187*BO187*VLOOKUP('Données projet'!$B$11,Paramètres!$A$1:$I$89,3,0)*0.475*44/12</f>
        <v>1.1889318992233042E-17</v>
      </c>
      <c r="BS187" s="22">
        <f t="shared" si="169"/>
        <v>6.366138254329984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991.00000000000011</v>
      </c>
      <c r="BZ187" s="13">
        <f>BY187*VLOOKUP('Données projet'!$B$12,Paramètres!$A$1:$I$89,3,0)*VLOOKUP('Données projet'!$B$12,Paramètres!$A$1:$I$89,5,0)</f>
        <v>438.02200000000011</v>
      </c>
      <c r="CA187" s="13">
        <f t="shared" si="170"/>
        <v>99.443834741543355</v>
      </c>
      <c r="CB187" s="20">
        <f t="shared" si="171"/>
        <v>936.08632884152132</v>
      </c>
      <c r="CC187" s="59">
        <f t="shared" si="119"/>
        <v>1229.4196621748547</v>
      </c>
      <c r="CD187" s="59">
        <f ca="1">AVERAGE(OFFSET($CC$3,0,0,'Données projet'!$E$12+1,1))-AVERAGE(OFFSET($H$3,0,0,'Données projet'!$E$12+1,1))</f>
        <v>534.99316143569899</v>
      </c>
      <c r="CE187" s="59">
        <f t="shared" si="148"/>
        <v>449.56965858934262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8.9399238342376535</v>
      </c>
      <c r="CL187" s="21">
        <f>EXP(-LN(2)/25)*CL186+(1-EXP(-LN(2)/25))/(LN(2)/25)*Calculateur!CG187*Calculateur!CI187*VLOOKUP('Données projet'!$B$12,Paramètres!$A$1:$I$89,3,0)*0.475*44/12</f>
        <v>1.792396886085615</v>
      </c>
      <c r="CM187" s="21">
        <f>EXP(-LN(2)/2)*CM186+(1-EXP(-LN(2)/2))/(LN(2)/2)*CG187*CJ187*VLOOKUP('Données projet'!$B$12,Paramètres!$A$1:$I$89,3,0)*0.475*44/12</f>
        <v>6.0535051410100432E-16</v>
      </c>
      <c r="CN187" s="22">
        <f t="shared" si="172"/>
        <v>10.732320720323269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251.00000000000006</v>
      </c>
      <c r="CU187" s="17">
        <f>CT187*VLOOKUP('Données projet'!$B$13,Paramètres!$A$1:$I$89,3,0)*VLOOKUP('Données projet'!$B$13,Paramètres!$A$1:$I$89,5,0)</f>
        <v>285.83880000000011</v>
      </c>
      <c r="CV187" s="13">
        <f t="shared" si="173"/>
        <v>68.199429147498265</v>
      </c>
      <c r="CW187" s="20">
        <f t="shared" si="174"/>
        <v>616.61658243189299</v>
      </c>
      <c r="CX187" s="59">
        <f t="shared" si="122"/>
        <v>909.94991576522625</v>
      </c>
      <c r="CY187" s="59">
        <f ca="1">AVERAGE(OFFSET($CX$3,0,0,'Données projet'!$E$13+1,1))-AVERAGE(OFFSET($H$3,0,0,'Données projet'!$E$13+1,1))</f>
        <v>389.89050053480827</v>
      </c>
      <c r="CZ187" s="59">
        <f t="shared" si="150"/>
        <v>216.40816051909616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3.8555845329589218</v>
      </c>
      <c r="DG187" s="21">
        <f>EXP(-LN(2)/25)*DG186+(1-EXP(-LN(2)/25))/(LN(2)/25)*Calculateur!DB187*Calculateur!DD187*VLOOKUP('Données projet'!$B$13,Paramètres!$A$1:$I$89,3,0)*0.475*44/12</f>
        <v>0.2425101223082454</v>
      </c>
      <c r="DH187" s="21">
        <f>EXP(-LN(2)/2)*DH186+(1-EXP(-LN(2)/2))/(LN(2)/2)*DB187*DE187*VLOOKUP('Données projet'!$B$13,Paramètres!$A$1:$I$89,3,0)*0.475*44/12</f>
        <v>1.4597111277934332E-10</v>
      </c>
      <c r="DI187" s="22">
        <f t="shared" si="175"/>
        <v>4.0980946554131386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268.00000000000011</v>
      </c>
      <c r="O188" s="13">
        <f>N188*VLOOKUP('Données projet'!$B$9,Paramètres!$A$1:$I$89,3,0)*VLOOKUP('Données projet'!$B$9,Paramètres!$A$1:$I$89,5,0)</f>
        <v>242.48640000000009</v>
      </c>
      <c r="P188" s="13">
        <f t="shared" si="141"/>
        <v>58.974170235372476</v>
      </c>
      <c r="Q188" s="20">
        <f t="shared" si="162"/>
        <v>525.04382649327385</v>
      </c>
      <c r="R188" s="59">
        <f t="shared" si="109"/>
        <v>818.37715982660711</v>
      </c>
      <c r="S188" s="59">
        <f ca="1">AVERAGE(OFFSET($R$3,0,0,'Données projet'!$E$9+1,1))-AVERAGE(OFFSET($H$3,0,0,'Données projet'!$E$9+1,1))</f>
        <v>371.7282125501186</v>
      </c>
      <c r="T188" s="59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16.104539224250409</v>
      </c>
      <c r="AA188" s="21">
        <f>EXP(-LN(2)/25)*AA187+(1-EXP(-LN(2)/25))/(LN(2)/25)*Calculateur!V188*Calculateur!X188*VLOOKUP('Données projet'!$B$9,Paramètres!$A$1:$I$89,3,0)*0.475*44/12</f>
        <v>0.40794956222746015</v>
      </c>
      <c r="AB188" s="21">
        <f>EXP(-LN(2)/2)*AB187+(1-EXP(-LN(2)/2))/(LN(2)/2)*V188*Y188*VLOOKUP('Données projet'!$B$9,Paramètres!$A$1:$I$89,3,0)*0.475*44/12</f>
        <v>1.763440161894697E-10</v>
      </c>
      <c r="AC188" s="22">
        <f t="shared" si="163"/>
        <v>16.512488786654213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1.7053025658242404E-13</v>
      </c>
      <c r="AJ188" s="13">
        <f>AI188*VLOOKUP('Données projet'!$B$10,Paramètres!$A$1:$I$89,3,0)*VLOOKUP('Données projet'!$B$10,Paramètres!$A$1:$I$89,5,0)</f>
        <v>7.9808160080574461E-14</v>
      </c>
      <c r="AK188" s="13">
        <f t="shared" si="164"/>
        <v>1.2308384591775343E-12</v>
      </c>
      <c r="AL188" s="20">
        <f t="shared" si="165"/>
        <v>2.282709528541206E-12</v>
      </c>
      <c r="AM188" s="59">
        <f t="shared" si="113"/>
        <v>293.33333333333559</v>
      </c>
      <c r="AN188" s="59">
        <f ca="1">AVERAGE(OFFSET($AM$3,0,0,'Données projet'!$E$10+1,1))-AVERAGE(OFFSET($H$3,0,0,'Données projet'!$E$10+1,1))</f>
        <v>218.32525311070435</v>
      </c>
      <c r="AO188" s="59">
        <f t="shared" si="144"/>
        <v>275.36315264099204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7.3355770191814491</v>
      </c>
      <c r="AV188" s="21">
        <f>EXP(-LN(2)/25)*AV187+(1-EXP(-LN(2)/25))/(LN(2)/25)*Calculateur!AQ188*Calculateur!AS188*VLOOKUP('Données projet'!$B$10,Paramètres!$A$1:$I$89,3,0)*0.475*44/12</f>
        <v>1.1763356918153043</v>
      </c>
      <c r="AW188" s="21">
        <f>EXP(-LN(2)/2)*AW187+(1-EXP(-LN(2)/2))/(LN(2)/2)*AQ188*AT188*VLOOKUP('Données projet'!$B$10,Paramètres!$A$1:$I$89,3,0)*0.475*44/12</f>
        <v>1.0006125000094567E-17</v>
      </c>
      <c r="AX188" s="21">
        <f t="shared" si="166"/>
        <v>8.5119127109967536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343</v>
      </c>
      <c r="BE188" s="13">
        <f>BD188*VLOOKUP('Données projet'!$B$11,Paramètres!$A$1:$I$89,3,0)*VLOOKUP('Données projet'!$B$11,Paramètres!$A$1:$I$89,5,0)</f>
        <v>326.39879999999999</v>
      </c>
      <c r="BF188" s="13">
        <f t="shared" si="167"/>
        <v>76.683210401884097</v>
      </c>
      <c r="BG188" s="20">
        <f t="shared" si="168"/>
        <v>702.03450144994804</v>
      </c>
      <c r="BH188" s="59">
        <f t="shared" si="116"/>
        <v>995.3678347832813</v>
      </c>
      <c r="BI188" s="59">
        <f ca="1">AVERAGE(OFFSET($BH$3,0,0,'Données projet'!$E$11+1,1))-AVERAGE(OFFSET($H$3,0,0,'Données projet'!$E$11+1,1))</f>
        <v>446.62872871405051</v>
      </c>
      <c r="BJ188" s="59">
        <f t="shared" si="146"/>
        <v>471.28934889691658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6.101571711956745</v>
      </c>
      <c r="BQ188" s="21">
        <f>EXP(-LN(2)/25)*BQ187+(1-EXP(-LN(2)/25))/(LN(2)/25)*Calculateur!BL188*Calculateur!BN188*VLOOKUP('Données projet'!$B$11,Paramètres!$A$1:$I$89,3,0)*0.475*44/12</f>
        <v>0.13862792663610571</v>
      </c>
      <c r="BR188" s="21">
        <f>EXP(-LN(2)/2)*BR187+(1-EXP(-LN(2)/2))/(LN(2)/2)*BL188*BO188*VLOOKUP('Données projet'!$B$11,Paramètres!$A$1:$I$89,3,0)*0.475*44/12</f>
        <v>8.4070180830979935E-18</v>
      </c>
      <c r="BS188" s="22">
        <f t="shared" si="169"/>
        <v>6.2401996385928511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991.00000000000011</v>
      </c>
      <c r="BZ188" s="13">
        <f>BY188*VLOOKUP('Données projet'!$B$12,Paramètres!$A$1:$I$89,3,0)*VLOOKUP('Données projet'!$B$12,Paramètres!$A$1:$I$89,5,0)</f>
        <v>438.02200000000011</v>
      </c>
      <c r="CA188" s="13">
        <f t="shared" si="170"/>
        <v>99.443834741543355</v>
      </c>
      <c r="CB188" s="20">
        <f t="shared" si="171"/>
        <v>936.08632884152132</v>
      </c>
      <c r="CC188" s="59">
        <f t="shared" si="119"/>
        <v>1229.4196621748547</v>
      </c>
      <c r="CD188" s="59">
        <f ca="1">AVERAGE(OFFSET($CC$3,0,0,'Données projet'!$E$12+1,1))-AVERAGE(OFFSET($H$3,0,0,'Données projet'!$E$12+1,1))</f>
        <v>534.99316143569899</v>
      </c>
      <c r="CE188" s="59">
        <f t="shared" si="148"/>
        <v>449.56965858934262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8.7646173806633705</v>
      </c>
      <c r="CL188" s="21">
        <f>EXP(-LN(2)/25)*CL187+(1-EXP(-LN(2)/25))/(LN(2)/25)*Calculateur!CG188*Calculateur!CI188*VLOOKUP('Données projet'!$B$12,Paramètres!$A$1:$I$89,3,0)*0.475*44/12</f>
        <v>1.7433836989775482</v>
      </c>
      <c r="CM188" s="21">
        <f>EXP(-LN(2)/2)*CM187+(1-EXP(-LN(2)/2))/(LN(2)/2)*CG188*CJ188*VLOOKUP('Données projet'!$B$12,Paramètres!$A$1:$I$89,3,0)*0.475*44/12</f>
        <v>4.2804745351558292E-16</v>
      </c>
      <c r="CN188" s="22">
        <f t="shared" si="172"/>
        <v>10.508001079640918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251.00000000000006</v>
      </c>
      <c r="CU188" s="17">
        <f>CT188*VLOOKUP('Données projet'!$B$13,Paramètres!$A$1:$I$89,3,0)*VLOOKUP('Données projet'!$B$13,Paramètres!$A$1:$I$89,5,0)</f>
        <v>285.83880000000011</v>
      </c>
      <c r="CV188" s="13">
        <f t="shared" si="173"/>
        <v>68.199429147498265</v>
      </c>
      <c r="CW188" s="20">
        <f t="shared" si="174"/>
        <v>616.61658243189299</v>
      </c>
      <c r="CX188" s="59">
        <f t="shared" si="122"/>
        <v>909.94991576522625</v>
      </c>
      <c r="CY188" s="59">
        <f ca="1">AVERAGE(OFFSET($CX$3,0,0,'Données projet'!$E$13+1,1))-AVERAGE(OFFSET($H$3,0,0,'Données projet'!$E$13+1,1))</f>
        <v>389.89050053480827</v>
      </c>
      <c r="CZ188" s="59">
        <f t="shared" si="150"/>
        <v>216.40816051909616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3.779978871941954</v>
      </c>
      <c r="DG188" s="21">
        <f>EXP(-LN(2)/25)*DG187+(1-EXP(-LN(2)/25))/(LN(2)/25)*Calculateur!DB188*Calculateur!DD188*VLOOKUP('Données projet'!$B$13,Paramètres!$A$1:$I$89,3,0)*0.475*44/12</f>
        <v>0.23587867026067336</v>
      </c>
      <c r="DH188" s="21">
        <f>EXP(-LN(2)/2)*DH187+(1-EXP(-LN(2)/2))/(LN(2)/2)*DB188*DE188*VLOOKUP('Données projet'!$B$13,Paramètres!$A$1:$I$89,3,0)*0.475*44/12</f>
        <v>1.0321716370361997E-10</v>
      </c>
      <c r="DI188" s="22">
        <f t="shared" si="175"/>
        <v>4.0158575423058442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268.00000000000011</v>
      </c>
      <c r="O189" s="13">
        <f>N189*VLOOKUP('Données projet'!$B$9,Paramètres!$A$1:$I$89,3,0)*VLOOKUP('Données projet'!$B$9,Paramètres!$A$1:$I$89,5,0)</f>
        <v>242.48640000000009</v>
      </c>
      <c r="P189" s="13">
        <f t="shared" si="141"/>
        <v>58.974170235372476</v>
      </c>
      <c r="Q189" s="20">
        <f t="shared" si="162"/>
        <v>525.04382649327385</v>
      </c>
      <c r="R189" s="59">
        <f t="shared" si="109"/>
        <v>818.37715982660711</v>
      </c>
      <c r="S189" s="59">
        <f ca="1">AVERAGE(OFFSET($R$3,0,0,'Données projet'!$E$9+1,1))-AVERAGE(OFFSET($H$3,0,0,'Données projet'!$E$9+1,1))</f>
        <v>371.7282125501186</v>
      </c>
      <c r="T189" s="59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15.788739032861864</v>
      </c>
      <c r="AA189" s="21">
        <f>EXP(-LN(2)/25)*AA188+(1-EXP(-LN(2)/25))/(LN(2)/25)*Calculateur!V189*Calculateur!X189*VLOOKUP('Données projet'!$B$9,Paramètres!$A$1:$I$89,3,0)*0.475*44/12</f>
        <v>0.39679415999521517</v>
      </c>
      <c r="AB189" s="21">
        <f>EXP(-LN(2)/2)*AB188+(1-EXP(-LN(2)/2))/(LN(2)/2)*V189*Y189*VLOOKUP('Données projet'!$B$9,Paramètres!$A$1:$I$89,3,0)*0.475*44/12</f>
        <v>1.2469404966924435E-10</v>
      </c>
      <c r="AC189" s="22">
        <f t="shared" si="163"/>
        <v>16.185533192981772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1.7053025658242404E-13</v>
      </c>
      <c r="AJ189" s="13">
        <f>AI189*VLOOKUP('Données projet'!$B$10,Paramètres!$A$1:$I$89,3,0)*VLOOKUP('Données projet'!$B$10,Paramètres!$A$1:$I$89,5,0)</f>
        <v>7.9808160080574461E-14</v>
      </c>
      <c r="AK189" s="13">
        <f t="shared" si="164"/>
        <v>1.2308384591775343E-12</v>
      </c>
      <c r="AL189" s="20">
        <f t="shared" si="165"/>
        <v>2.282709528541206E-12</v>
      </c>
      <c r="AM189" s="59">
        <f t="shared" si="113"/>
        <v>293.33333333333559</v>
      </c>
      <c r="AN189" s="59">
        <f ca="1">AVERAGE(OFFSET($AM$3,0,0,'Données projet'!$E$10+1,1))-AVERAGE(OFFSET($H$3,0,0,'Données projet'!$E$10+1,1))</f>
        <v>218.32525311070435</v>
      </c>
      <c r="AO189" s="59">
        <f t="shared" si="144"/>
        <v>275.36315264099204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7.1917308280954861</v>
      </c>
      <c r="AV189" s="21">
        <f>EXP(-LN(2)/25)*AV188+(1-EXP(-LN(2)/25))/(LN(2)/25)*Calculateur!AQ189*Calculateur!AS189*VLOOKUP('Données projet'!$B$10,Paramètres!$A$1:$I$89,3,0)*0.475*44/12</f>
        <v>1.1441687304618093</v>
      </c>
      <c r="AW189" s="21">
        <f>EXP(-LN(2)/2)*AW188+(1-EXP(-LN(2)/2))/(LN(2)/2)*AQ189*AT189*VLOOKUP('Données projet'!$B$10,Paramètres!$A$1:$I$89,3,0)*0.475*44/12</f>
        <v>7.075398840967112E-18</v>
      </c>
      <c r="AX189" s="21">
        <f t="shared" si="166"/>
        <v>8.3358995585572959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343</v>
      </c>
      <c r="BE189" s="13">
        <f>BD189*VLOOKUP('Données projet'!$B$11,Paramètres!$A$1:$I$89,3,0)*VLOOKUP('Données projet'!$B$11,Paramètres!$A$1:$I$89,5,0)</f>
        <v>326.39879999999999</v>
      </c>
      <c r="BF189" s="13">
        <f t="shared" si="167"/>
        <v>76.683210401884097</v>
      </c>
      <c r="BG189" s="20">
        <f t="shared" si="168"/>
        <v>702.03450144994804</v>
      </c>
      <c r="BH189" s="59">
        <f t="shared" si="116"/>
        <v>995.3678347832813</v>
      </c>
      <c r="BI189" s="59">
        <f ca="1">AVERAGE(OFFSET($BH$3,0,0,'Données projet'!$E$11+1,1))-AVERAGE(OFFSET($H$3,0,0,'Données projet'!$E$11+1,1))</f>
        <v>446.62872871405051</v>
      </c>
      <c r="BJ189" s="59">
        <f t="shared" si="146"/>
        <v>471.28934889691658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5.9819236122765407</v>
      </c>
      <c r="BQ189" s="21">
        <f>EXP(-LN(2)/25)*BQ188+(1-EXP(-LN(2)/25))/(LN(2)/25)*Calculateur!BL189*Calculateur!BN189*VLOOKUP('Données projet'!$B$11,Paramètres!$A$1:$I$89,3,0)*0.475*44/12</f>
        <v>0.13483713869211558</v>
      </c>
      <c r="BR189" s="21">
        <f>EXP(-LN(2)/2)*BR188+(1-EXP(-LN(2)/2))/(LN(2)/2)*BL189*BO189*VLOOKUP('Données projet'!$B$11,Paramètres!$A$1:$I$89,3,0)*0.475*44/12</f>
        <v>5.9446594961165211E-18</v>
      </c>
      <c r="BS189" s="22">
        <f t="shared" si="169"/>
        <v>6.1167607509686563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991.00000000000011</v>
      </c>
      <c r="BZ189" s="13">
        <f>BY189*VLOOKUP('Données projet'!$B$12,Paramètres!$A$1:$I$89,3,0)*VLOOKUP('Données projet'!$B$12,Paramètres!$A$1:$I$89,5,0)</f>
        <v>438.02200000000011</v>
      </c>
      <c r="CA189" s="13">
        <f t="shared" si="170"/>
        <v>99.443834741543355</v>
      </c>
      <c r="CB189" s="20">
        <f t="shared" si="171"/>
        <v>936.08632884152132</v>
      </c>
      <c r="CC189" s="59">
        <f t="shared" si="119"/>
        <v>1229.4196621748547</v>
      </c>
      <c r="CD189" s="59">
        <f ca="1">AVERAGE(OFFSET($CC$3,0,0,'Données projet'!$E$12+1,1))-AVERAGE(OFFSET($H$3,0,0,'Données projet'!$E$12+1,1))</f>
        <v>534.99316143569899</v>
      </c>
      <c r="CE189" s="59">
        <f t="shared" si="148"/>
        <v>449.56965858934262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8.592748579717302</v>
      </c>
      <c r="CL189" s="21">
        <f>EXP(-LN(2)/25)*CL188+(1-EXP(-LN(2)/25))/(LN(2)/25)*Calculateur!CG189*Calculateur!CI189*VLOOKUP('Données projet'!$B$12,Paramètres!$A$1:$I$89,3,0)*0.475*44/12</f>
        <v>1.695710780048443</v>
      </c>
      <c r="CM189" s="21">
        <f>EXP(-LN(2)/2)*CM188+(1-EXP(-LN(2)/2))/(LN(2)/2)*CG189*CJ189*VLOOKUP('Données projet'!$B$12,Paramètres!$A$1:$I$89,3,0)*0.475*44/12</f>
        <v>3.0267525705050216E-16</v>
      </c>
      <c r="CN189" s="22">
        <f t="shared" si="172"/>
        <v>10.288459359765746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251.00000000000006</v>
      </c>
      <c r="CU189" s="17">
        <f>CT189*VLOOKUP('Données projet'!$B$13,Paramètres!$A$1:$I$89,3,0)*VLOOKUP('Données projet'!$B$13,Paramètres!$A$1:$I$89,5,0)</f>
        <v>285.83880000000011</v>
      </c>
      <c r="CV189" s="13">
        <f t="shared" si="173"/>
        <v>68.199429147498265</v>
      </c>
      <c r="CW189" s="20">
        <f t="shared" si="174"/>
        <v>616.61658243189299</v>
      </c>
      <c r="CX189" s="59">
        <f t="shared" si="122"/>
        <v>909.94991576522625</v>
      </c>
      <c r="CY189" s="59">
        <f ca="1">AVERAGE(OFFSET($CX$3,0,0,'Données projet'!$E$13+1,1))-AVERAGE(OFFSET($H$3,0,0,'Données projet'!$E$13+1,1))</f>
        <v>389.89050053480827</v>
      </c>
      <c r="CZ189" s="59">
        <f t="shared" si="150"/>
        <v>216.40816051909616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3.7058557918226289</v>
      </c>
      <c r="DG189" s="21">
        <f>EXP(-LN(2)/25)*DG188+(1-EXP(-LN(2)/25))/(LN(2)/25)*Calculateur!DB189*Calculateur!DD189*VLOOKUP('Données projet'!$B$13,Paramètres!$A$1:$I$89,3,0)*0.475*44/12</f>
        <v>0.22942855561807507</v>
      </c>
      <c r="DH189" s="21">
        <f>EXP(-LN(2)/2)*DH188+(1-EXP(-LN(2)/2))/(LN(2)/2)*DB189*DE189*VLOOKUP('Données projet'!$B$13,Paramètres!$A$1:$I$89,3,0)*0.475*44/12</f>
        <v>7.298555638967166E-11</v>
      </c>
      <c r="DI189" s="22">
        <f t="shared" si="175"/>
        <v>3.9352843475136896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268.00000000000011</v>
      </c>
      <c r="O190" s="13">
        <f>N190*VLOOKUP('Données projet'!$B$9,Paramètres!$A$1:$I$89,3,0)*VLOOKUP('Données projet'!$B$9,Paramètres!$A$1:$I$89,5,0)</f>
        <v>242.48640000000009</v>
      </c>
      <c r="P190" s="13">
        <f t="shared" si="141"/>
        <v>58.974170235372476</v>
      </c>
      <c r="Q190" s="20">
        <f t="shared" si="162"/>
        <v>525.04382649327385</v>
      </c>
      <c r="R190" s="59">
        <f t="shared" si="109"/>
        <v>818.37715982660711</v>
      </c>
      <c r="S190" s="59">
        <f ca="1">AVERAGE(OFFSET($R$3,0,0,'Données projet'!$E$9+1,1))-AVERAGE(OFFSET($H$3,0,0,'Données projet'!$E$9+1,1))</f>
        <v>371.7282125501186</v>
      </c>
      <c r="T190" s="59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15.479131490607351</v>
      </c>
      <c r="AA190" s="21">
        <f>EXP(-LN(2)/25)*AA189+(1-EXP(-LN(2)/25))/(LN(2)/25)*Calculateur!V190*Calculateur!X190*VLOOKUP('Données projet'!$B$9,Paramètres!$A$1:$I$89,3,0)*0.475*44/12</f>
        <v>0.38594380282364804</v>
      </c>
      <c r="AB190" s="21">
        <f>EXP(-LN(2)/2)*AB189+(1-EXP(-LN(2)/2))/(LN(2)/2)*V190*Y190*VLOOKUP('Données projet'!$B$9,Paramètres!$A$1:$I$89,3,0)*0.475*44/12</f>
        <v>8.817200809473485E-11</v>
      </c>
      <c r="AC190" s="22">
        <f t="shared" si="163"/>
        <v>15.865075293519171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1.7053025658242404E-13</v>
      </c>
      <c r="AJ190" s="13">
        <f>AI190*VLOOKUP('Données projet'!$B$10,Paramètres!$A$1:$I$89,3,0)*VLOOKUP('Données projet'!$B$10,Paramètres!$A$1:$I$89,5,0)</f>
        <v>7.9808160080574461E-14</v>
      </c>
      <c r="AK190" s="13">
        <f t="shared" si="164"/>
        <v>1.2308384591775343E-12</v>
      </c>
      <c r="AL190" s="20">
        <f t="shared" si="165"/>
        <v>2.282709528541206E-12</v>
      </c>
      <c r="AM190" s="59">
        <f t="shared" si="113"/>
        <v>293.33333333333559</v>
      </c>
      <c r="AN190" s="59">
        <f ca="1">AVERAGE(OFFSET($AM$3,0,0,'Données projet'!$E$10+1,1))-AVERAGE(OFFSET($H$3,0,0,'Données projet'!$E$10+1,1))</f>
        <v>218.32525311070435</v>
      </c>
      <c r="AO190" s="59">
        <f t="shared" si="144"/>
        <v>275.36315264099204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7.0507053730792055</v>
      </c>
      <c r="AV190" s="21">
        <f>EXP(-LN(2)/25)*AV189+(1-EXP(-LN(2)/25))/(LN(2)/25)*Calculateur!AQ190*Calculateur!AS190*VLOOKUP('Données projet'!$B$10,Paramètres!$A$1:$I$89,3,0)*0.475*44/12</f>
        <v>1.1128813763581127</v>
      </c>
      <c r="AW190" s="21">
        <f>EXP(-LN(2)/2)*AW189+(1-EXP(-LN(2)/2))/(LN(2)/2)*AQ190*AT190*VLOOKUP('Données projet'!$B$10,Paramètres!$A$1:$I$89,3,0)*0.475*44/12</f>
        <v>5.0030625000472837E-18</v>
      </c>
      <c r="AX190" s="21">
        <f t="shared" si="166"/>
        <v>8.163586749437318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343</v>
      </c>
      <c r="BE190" s="13">
        <f>BD190*VLOOKUP('Données projet'!$B$11,Paramètres!$A$1:$I$89,3,0)*VLOOKUP('Données projet'!$B$11,Paramètres!$A$1:$I$89,5,0)</f>
        <v>326.39879999999999</v>
      </c>
      <c r="BF190" s="13">
        <f t="shared" si="167"/>
        <v>76.683210401884097</v>
      </c>
      <c r="BG190" s="20">
        <f t="shared" si="168"/>
        <v>702.03450144994804</v>
      </c>
      <c r="BH190" s="59">
        <f t="shared" si="116"/>
        <v>995.3678347832813</v>
      </c>
      <c r="BI190" s="59">
        <f ca="1">AVERAGE(OFFSET($BH$3,0,0,'Données projet'!$E$11+1,1))-AVERAGE(OFFSET($H$3,0,0,'Données projet'!$E$11+1,1))</f>
        <v>446.62872871405051</v>
      </c>
      <c r="BJ190" s="59">
        <f t="shared" si="146"/>
        <v>471.28934889691658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5.8646217388529305</v>
      </c>
      <c r="BQ190" s="21">
        <f>EXP(-LN(2)/25)*BQ189+(1-EXP(-LN(2)/25))/(LN(2)/25)*Calculateur!BL190*Calculateur!BN190*VLOOKUP('Données projet'!$B$11,Paramètres!$A$1:$I$89,3,0)*0.475*44/12</f>
        <v>0.13115001004380272</v>
      </c>
      <c r="BR190" s="21">
        <f>EXP(-LN(2)/2)*BR189+(1-EXP(-LN(2)/2))/(LN(2)/2)*BL190*BO190*VLOOKUP('Données projet'!$B$11,Paramètres!$A$1:$I$89,3,0)*0.475*44/12</f>
        <v>4.2035090415489967E-18</v>
      </c>
      <c r="BS190" s="22">
        <f t="shared" si="169"/>
        <v>5.9957717488967335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991.00000000000011</v>
      </c>
      <c r="BZ190" s="13">
        <f>BY190*VLOOKUP('Données projet'!$B$12,Paramètres!$A$1:$I$89,3,0)*VLOOKUP('Données projet'!$B$12,Paramètres!$A$1:$I$89,5,0)</f>
        <v>438.02200000000011</v>
      </c>
      <c r="CA190" s="13">
        <f t="shared" si="170"/>
        <v>99.443834741543355</v>
      </c>
      <c r="CB190" s="20">
        <f t="shared" si="171"/>
        <v>936.08632884152132</v>
      </c>
      <c r="CC190" s="59">
        <f t="shared" si="119"/>
        <v>1229.4196621748547</v>
      </c>
      <c r="CD190" s="59">
        <f ca="1">AVERAGE(OFFSET($CC$3,0,0,'Données projet'!$E$12+1,1))-AVERAGE(OFFSET($H$3,0,0,'Données projet'!$E$12+1,1))</f>
        <v>534.99316143569899</v>
      </c>
      <c r="CE190" s="59">
        <f t="shared" si="148"/>
        <v>449.56965858934262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8.4242500211281683</v>
      </c>
      <c r="CL190" s="21">
        <f>EXP(-LN(2)/25)*CL189+(1-EXP(-LN(2)/25))/(LN(2)/25)*Calculateur!CG190*Calculateur!CI190*VLOOKUP('Données projet'!$B$12,Paramètres!$A$1:$I$89,3,0)*0.475*44/12</f>
        <v>1.6493414795944641</v>
      </c>
      <c r="CM190" s="21">
        <f>EXP(-LN(2)/2)*CM189+(1-EXP(-LN(2)/2))/(LN(2)/2)*CG190*CJ190*VLOOKUP('Données projet'!$B$12,Paramètres!$A$1:$I$89,3,0)*0.475*44/12</f>
        <v>2.1402372675779146E-16</v>
      </c>
      <c r="CN190" s="22">
        <f t="shared" si="172"/>
        <v>10.073591500722632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251.00000000000006</v>
      </c>
      <c r="CU190" s="17">
        <f>CT190*VLOOKUP('Données projet'!$B$13,Paramètres!$A$1:$I$89,3,0)*VLOOKUP('Données projet'!$B$13,Paramètres!$A$1:$I$89,5,0)</f>
        <v>285.83880000000011</v>
      </c>
      <c r="CV190" s="13">
        <f t="shared" si="173"/>
        <v>68.199429147498265</v>
      </c>
      <c r="CW190" s="20">
        <f t="shared" si="174"/>
        <v>616.61658243189299</v>
      </c>
      <c r="CX190" s="59">
        <f t="shared" si="122"/>
        <v>909.94991576522625</v>
      </c>
      <c r="CY190" s="59">
        <f ca="1">AVERAGE(OFFSET($CX$3,0,0,'Données projet'!$E$13+1,1))-AVERAGE(OFFSET($H$3,0,0,'Données projet'!$E$13+1,1))</f>
        <v>389.89050053480827</v>
      </c>
      <c r="CZ190" s="59">
        <f t="shared" si="150"/>
        <v>216.40816051909616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3.6331862200938292</v>
      </c>
      <c r="DG190" s="21">
        <f>EXP(-LN(2)/25)*DG189+(1-EXP(-LN(2)/25))/(LN(2)/25)*Calculateur!DB190*Calculateur!DD190*VLOOKUP('Données projet'!$B$13,Paramètres!$A$1:$I$89,3,0)*0.475*44/12</f>
        <v>0.22315481969957543</v>
      </c>
      <c r="DH190" s="21">
        <f>EXP(-LN(2)/2)*DH189+(1-EXP(-LN(2)/2))/(LN(2)/2)*DB190*DE190*VLOOKUP('Données projet'!$B$13,Paramètres!$A$1:$I$89,3,0)*0.475*44/12</f>
        <v>5.1608581851809985E-11</v>
      </c>
      <c r="DI190" s="22">
        <f t="shared" si="175"/>
        <v>3.8563410398450131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268.00000000000011</v>
      </c>
      <c r="O191" s="13">
        <f>N191*VLOOKUP('Données projet'!$B$9,Paramètres!$A$1:$I$89,3,0)*VLOOKUP('Données projet'!$B$9,Paramètres!$A$1:$I$89,5,0)</f>
        <v>242.48640000000009</v>
      </c>
      <c r="P191" s="13">
        <f t="shared" si="141"/>
        <v>58.974170235372476</v>
      </c>
      <c r="Q191" s="20">
        <f t="shared" si="162"/>
        <v>525.04382649327385</v>
      </c>
      <c r="R191" s="59">
        <f t="shared" si="109"/>
        <v>818.37715982660711</v>
      </c>
      <c r="S191" s="59">
        <f ca="1">AVERAGE(OFFSET($R$3,0,0,'Données projet'!$E$9+1,1))-AVERAGE(OFFSET($H$3,0,0,'Données projet'!$E$9+1,1))</f>
        <v>371.7282125501186</v>
      </c>
      <c r="T191" s="59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15.175595163414496</v>
      </c>
      <c r="AA191" s="21">
        <f>EXP(-LN(2)/25)*AA190+(1-EXP(-LN(2)/25))/(LN(2)/25)*Calculateur!V191*Calculateur!X191*VLOOKUP('Données projet'!$B$9,Paramètres!$A$1:$I$89,3,0)*0.475*44/12</f>
        <v>0.3753901492395329</v>
      </c>
      <c r="AB191" s="21">
        <f>EXP(-LN(2)/2)*AB190+(1-EXP(-LN(2)/2))/(LN(2)/2)*V191*Y191*VLOOKUP('Données projet'!$B$9,Paramètres!$A$1:$I$89,3,0)*0.475*44/12</f>
        <v>6.2347024834622173E-11</v>
      </c>
      <c r="AC191" s="22">
        <f t="shared" si="163"/>
        <v>15.550985312716374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1.7053025658242404E-13</v>
      </c>
      <c r="AJ191" s="13">
        <f>AI191*VLOOKUP('Données projet'!$B$10,Paramètres!$A$1:$I$89,3,0)*VLOOKUP('Données projet'!$B$10,Paramètres!$A$1:$I$89,5,0)</f>
        <v>7.9808160080574461E-14</v>
      </c>
      <c r="AK191" s="13">
        <f t="shared" si="164"/>
        <v>1.2308384591775343E-12</v>
      </c>
      <c r="AL191" s="20">
        <f t="shared" si="165"/>
        <v>2.282709528541206E-12</v>
      </c>
      <c r="AM191" s="59">
        <f t="shared" si="113"/>
        <v>293.33333333333559</v>
      </c>
      <c r="AN191" s="59">
        <f ca="1">AVERAGE(OFFSET($AM$3,0,0,'Données projet'!$E$10+1,1))-AVERAGE(OFFSET($H$3,0,0,'Données projet'!$E$10+1,1))</f>
        <v>218.32525311070435</v>
      </c>
      <c r="AO191" s="59">
        <f t="shared" si="144"/>
        <v>275.36315264099204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6.9124453412187599</v>
      </c>
      <c r="AV191" s="21">
        <f>EXP(-LN(2)/25)*AV190+(1-EXP(-LN(2)/25))/(LN(2)/25)*Calculateur!AQ191*Calculateur!AS191*VLOOKUP('Données projet'!$B$10,Paramètres!$A$1:$I$89,3,0)*0.475*44/12</f>
        <v>1.082449576597712</v>
      </c>
      <c r="AW191" s="21">
        <f>EXP(-LN(2)/2)*AW190+(1-EXP(-LN(2)/2))/(LN(2)/2)*AQ191*AT191*VLOOKUP('Données projet'!$B$10,Paramètres!$A$1:$I$89,3,0)*0.475*44/12</f>
        <v>3.537699420483556E-18</v>
      </c>
      <c r="AX191" s="21">
        <f t="shared" si="166"/>
        <v>7.9948949178164721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343</v>
      </c>
      <c r="BE191" s="13">
        <f>BD191*VLOOKUP('Données projet'!$B$11,Paramètres!$A$1:$I$89,3,0)*VLOOKUP('Données projet'!$B$11,Paramètres!$A$1:$I$89,5,0)</f>
        <v>326.39879999999999</v>
      </c>
      <c r="BF191" s="13">
        <f t="shared" si="167"/>
        <v>76.683210401884097</v>
      </c>
      <c r="BG191" s="20">
        <f t="shared" si="168"/>
        <v>702.03450144994804</v>
      </c>
      <c r="BH191" s="59">
        <f t="shared" si="116"/>
        <v>995.3678347832813</v>
      </c>
      <c r="BI191" s="59">
        <f ca="1">AVERAGE(OFFSET($BH$3,0,0,'Données projet'!$E$11+1,1))-AVERAGE(OFFSET($H$3,0,0,'Données projet'!$E$11+1,1))</f>
        <v>446.62872871405051</v>
      </c>
      <c r="BJ191" s="59">
        <f t="shared" si="146"/>
        <v>471.28934889691658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5.749620083620079</v>
      </c>
      <c r="BQ191" s="21">
        <f>EXP(-LN(2)/25)*BQ190+(1-EXP(-LN(2)/25))/(LN(2)/25)*Calculateur!BL191*Calculateur!BN191*VLOOKUP('Données projet'!$B$11,Paramètres!$A$1:$I$89,3,0)*0.475*44/12</f>
        <v>0.12756370612227566</v>
      </c>
      <c r="BR191" s="21">
        <f>EXP(-LN(2)/2)*BR190+(1-EXP(-LN(2)/2))/(LN(2)/2)*BL191*BO191*VLOOKUP('Données projet'!$B$11,Paramètres!$A$1:$I$89,3,0)*0.475*44/12</f>
        <v>2.9723297480582606E-18</v>
      </c>
      <c r="BS191" s="22">
        <f t="shared" si="169"/>
        <v>5.8771837897423547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991.00000000000011</v>
      </c>
      <c r="BZ191" s="13">
        <f>BY191*VLOOKUP('Données projet'!$B$12,Paramètres!$A$1:$I$89,3,0)*VLOOKUP('Données projet'!$B$12,Paramètres!$A$1:$I$89,5,0)</f>
        <v>438.02200000000011</v>
      </c>
      <c r="CA191" s="13">
        <f t="shared" si="170"/>
        <v>99.443834741543355</v>
      </c>
      <c r="CB191" s="20">
        <f t="shared" si="171"/>
        <v>936.08632884152132</v>
      </c>
      <c r="CC191" s="59">
        <f t="shared" si="119"/>
        <v>1229.4196621748547</v>
      </c>
      <c r="CD191" s="59">
        <f ca="1">AVERAGE(OFFSET($CC$3,0,0,'Données projet'!$E$12+1,1))-AVERAGE(OFFSET($H$3,0,0,'Données projet'!$E$12+1,1))</f>
        <v>534.99316143569899</v>
      </c>
      <c r="CE191" s="59">
        <f t="shared" si="148"/>
        <v>449.56965858934262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8.2590556164989941</v>
      </c>
      <c r="CL191" s="21">
        <f>EXP(-LN(2)/25)*CL190+(1-EXP(-LN(2)/25))/(LN(2)/25)*Calculateur!CG191*Calculateur!CI191*VLOOKUP('Données projet'!$B$12,Paramètres!$A$1:$I$89,3,0)*0.475*44/12</f>
        <v>1.6042401500998547</v>
      </c>
      <c r="CM191" s="21">
        <f>EXP(-LN(2)/2)*CM190+(1-EXP(-LN(2)/2))/(LN(2)/2)*CG191*CJ191*VLOOKUP('Données projet'!$B$12,Paramètres!$A$1:$I$89,3,0)*0.475*44/12</f>
        <v>1.5133762852525108E-16</v>
      </c>
      <c r="CN191" s="22">
        <f t="shared" si="172"/>
        <v>9.8632957665988492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251.00000000000006</v>
      </c>
      <c r="CU191" s="17">
        <f>CT191*VLOOKUP('Données projet'!$B$13,Paramètres!$A$1:$I$89,3,0)*VLOOKUP('Données projet'!$B$13,Paramètres!$A$1:$I$89,5,0)</f>
        <v>285.83880000000011</v>
      </c>
      <c r="CV191" s="13">
        <f t="shared" si="173"/>
        <v>68.199429147498265</v>
      </c>
      <c r="CW191" s="20">
        <f t="shared" si="174"/>
        <v>616.61658243189299</v>
      </c>
      <c r="CX191" s="59">
        <f t="shared" si="122"/>
        <v>909.94991576522625</v>
      </c>
      <c r="CY191" s="59">
        <f ca="1">AVERAGE(OFFSET($CX$3,0,0,'Données projet'!$E$13+1,1))-AVERAGE(OFFSET($H$3,0,0,'Données projet'!$E$13+1,1))</f>
        <v>389.89050053480827</v>
      </c>
      <c r="CZ191" s="59">
        <f t="shared" si="150"/>
        <v>216.40816051909616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3.561941654342569</v>
      </c>
      <c r="DG191" s="21">
        <f>EXP(-LN(2)/25)*DG190+(1-EXP(-LN(2)/25))/(LN(2)/25)*Calculateur!DB191*Calculateur!DD191*VLOOKUP('Données projet'!$B$13,Paramètres!$A$1:$I$89,3,0)*0.475*44/12</f>
        <v>0.21705263941968861</v>
      </c>
      <c r="DH191" s="21">
        <f>EXP(-LN(2)/2)*DH190+(1-EXP(-LN(2)/2))/(LN(2)/2)*DB191*DE191*VLOOKUP('Données projet'!$B$13,Paramètres!$A$1:$I$89,3,0)*0.475*44/12</f>
        <v>3.649277819483583E-11</v>
      </c>
      <c r="DI191" s="22">
        <f t="shared" si="175"/>
        <v>3.7789942937987502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268.00000000000011</v>
      </c>
      <c r="O192" s="13">
        <f>N192*VLOOKUP('Données projet'!$B$9,Paramètres!$A$1:$I$89,3,0)*VLOOKUP('Données projet'!$B$9,Paramètres!$A$1:$I$89,5,0)</f>
        <v>242.48640000000009</v>
      </c>
      <c r="P192" s="13">
        <f t="shared" si="141"/>
        <v>58.974170235372476</v>
      </c>
      <c r="Q192" s="20">
        <f t="shared" si="162"/>
        <v>525.04382649327385</v>
      </c>
      <c r="R192" s="59">
        <f t="shared" si="109"/>
        <v>818.37715982660711</v>
      </c>
      <c r="S192" s="59">
        <f ca="1">AVERAGE(OFFSET($R$3,0,0,'Données projet'!$E$9+1,1))-AVERAGE(OFFSET($H$3,0,0,'Données projet'!$E$9+1,1))</f>
        <v>371.7282125501186</v>
      </c>
      <c r="T192" s="59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14.878010998459013</v>
      </c>
      <c r="AA192" s="21">
        <f>EXP(-LN(2)/25)*AA191+(1-EXP(-LN(2)/25))/(LN(2)/25)*Calculateur!V192*Calculateur!X192*VLOOKUP('Données projet'!$B$9,Paramètres!$A$1:$I$89,3,0)*0.475*44/12</f>
        <v>0.3651250858676679</v>
      </c>
      <c r="AB192" s="21">
        <f>EXP(-LN(2)/2)*AB191+(1-EXP(-LN(2)/2))/(LN(2)/2)*V192*Y192*VLOOKUP('Données projet'!$B$9,Paramètres!$A$1:$I$89,3,0)*0.475*44/12</f>
        <v>4.4086004047367425E-11</v>
      </c>
      <c r="AC192" s="22">
        <f t="shared" si="163"/>
        <v>15.243136084370766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1.7053025658242404E-13</v>
      </c>
      <c r="AJ192" s="13">
        <f>AI192*VLOOKUP('Données projet'!$B$10,Paramètres!$A$1:$I$89,3,0)*VLOOKUP('Données projet'!$B$10,Paramètres!$A$1:$I$89,5,0)</f>
        <v>7.9808160080574461E-14</v>
      </c>
      <c r="AK192" s="13">
        <f t="shared" si="164"/>
        <v>1.2308384591775343E-12</v>
      </c>
      <c r="AL192" s="20">
        <f t="shared" si="165"/>
        <v>2.282709528541206E-12</v>
      </c>
      <c r="AM192" s="59">
        <f t="shared" si="113"/>
        <v>293.33333333333559</v>
      </c>
      <c r="AN192" s="59">
        <f ca="1">AVERAGE(OFFSET($AM$3,0,0,'Données projet'!$E$10+1,1))-AVERAGE(OFFSET($H$3,0,0,'Données projet'!$E$10+1,1))</f>
        <v>218.32525311070435</v>
      </c>
      <c r="AO192" s="59">
        <f t="shared" si="144"/>
        <v>275.36315264099204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6.7768965042528055</v>
      </c>
      <c r="AV192" s="21">
        <f>EXP(-LN(2)/25)*AV191+(1-EXP(-LN(2)/25))/(LN(2)/25)*Calculateur!AQ192*Calculateur!AS192*VLOOKUP('Données projet'!$B$10,Paramètres!$A$1:$I$89,3,0)*0.475*44/12</f>
        <v>1.0528499360020984</v>
      </c>
      <c r="AW192" s="21">
        <f>EXP(-LN(2)/2)*AW191+(1-EXP(-LN(2)/2))/(LN(2)/2)*AQ192*AT192*VLOOKUP('Données projet'!$B$10,Paramètres!$A$1:$I$89,3,0)*0.475*44/12</f>
        <v>2.5015312500236418E-18</v>
      </c>
      <c r="AX192" s="21">
        <f t="shared" si="166"/>
        <v>7.8297464402549037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343</v>
      </c>
      <c r="BE192" s="13">
        <f>BD192*VLOOKUP('Données projet'!$B$11,Paramètres!$A$1:$I$89,3,0)*VLOOKUP('Données projet'!$B$11,Paramètres!$A$1:$I$89,5,0)</f>
        <v>326.39879999999999</v>
      </c>
      <c r="BF192" s="13">
        <f t="shared" si="167"/>
        <v>76.683210401884097</v>
      </c>
      <c r="BG192" s="20">
        <f t="shared" si="168"/>
        <v>702.03450144994804</v>
      </c>
      <c r="BH192" s="59">
        <f t="shared" si="116"/>
        <v>995.3678347832813</v>
      </c>
      <c r="BI192" s="59">
        <f ca="1">AVERAGE(OFFSET($BH$3,0,0,'Données projet'!$E$11+1,1))-AVERAGE(OFFSET($H$3,0,0,'Données projet'!$E$11+1,1))</f>
        <v>446.62872871405051</v>
      </c>
      <c r="BJ192" s="59">
        <f t="shared" si="146"/>
        <v>471.28934889691658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5.6368735407022603</v>
      </c>
      <c r="BQ192" s="21">
        <f>EXP(-LN(2)/25)*BQ191+(1-EXP(-LN(2)/25))/(LN(2)/25)*Calculateur!BL192*Calculateur!BN192*VLOOKUP('Données projet'!$B$11,Paramètres!$A$1:$I$89,3,0)*0.475*44/12</f>
        <v>0.12407546987007828</v>
      </c>
      <c r="BR192" s="21">
        <f>EXP(-LN(2)/2)*BR191+(1-EXP(-LN(2)/2))/(LN(2)/2)*BL192*BO192*VLOOKUP('Données projet'!$B$11,Paramètres!$A$1:$I$89,3,0)*0.475*44/12</f>
        <v>2.1017545207744984E-18</v>
      </c>
      <c r="BS192" s="22">
        <f t="shared" si="169"/>
        <v>5.7609490105723387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991.00000000000011</v>
      </c>
      <c r="BZ192" s="13">
        <f>BY192*VLOOKUP('Données projet'!$B$12,Paramètres!$A$1:$I$89,3,0)*VLOOKUP('Données projet'!$B$12,Paramètres!$A$1:$I$89,5,0)</f>
        <v>438.02200000000011</v>
      </c>
      <c r="CA192" s="13">
        <f t="shared" si="170"/>
        <v>99.443834741543355</v>
      </c>
      <c r="CB192" s="20">
        <f t="shared" si="171"/>
        <v>936.08632884152132</v>
      </c>
      <c r="CC192" s="59">
        <f t="shared" si="119"/>
        <v>1229.4196621748547</v>
      </c>
      <c r="CD192" s="59">
        <f ca="1">AVERAGE(OFFSET($CC$3,0,0,'Données projet'!$E$12+1,1))-AVERAGE(OFFSET($H$3,0,0,'Données projet'!$E$12+1,1))</f>
        <v>534.99316143569899</v>
      </c>
      <c r="CE192" s="59">
        <f t="shared" si="148"/>
        <v>449.56965858934262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8.0971005733859602</v>
      </c>
      <c r="CL192" s="21">
        <f>EXP(-LN(2)/25)*CL191+(1-EXP(-LN(2)/25))/(LN(2)/25)*Calculateur!CG192*Calculateur!CI192*VLOOKUP('Données projet'!$B$12,Paramètres!$A$1:$I$89,3,0)*0.475*44/12</f>
        <v>1.5603721188320512</v>
      </c>
      <c r="CM192" s="21">
        <f>EXP(-LN(2)/2)*CM191+(1-EXP(-LN(2)/2))/(LN(2)/2)*CG192*CJ192*VLOOKUP('Données projet'!$B$12,Paramètres!$A$1:$I$89,3,0)*0.475*44/12</f>
        <v>1.0701186337889573E-16</v>
      </c>
      <c r="CN192" s="22">
        <f t="shared" si="172"/>
        <v>9.6574726922180112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251.00000000000006</v>
      </c>
      <c r="CU192" s="17">
        <f>CT192*VLOOKUP('Données projet'!$B$13,Paramètres!$A$1:$I$89,3,0)*VLOOKUP('Données projet'!$B$13,Paramètres!$A$1:$I$89,5,0)</f>
        <v>285.83880000000011</v>
      </c>
      <c r="CV192" s="13">
        <f t="shared" si="173"/>
        <v>68.199429147498265</v>
      </c>
      <c r="CW192" s="20">
        <f t="shared" si="174"/>
        <v>616.61658243189299</v>
      </c>
      <c r="CX192" s="59">
        <f t="shared" si="122"/>
        <v>909.94991576522625</v>
      </c>
      <c r="CY192" s="59">
        <f ca="1">AVERAGE(OFFSET($CX$3,0,0,'Données projet'!$E$13+1,1))-AVERAGE(OFFSET($H$3,0,0,'Données projet'!$E$13+1,1))</f>
        <v>389.89050053480827</v>
      </c>
      <c r="CZ192" s="59">
        <f t="shared" si="150"/>
        <v>216.40816051909616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3.492094151070797</v>
      </c>
      <c r="DG192" s="21">
        <f>EXP(-LN(2)/25)*DG191+(1-EXP(-LN(2)/25))/(LN(2)/25)*Calculateur!DB192*Calculateur!DD192*VLOOKUP('Données projet'!$B$13,Paramètres!$A$1:$I$89,3,0)*0.475*44/12</f>
        <v>0.21111732358045499</v>
      </c>
      <c r="DH192" s="21">
        <f>EXP(-LN(2)/2)*DH191+(1-EXP(-LN(2)/2))/(LN(2)/2)*DB192*DE192*VLOOKUP('Données projet'!$B$13,Paramètres!$A$1:$I$89,3,0)*0.475*44/12</f>
        <v>2.5804290925904992E-11</v>
      </c>
      <c r="DI192" s="22">
        <f t="shared" si="175"/>
        <v>3.7032114746770564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268.00000000000011</v>
      </c>
      <c r="O193" s="13">
        <f>N193*VLOOKUP('Données projet'!$B$9,Paramètres!$A$1:$I$89,3,0)*VLOOKUP('Données projet'!$B$9,Paramètres!$A$1:$I$89,5,0)</f>
        <v>242.48640000000009</v>
      </c>
      <c r="P193" s="13">
        <f t="shared" si="141"/>
        <v>58.974170235372476</v>
      </c>
      <c r="Q193" s="20">
        <f t="shared" si="162"/>
        <v>525.04382649327385</v>
      </c>
      <c r="R193" s="59">
        <f t="shared" si="109"/>
        <v>818.37715982660711</v>
      </c>
      <c r="S193" s="59">
        <f ca="1">AVERAGE(OFFSET($R$3,0,0,'Données projet'!$E$9+1,1))-AVERAGE(OFFSET($H$3,0,0,'Données projet'!$E$9+1,1))</f>
        <v>371.7282125501186</v>
      </c>
      <c r="T193" s="59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14.58626227746989</v>
      </c>
      <c r="AA193" s="21">
        <f>EXP(-LN(2)/25)*AA192+(1-EXP(-LN(2)/25))/(LN(2)/25)*Calculateur!V193*Calculateur!X193*VLOOKUP('Données projet'!$B$9,Paramètres!$A$1:$I$89,3,0)*0.475*44/12</f>
        <v>0.35514072119352275</v>
      </c>
      <c r="AB193" s="21">
        <f>EXP(-LN(2)/2)*AB192+(1-EXP(-LN(2)/2))/(LN(2)/2)*V193*Y193*VLOOKUP('Données projet'!$B$9,Paramètres!$A$1:$I$89,3,0)*0.475*44/12</f>
        <v>3.1173512417311086E-11</v>
      </c>
      <c r="AC193" s="22">
        <f t="shared" si="163"/>
        <v>14.941402998694587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1.7053025658242404E-13</v>
      </c>
      <c r="AJ193" s="13">
        <f>AI193*VLOOKUP('Données projet'!$B$10,Paramètres!$A$1:$I$89,3,0)*VLOOKUP('Données projet'!$B$10,Paramètres!$A$1:$I$89,5,0)</f>
        <v>7.9808160080574461E-14</v>
      </c>
      <c r="AK193" s="13">
        <f t="shared" si="164"/>
        <v>1.2308384591775343E-12</v>
      </c>
      <c r="AL193" s="20">
        <f t="shared" si="165"/>
        <v>2.282709528541206E-12</v>
      </c>
      <c r="AM193" s="59">
        <f t="shared" si="113"/>
        <v>293.33333333333559</v>
      </c>
      <c r="AN193" s="59">
        <f ca="1">AVERAGE(OFFSET($AM$3,0,0,'Données projet'!$E$10+1,1))-AVERAGE(OFFSET($H$3,0,0,'Données projet'!$E$10+1,1))</f>
        <v>218.32525311070435</v>
      </c>
      <c r="AO193" s="59">
        <f t="shared" si="144"/>
        <v>275.36315264099204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6.6440056973031263</v>
      </c>
      <c r="AV193" s="21">
        <f>EXP(-LN(2)/25)*AV192+(1-EXP(-LN(2)/25))/(LN(2)/25)*Calculateur!AQ193*Calculateur!AS193*VLOOKUP('Données projet'!$B$10,Paramètres!$A$1:$I$89,3,0)*0.475*44/12</f>
        <v>1.0240596991351492</v>
      </c>
      <c r="AW193" s="21">
        <f>EXP(-LN(2)/2)*AW192+(1-EXP(-LN(2)/2))/(LN(2)/2)*AQ193*AT193*VLOOKUP('Données projet'!$B$10,Paramètres!$A$1:$I$89,3,0)*0.475*44/12</f>
        <v>1.768849710241778E-18</v>
      </c>
      <c r="AX193" s="21">
        <f t="shared" si="166"/>
        <v>7.6680653964382754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343</v>
      </c>
      <c r="BE193" s="13">
        <f>BD193*VLOOKUP('Données projet'!$B$11,Paramètres!$A$1:$I$89,3,0)*VLOOKUP('Données projet'!$B$11,Paramètres!$A$1:$I$89,5,0)</f>
        <v>326.39879999999999</v>
      </c>
      <c r="BF193" s="13">
        <f t="shared" si="167"/>
        <v>76.683210401884097</v>
      </c>
      <c r="BG193" s="20">
        <f t="shared" si="168"/>
        <v>702.03450144994804</v>
      </c>
      <c r="BH193" s="59">
        <f t="shared" si="116"/>
        <v>995.3678347832813</v>
      </c>
      <c r="BI193" s="59">
        <f ca="1">AVERAGE(OFFSET($BH$3,0,0,'Données projet'!$E$11+1,1))-AVERAGE(OFFSET($H$3,0,0,'Données projet'!$E$11+1,1))</f>
        <v>446.62872871405051</v>
      </c>
      <c r="BJ193" s="59">
        <f t="shared" si="146"/>
        <v>471.28934889691658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5.526337888722459</v>
      </c>
      <c r="BQ193" s="21">
        <f>EXP(-LN(2)/25)*BQ192+(1-EXP(-LN(2)/25))/(LN(2)/25)*Calculateur!BL193*Calculateur!BN193*VLOOKUP('Données projet'!$B$11,Paramètres!$A$1:$I$89,3,0)*0.475*44/12</f>
        <v>0.12068261962163561</v>
      </c>
      <c r="BR193" s="21">
        <f>EXP(-LN(2)/2)*BR192+(1-EXP(-LN(2)/2))/(LN(2)/2)*BL193*BO193*VLOOKUP('Données projet'!$B$11,Paramètres!$A$1:$I$89,3,0)*0.475*44/12</f>
        <v>1.4861648740291303E-18</v>
      </c>
      <c r="BS193" s="22">
        <f t="shared" si="169"/>
        <v>5.6470205083440943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991.00000000000011</v>
      </c>
      <c r="BZ193" s="13">
        <f>BY193*VLOOKUP('Données projet'!$B$12,Paramètres!$A$1:$I$89,3,0)*VLOOKUP('Données projet'!$B$12,Paramètres!$A$1:$I$89,5,0)</f>
        <v>438.02200000000011</v>
      </c>
      <c r="CA193" s="13">
        <f t="shared" si="170"/>
        <v>99.443834741543355</v>
      </c>
      <c r="CB193" s="20">
        <f t="shared" si="171"/>
        <v>936.08632884152132</v>
      </c>
      <c r="CC193" s="59">
        <f t="shared" si="119"/>
        <v>1229.4196621748547</v>
      </c>
      <c r="CD193" s="59">
        <f ca="1">AVERAGE(OFFSET($CC$3,0,0,'Données projet'!$E$12+1,1))-AVERAGE(OFFSET($H$3,0,0,'Données projet'!$E$12+1,1))</f>
        <v>534.99316143569899</v>
      </c>
      <c r="CE193" s="59">
        <f t="shared" si="148"/>
        <v>449.56965858934262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7.9383213698855508</v>
      </c>
      <c r="CL193" s="21">
        <f>EXP(-LN(2)/25)*CL192+(1-EXP(-LN(2)/25))/(LN(2)/25)*Calculateur!CG193*Calculateur!CI193*VLOOKUP('Données projet'!$B$12,Paramètres!$A$1:$I$89,3,0)*0.475*44/12</f>
        <v>1.5177036611861854</v>
      </c>
      <c r="CM193" s="21">
        <f>EXP(-LN(2)/2)*CM192+(1-EXP(-LN(2)/2))/(LN(2)/2)*CG193*CJ193*VLOOKUP('Données projet'!$B$12,Paramètres!$A$1:$I$89,3,0)*0.475*44/12</f>
        <v>7.566881426262554E-17</v>
      </c>
      <c r="CN193" s="22">
        <f t="shared" si="172"/>
        <v>9.4560250310717358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251.00000000000006</v>
      </c>
      <c r="CU193" s="17">
        <f>CT193*VLOOKUP('Données projet'!$B$13,Paramètres!$A$1:$I$89,3,0)*VLOOKUP('Données projet'!$B$13,Paramètres!$A$1:$I$89,5,0)</f>
        <v>285.83880000000011</v>
      </c>
      <c r="CV193" s="13">
        <f t="shared" si="173"/>
        <v>68.199429147498265</v>
      </c>
      <c r="CW193" s="20">
        <f t="shared" si="174"/>
        <v>616.61658243189299</v>
      </c>
      <c r="CX193" s="59">
        <f t="shared" si="122"/>
        <v>909.94991576522625</v>
      </c>
      <c r="CY193" s="59">
        <f ca="1">AVERAGE(OFFSET($CX$3,0,0,'Données projet'!$E$13+1,1))-AVERAGE(OFFSET($H$3,0,0,'Données projet'!$E$13+1,1))</f>
        <v>389.89050053480827</v>
      </c>
      <c r="CZ193" s="59">
        <f t="shared" si="150"/>
        <v>216.40816051909616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3.4236163147354142</v>
      </c>
      <c r="DG193" s="21">
        <f>EXP(-LN(2)/25)*DG192+(1-EXP(-LN(2)/25))/(LN(2)/25)*Calculateur!DB193*Calculateur!DD193*VLOOKUP('Données projet'!$B$13,Paramètres!$A$1:$I$89,3,0)*0.475*44/12</f>
        <v>0.20534430926496991</v>
      </c>
      <c r="DH193" s="21">
        <f>EXP(-LN(2)/2)*DH192+(1-EXP(-LN(2)/2))/(LN(2)/2)*DB193*DE193*VLOOKUP('Données projet'!$B$13,Paramètres!$A$1:$I$89,3,0)*0.475*44/12</f>
        <v>1.8246389097417915E-11</v>
      </c>
      <c r="DI193" s="22">
        <f t="shared" si="175"/>
        <v>3.6289606240186303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268.00000000000011</v>
      </c>
      <c r="O194" s="13">
        <f>N194*VLOOKUP('Données projet'!$B$9,Paramètres!$A$1:$I$89,3,0)*VLOOKUP('Données projet'!$B$9,Paramètres!$A$1:$I$89,5,0)</f>
        <v>242.48640000000009</v>
      </c>
      <c r="P194" s="13">
        <f t="shared" si="141"/>
        <v>58.974170235372476</v>
      </c>
      <c r="Q194" s="20">
        <f t="shared" si="162"/>
        <v>525.04382649327385</v>
      </c>
      <c r="R194" s="59">
        <f t="shared" si="109"/>
        <v>818.37715982660711</v>
      </c>
      <c r="S194" s="59">
        <f ca="1">AVERAGE(OFFSET($R$3,0,0,'Données projet'!$E$9+1,1))-AVERAGE(OFFSET($H$3,0,0,'Données projet'!$E$9+1,1))</f>
        <v>371.7282125501186</v>
      </c>
      <c r="T194" s="59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14.300234570950215</v>
      </c>
      <c r="AA194" s="21">
        <f>EXP(-LN(2)/25)*AA193+(1-EXP(-LN(2)/25))/(LN(2)/25)*Calculateur!V194*Calculateur!X194*VLOOKUP('Données projet'!$B$9,Paramètres!$A$1:$I$89,3,0)*0.475*44/12</f>
        <v>0.34542937949644703</v>
      </c>
      <c r="AB194" s="21">
        <f>EXP(-LN(2)/2)*AB193+(1-EXP(-LN(2)/2))/(LN(2)/2)*V194*Y194*VLOOKUP('Données projet'!$B$9,Paramètres!$A$1:$I$89,3,0)*0.475*44/12</f>
        <v>2.2043002023683713E-11</v>
      </c>
      <c r="AC194" s="22">
        <f t="shared" si="163"/>
        <v>14.645663950468705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1.7053025658242404E-13</v>
      </c>
      <c r="AJ194" s="13">
        <f>AI194*VLOOKUP('Données projet'!$B$10,Paramètres!$A$1:$I$89,3,0)*VLOOKUP('Données projet'!$B$10,Paramètres!$A$1:$I$89,5,0)</f>
        <v>7.9808160080574461E-14</v>
      </c>
      <c r="AK194" s="13">
        <f t="shared" si="164"/>
        <v>1.2308384591775343E-12</v>
      </c>
      <c r="AL194" s="20">
        <f t="shared" si="165"/>
        <v>2.282709528541206E-12</v>
      </c>
      <c r="AM194" s="59">
        <f t="shared" si="113"/>
        <v>293.33333333333559</v>
      </c>
      <c r="AN194" s="59">
        <f ca="1">AVERAGE(OFFSET($AM$3,0,0,'Données projet'!$E$10+1,1))-AVERAGE(OFFSET($H$3,0,0,'Données projet'!$E$10+1,1))</f>
        <v>218.32525311070435</v>
      </c>
      <c r="AO194" s="59">
        <f t="shared" si="144"/>
        <v>275.36315264099204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6.5137207980223417</v>
      </c>
      <c r="AV194" s="21">
        <f>EXP(-LN(2)/25)*AV193+(1-EXP(-LN(2)/25))/(LN(2)/25)*Calculateur!AQ194*Calculateur!AS194*VLOOKUP('Données projet'!$B$10,Paramètres!$A$1:$I$89,3,0)*0.475*44/12</f>
        <v>0.99605673280933948</v>
      </c>
      <c r="AW194" s="21">
        <f>EXP(-LN(2)/2)*AW193+(1-EXP(-LN(2)/2))/(LN(2)/2)*AQ194*AT194*VLOOKUP('Données projet'!$B$10,Paramètres!$A$1:$I$89,3,0)*0.475*44/12</f>
        <v>1.2507656250118209E-18</v>
      </c>
      <c r="AX194" s="21">
        <f t="shared" si="166"/>
        <v>7.5097775308316814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343</v>
      </c>
      <c r="BE194" s="13">
        <f>BD194*VLOOKUP('Données projet'!$B$11,Paramètres!$A$1:$I$89,3,0)*VLOOKUP('Données projet'!$B$11,Paramètres!$A$1:$I$89,5,0)</f>
        <v>326.39879999999999</v>
      </c>
      <c r="BF194" s="13">
        <f t="shared" si="167"/>
        <v>76.683210401884097</v>
      </c>
      <c r="BG194" s="20">
        <f t="shared" si="168"/>
        <v>702.03450144994804</v>
      </c>
      <c r="BH194" s="59">
        <f t="shared" si="116"/>
        <v>995.3678347832813</v>
      </c>
      <c r="BI194" s="59">
        <f ca="1">AVERAGE(OFFSET($BH$3,0,0,'Données projet'!$E$11+1,1))-AVERAGE(OFFSET($H$3,0,0,'Données projet'!$E$11+1,1))</f>
        <v>446.62872871405051</v>
      </c>
      <c r="BJ194" s="59">
        <f t="shared" si="146"/>
        <v>471.28934889691658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5.4179697734578918</v>
      </c>
      <c r="BQ194" s="21">
        <f>EXP(-LN(2)/25)*BQ193+(1-EXP(-LN(2)/25))/(LN(2)/25)*Calculateur!BL194*Calculateur!BN194*VLOOKUP('Données projet'!$B$11,Paramètres!$A$1:$I$89,3,0)*0.475*44/12</f>
        <v>0.11738254704165885</v>
      </c>
      <c r="BR194" s="21">
        <f>EXP(-LN(2)/2)*BR193+(1-EXP(-LN(2)/2))/(LN(2)/2)*BL194*BO194*VLOOKUP('Données projet'!$B$11,Paramètres!$A$1:$I$89,3,0)*0.475*44/12</f>
        <v>1.0508772603872492E-18</v>
      </c>
      <c r="BS194" s="22">
        <f t="shared" si="169"/>
        <v>5.5353523204995509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991.00000000000011</v>
      </c>
      <c r="BZ194" s="13">
        <f>BY194*VLOOKUP('Données projet'!$B$12,Paramètres!$A$1:$I$89,3,0)*VLOOKUP('Données projet'!$B$12,Paramètres!$A$1:$I$89,5,0)</f>
        <v>438.02200000000011</v>
      </c>
      <c r="CA194" s="13">
        <f t="shared" si="170"/>
        <v>99.443834741543355</v>
      </c>
      <c r="CB194" s="20">
        <f t="shared" si="171"/>
        <v>936.08632884152132</v>
      </c>
      <c r="CC194" s="59">
        <f t="shared" si="119"/>
        <v>1229.4196621748547</v>
      </c>
      <c r="CD194" s="59">
        <f ca="1">AVERAGE(OFFSET($CC$3,0,0,'Données projet'!$E$12+1,1))-AVERAGE(OFFSET($H$3,0,0,'Données projet'!$E$12+1,1))</f>
        <v>534.99316143569899</v>
      </c>
      <c r="CE194" s="59">
        <f t="shared" si="148"/>
        <v>449.56965858934262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7.7826557297200329</v>
      </c>
      <c r="CL194" s="21">
        <f>EXP(-LN(2)/25)*CL193+(1-EXP(-LN(2)/25))/(LN(2)/25)*Calculateur!CG194*Calculateur!CI194*VLOOKUP('Données projet'!$B$12,Paramètres!$A$1:$I$89,3,0)*0.475*44/12</f>
        <v>1.4762019747584822</v>
      </c>
      <c r="CM194" s="21">
        <f>EXP(-LN(2)/2)*CM193+(1-EXP(-LN(2)/2))/(LN(2)/2)*CG194*CJ194*VLOOKUP('Données projet'!$B$12,Paramètres!$A$1:$I$89,3,0)*0.475*44/12</f>
        <v>5.3505931689447865E-17</v>
      </c>
      <c r="CN194" s="22">
        <f t="shared" si="172"/>
        <v>9.2588577044785154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251.00000000000006</v>
      </c>
      <c r="CU194" s="17">
        <f>CT194*VLOOKUP('Données projet'!$B$13,Paramètres!$A$1:$I$89,3,0)*VLOOKUP('Données projet'!$B$13,Paramètres!$A$1:$I$89,5,0)</f>
        <v>285.83880000000011</v>
      </c>
      <c r="CV194" s="13">
        <f t="shared" si="173"/>
        <v>68.199429147498265</v>
      </c>
      <c r="CW194" s="20">
        <f t="shared" si="174"/>
        <v>616.61658243189299</v>
      </c>
      <c r="CX194" s="59">
        <f t="shared" si="122"/>
        <v>909.94991576522625</v>
      </c>
      <c r="CY194" s="59">
        <f ca="1">AVERAGE(OFFSET($CX$3,0,0,'Données projet'!$E$13+1,1))-AVERAGE(OFFSET($H$3,0,0,'Données projet'!$E$13+1,1))</f>
        <v>389.89050053480827</v>
      </c>
      <c r="CZ194" s="59">
        <f t="shared" si="150"/>
        <v>216.40816051909616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3.3564812870032119</v>
      </c>
      <c r="DG194" s="21">
        <f>EXP(-LN(2)/25)*DG193+(1-EXP(-LN(2)/25))/(LN(2)/25)*Calculateur!DB194*Calculateur!DD194*VLOOKUP('Données projet'!$B$13,Paramètres!$A$1:$I$89,3,0)*0.475*44/12</f>
        <v>0.19972915832953139</v>
      </c>
      <c r="DH194" s="21">
        <f>EXP(-LN(2)/2)*DH193+(1-EXP(-LN(2)/2))/(LN(2)/2)*DB194*DE194*VLOOKUP('Données projet'!$B$13,Paramètres!$A$1:$I$89,3,0)*0.475*44/12</f>
        <v>1.2902145462952496E-11</v>
      </c>
      <c r="DI194" s="22">
        <f t="shared" si="175"/>
        <v>3.5562104453456453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268.00000000000011</v>
      </c>
      <c r="O195" s="13">
        <f>N195*VLOOKUP('Données projet'!$B$9,Paramètres!$A$1:$I$89,3,0)*VLOOKUP('Données projet'!$B$9,Paramètres!$A$1:$I$89,5,0)</f>
        <v>242.48640000000009</v>
      </c>
      <c r="P195" s="13">
        <f t="shared" si="141"/>
        <v>58.974170235372476</v>
      </c>
      <c r="Q195" s="20">
        <f t="shared" si="162"/>
        <v>525.04382649327385</v>
      </c>
      <c r="R195" s="59">
        <f t="shared" ref="R195:R203" si="191">Q195+(I195+J195)*44/12</f>
        <v>818.37715982660711</v>
      </c>
      <c r="S195" s="59">
        <f ca="1">AVERAGE(OFFSET($R$3,0,0,'Données projet'!$E$9+1,1))-AVERAGE(OFFSET($H$3,0,0,'Données projet'!$E$9+1,1))</f>
        <v>371.7282125501186</v>
      </c>
      <c r="T195" s="59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14.019815693295715</v>
      </c>
      <c r="AA195" s="21">
        <f>EXP(-LN(2)/25)*AA194+(1-EXP(-LN(2)/25))/(LN(2)/25)*Calculateur!V195*Calculateur!X195*VLOOKUP('Données projet'!$B$9,Paramètres!$A$1:$I$89,3,0)*0.475*44/12</f>
        <v>0.33598359494877511</v>
      </c>
      <c r="AB195" s="21">
        <f>EXP(-LN(2)/2)*AB194+(1-EXP(-LN(2)/2))/(LN(2)/2)*V195*Y195*VLOOKUP('Données projet'!$B$9,Paramètres!$A$1:$I$89,3,0)*0.475*44/12</f>
        <v>1.5586756208655543E-11</v>
      </c>
      <c r="AC195" s="22">
        <f t="shared" si="163"/>
        <v>14.355799288260078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1.7053025658242404E-13</v>
      </c>
      <c r="AJ195" s="13">
        <f>AI195*VLOOKUP('Données projet'!$B$10,Paramètres!$A$1:$I$89,3,0)*VLOOKUP('Données projet'!$B$10,Paramètres!$A$1:$I$89,5,0)</f>
        <v>7.9808160080574461E-14</v>
      </c>
      <c r="AK195" s="13">
        <f t="shared" si="164"/>
        <v>1.2308384591775343E-12</v>
      </c>
      <c r="AL195" s="20">
        <f t="shared" si="165"/>
        <v>2.282709528541206E-12</v>
      </c>
      <c r="AM195" s="59">
        <f t="shared" si="113"/>
        <v>293.33333333333559</v>
      </c>
      <c r="AN195" s="59">
        <f ca="1">AVERAGE(OFFSET($AM$3,0,0,'Données projet'!$E$10+1,1))-AVERAGE(OFFSET($H$3,0,0,'Données projet'!$E$10+1,1))</f>
        <v>218.32525311070435</v>
      </c>
      <c r="AO195" s="59">
        <f t="shared" si="144"/>
        <v>275.36315264099204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6.3859907061505119</v>
      </c>
      <c r="AV195" s="21">
        <f>EXP(-LN(2)/25)*AV194+(1-EXP(-LN(2)/25))/(LN(2)/25)*Calculateur!AQ195*Calculateur!AS195*VLOOKUP('Données projet'!$B$10,Paramètres!$A$1:$I$89,3,0)*0.475*44/12</f>
        <v>0.96881950907032099</v>
      </c>
      <c r="AW195" s="21">
        <f>EXP(-LN(2)/2)*AW194+(1-EXP(-LN(2)/2))/(LN(2)/2)*AQ195*AT195*VLOOKUP('Données projet'!$B$10,Paramètres!$A$1:$I$89,3,0)*0.475*44/12</f>
        <v>8.84424855120889E-19</v>
      </c>
      <c r="AX195" s="21">
        <f t="shared" si="166"/>
        <v>7.3548102152208328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343</v>
      </c>
      <c r="BE195" s="13">
        <f>BD195*VLOOKUP('Données projet'!$B$11,Paramètres!$A$1:$I$89,3,0)*VLOOKUP('Données projet'!$B$11,Paramètres!$A$1:$I$89,5,0)</f>
        <v>326.39879999999999</v>
      </c>
      <c r="BF195" s="13">
        <f t="shared" si="167"/>
        <v>76.683210401884097</v>
      </c>
      <c r="BG195" s="20">
        <f t="shared" si="168"/>
        <v>702.03450144994804</v>
      </c>
      <c r="BH195" s="59">
        <f t="shared" si="116"/>
        <v>995.3678347832813</v>
      </c>
      <c r="BI195" s="59">
        <f ca="1">AVERAGE(OFFSET($BH$3,0,0,'Données projet'!$E$11+1,1))-AVERAGE(OFFSET($H$3,0,0,'Données projet'!$E$11+1,1))</f>
        <v>446.62872871405051</v>
      </c>
      <c r="BJ195" s="59">
        <f t="shared" si="146"/>
        <v>471.28934889691658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5.3117266908356386</v>
      </c>
      <c r="BQ195" s="21">
        <f>EXP(-LN(2)/25)*BQ194+(1-EXP(-LN(2)/25))/(LN(2)/25)*Calculateur!BL195*Calculateur!BN195*VLOOKUP('Données projet'!$B$11,Paramètres!$A$1:$I$89,3,0)*0.475*44/12</f>
        <v>0.11417271511992481</v>
      </c>
      <c r="BR195" s="21">
        <f>EXP(-LN(2)/2)*BR194+(1-EXP(-LN(2)/2))/(LN(2)/2)*BL195*BO195*VLOOKUP('Données projet'!$B$11,Paramètres!$A$1:$I$89,3,0)*0.475*44/12</f>
        <v>7.4308243701456514E-19</v>
      </c>
      <c r="BS195" s="22">
        <f t="shared" si="169"/>
        <v>5.4258994059555636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991.00000000000011</v>
      </c>
      <c r="BZ195" s="13">
        <f>BY195*VLOOKUP('Données projet'!$B$12,Paramètres!$A$1:$I$89,3,0)*VLOOKUP('Données projet'!$B$12,Paramètres!$A$1:$I$89,5,0)</f>
        <v>438.02200000000011</v>
      </c>
      <c r="CA195" s="13">
        <f t="shared" si="170"/>
        <v>99.443834741543355</v>
      </c>
      <c r="CB195" s="20">
        <f t="shared" si="171"/>
        <v>936.08632884152132</v>
      </c>
      <c r="CC195" s="59">
        <f t="shared" si="119"/>
        <v>1229.4196621748547</v>
      </c>
      <c r="CD195" s="59">
        <f ca="1">AVERAGE(OFFSET($CC$3,0,0,'Données projet'!$E$12+1,1))-AVERAGE(OFFSET($H$3,0,0,'Données projet'!$E$12+1,1))</f>
        <v>534.99316143569899</v>
      </c>
      <c r="CE195" s="59">
        <f t="shared" si="148"/>
        <v>449.56965858934262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7.6300425978114959</v>
      </c>
      <c r="CL195" s="21">
        <f>EXP(-LN(2)/25)*CL194+(1-EXP(-LN(2)/25))/(LN(2)/25)*Calculateur!CG195*Calculateur!CI195*VLOOKUP('Données projet'!$B$12,Paramètres!$A$1:$I$89,3,0)*0.475*44/12</f>
        <v>1.4358351541286236</v>
      </c>
      <c r="CM195" s="21">
        <f>EXP(-LN(2)/2)*CM194+(1-EXP(-LN(2)/2))/(LN(2)/2)*CG195*CJ195*VLOOKUP('Données projet'!$B$12,Paramètres!$A$1:$I$89,3,0)*0.475*44/12</f>
        <v>3.783440713131277E-17</v>
      </c>
      <c r="CN195" s="22">
        <f t="shared" si="172"/>
        <v>9.0658777519401195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251.00000000000006</v>
      </c>
      <c r="CU195" s="17">
        <f>CT195*VLOOKUP('Données projet'!$B$13,Paramètres!$A$1:$I$89,3,0)*VLOOKUP('Données projet'!$B$13,Paramètres!$A$1:$I$89,5,0)</f>
        <v>285.83880000000011</v>
      </c>
      <c r="CV195" s="13">
        <f t="shared" si="173"/>
        <v>68.199429147498265</v>
      </c>
      <c r="CW195" s="20">
        <f t="shared" si="174"/>
        <v>616.61658243189299</v>
      </c>
      <c r="CX195" s="59">
        <f t="shared" si="122"/>
        <v>909.94991576522625</v>
      </c>
      <c r="CY195" s="59">
        <f ca="1">AVERAGE(OFFSET($CX$3,0,0,'Données projet'!$E$13+1,1))-AVERAGE(OFFSET($H$3,0,0,'Données projet'!$E$13+1,1))</f>
        <v>389.89050053480827</v>
      </c>
      <c r="CZ195" s="59">
        <f t="shared" si="150"/>
        <v>216.40816051909616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3.2906627362165146</v>
      </c>
      <c r="DG195" s="21">
        <f>EXP(-LN(2)/25)*DG194+(1-EXP(-LN(2)/25))/(LN(2)/25)*Calculateur!DB195*Calculateur!DD195*VLOOKUP('Données projet'!$B$13,Paramètres!$A$1:$I$89,3,0)*0.475*44/12</f>
        <v>0.19426755399171042</v>
      </c>
      <c r="DH195" s="21">
        <f>EXP(-LN(2)/2)*DH194+(1-EXP(-LN(2)/2))/(LN(2)/2)*DB195*DE195*VLOOKUP('Données projet'!$B$13,Paramètres!$A$1:$I$89,3,0)*0.475*44/12</f>
        <v>9.1231945487089575E-12</v>
      </c>
      <c r="DI195" s="22">
        <f t="shared" si="175"/>
        <v>3.4849302902173482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268.00000000000011</v>
      </c>
      <c r="O196" s="13">
        <f>N196*VLOOKUP('Données projet'!$B$9,Paramètres!$A$1:$I$89,3,0)*VLOOKUP('Données projet'!$B$9,Paramètres!$A$1:$I$89,5,0)</f>
        <v>242.48640000000009</v>
      </c>
      <c r="P196" s="13">
        <f t="shared" si="141"/>
        <v>58.974170235372476</v>
      </c>
      <c r="Q196" s="20">
        <f t="shared" si="162"/>
        <v>525.04382649327385</v>
      </c>
      <c r="R196" s="59">
        <f t="shared" si="191"/>
        <v>818.37715982660711</v>
      </c>
      <c r="S196" s="59">
        <f ca="1">AVERAGE(OFFSET($R$3,0,0,'Données projet'!$E$9+1,1))-AVERAGE(OFFSET($H$3,0,0,'Données projet'!$E$9+1,1))</f>
        <v>371.7282125501186</v>
      </c>
      <c r="T196" s="59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13.744895658793395</v>
      </c>
      <c r="AA196" s="21">
        <f>EXP(-LN(2)/25)*AA195+(1-EXP(-LN(2)/25))/(LN(2)/25)*Calculateur!V196*Calculateur!X196*VLOOKUP('Données projet'!$B$9,Paramètres!$A$1:$I$89,3,0)*0.475*44/12</f>
        <v>0.32679610587629149</v>
      </c>
      <c r="AB196" s="21">
        <f>EXP(-LN(2)/2)*AB195+(1-EXP(-LN(2)/2))/(LN(2)/2)*V196*Y196*VLOOKUP('Données projet'!$B$9,Paramètres!$A$1:$I$89,3,0)*0.475*44/12</f>
        <v>1.1021501011841856E-11</v>
      </c>
      <c r="AC196" s="22">
        <f t="shared" si="163"/>
        <v>14.071691764680708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1.7053025658242404E-13</v>
      </c>
      <c r="AJ196" s="13">
        <f>AI196*VLOOKUP('Données projet'!$B$10,Paramètres!$A$1:$I$89,3,0)*VLOOKUP('Données projet'!$B$10,Paramètres!$A$1:$I$89,5,0)</f>
        <v>7.9808160080574461E-14</v>
      </c>
      <c r="AK196" s="13">
        <f t="shared" si="164"/>
        <v>1.2308384591775343E-12</v>
      </c>
      <c r="AL196" s="20">
        <f t="shared" si="165"/>
        <v>2.282709528541206E-12</v>
      </c>
      <c r="AM196" s="59">
        <f t="shared" ref="AM196:AM203" si="193">AL196+(AD196+AE196)*44/12</f>
        <v>293.33333333333559</v>
      </c>
      <c r="AN196" s="59">
        <f ca="1">AVERAGE(OFFSET($AM$3,0,0,'Données projet'!$E$10+1,1))-AVERAGE(OFFSET($H$3,0,0,'Données projet'!$E$10+1,1))</f>
        <v>218.32525311070435</v>
      </c>
      <c r="AO196" s="59">
        <f t="shared" si="144"/>
        <v>275.36315264099204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6.2607653234726248</v>
      </c>
      <c r="AV196" s="21">
        <f>EXP(-LN(2)/25)*AV195+(1-EXP(-LN(2)/25))/(LN(2)/25)*Calculateur!AQ196*Calculateur!AS196*VLOOKUP('Données projet'!$B$10,Paramètres!$A$1:$I$89,3,0)*0.475*44/12</f>
        <v>0.94232708864678938</v>
      </c>
      <c r="AW196" s="21">
        <f>EXP(-LN(2)/2)*AW195+(1-EXP(-LN(2)/2))/(LN(2)/2)*AQ196*AT196*VLOOKUP('Données projet'!$B$10,Paramètres!$A$1:$I$89,3,0)*0.475*44/12</f>
        <v>6.2538281250591046E-19</v>
      </c>
      <c r="AX196" s="21">
        <f t="shared" si="166"/>
        <v>7.203092412119414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343</v>
      </c>
      <c r="BE196" s="13">
        <f>BD196*VLOOKUP('Données projet'!$B$11,Paramètres!$A$1:$I$89,3,0)*VLOOKUP('Données projet'!$B$11,Paramètres!$A$1:$I$89,5,0)</f>
        <v>326.39879999999999</v>
      </c>
      <c r="BF196" s="13">
        <f t="shared" si="167"/>
        <v>76.683210401884097</v>
      </c>
      <c r="BG196" s="20">
        <f t="shared" si="168"/>
        <v>702.03450144994804</v>
      </c>
      <c r="BH196" s="59">
        <f t="shared" ref="BH196:BH203" si="194">BG196+(AY196+AZ196)*44/12</f>
        <v>995.3678347832813</v>
      </c>
      <c r="BI196" s="59">
        <f ca="1">AVERAGE(OFFSET($BH$3,0,0,'Données projet'!$E$11+1,1))-AVERAGE(OFFSET($H$3,0,0,'Données projet'!$E$11+1,1))</f>
        <v>446.62872871405051</v>
      </c>
      <c r="BJ196" s="59">
        <f t="shared" si="146"/>
        <v>471.28934889691658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5.207566970261726</v>
      </c>
      <c r="BQ196" s="21">
        <f>EXP(-LN(2)/25)*BQ195+(1-EXP(-LN(2)/25))/(LN(2)/25)*Calculateur!BL196*Calculateur!BN196*VLOOKUP('Données projet'!$B$11,Paramètres!$A$1:$I$89,3,0)*0.475*44/12</f>
        <v>0.11105065622088833</v>
      </c>
      <c r="BR196" s="21">
        <f>EXP(-LN(2)/2)*BR195+(1-EXP(-LN(2)/2))/(LN(2)/2)*BL196*BO196*VLOOKUP('Données projet'!$B$11,Paramètres!$A$1:$I$89,3,0)*0.475*44/12</f>
        <v>5.2543863019362459E-19</v>
      </c>
      <c r="BS196" s="22">
        <f t="shared" si="169"/>
        <v>5.3186176264826139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991.00000000000011</v>
      </c>
      <c r="BZ196" s="13">
        <f>BY196*VLOOKUP('Données projet'!$B$12,Paramètres!$A$1:$I$89,3,0)*VLOOKUP('Données projet'!$B$12,Paramètres!$A$1:$I$89,5,0)</f>
        <v>438.02200000000011</v>
      </c>
      <c r="CA196" s="13">
        <f t="shared" si="170"/>
        <v>99.443834741543355</v>
      </c>
      <c r="CB196" s="20">
        <f t="shared" si="171"/>
        <v>936.08632884152132</v>
      </c>
      <c r="CC196" s="59">
        <f t="shared" ref="CC196:CC203" si="195">CB196+(BT196+BU196)*44/12</f>
        <v>1229.4196621748547</v>
      </c>
      <c r="CD196" s="59">
        <f ca="1">AVERAGE(OFFSET($CC$3,0,0,'Données projet'!$E$12+1,1))-AVERAGE(OFFSET($H$3,0,0,'Données projet'!$E$12+1,1))</f>
        <v>534.99316143569899</v>
      </c>
      <c r="CE196" s="59">
        <f t="shared" si="148"/>
        <v>449.56965858934262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7.4804221163348661</v>
      </c>
      <c r="CL196" s="21">
        <f>EXP(-LN(2)/25)*CL195+(1-EXP(-LN(2)/25))/(LN(2)/25)*Calculateur!CG196*Calculateur!CI196*VLOOKUP('Données projet'!$B$12,Paramètres!$A$1:$I$89,3,0)*0.475*44/12</f>
        <v>1.3965721663316872</v>
      </c>
      <c r="CM196" s="21">
        <f>EXP(-LN(2)/2)*CM195+(1-EXP(-LN(2)/2))/(LN(2)/2)*CG196*CJ196*VLOOKUP('Données projet'!$B$12,Paramètres!$A$1:$I$89,3,0)*0.475*44/12</f>
        <v>2.6752965844723933E-17</v>
      </c>
      <c r="CN196" s="22">
        <f t="shared" si="172"/>
        <v>8.8769942826665531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251.00000000000006</v>
      </c>
      <c r="CU196" s="17">
        <f>CT196*VLOOKUP('Données projet'!$B$13,Paramètres!$A$1:$I$89,3,0)*VLOOKUP('Données projet'!$B$13,Paramètres!$A$1:$I$89,5,0)</f>
        <v>285.83880000000011</v>
      </c>
      <c r="CV196" s="13">
        <f t="shared" si="173"/>
        <v>68.199429147498265</v>
      </c>
      <c r="CW196" s="20">
        <f t="shared" si="174"/>
        <v>616.61658243189299</v>
      </c>
      <c r="CX196" s="59">
        <f t="shared" ref="CX196:CX203" si="196">CW196+(CO196+CP196)*44/12</f>
        <v>909.94991576522625</v>
      </c>
      <c r="CY196" s="59">
        <f ca="1">AVERAGE(OFFSET($CX$3,0,0,'Données projet'!$E$13+1,1))-AVERAGE(OFFSET($H$3,0,0,'Données projet'!$E$13+1,1))</f>
        <v>389.89050053480827</v>
      </c>
      <c r="CZ196" s="59">
        <f t="shared" si="150"/>
        <v>216.40816051909616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3.2261348470653926</v>
      </c>
      <c r="DG196" s="21">
        <f>EXP(-LN(2)/25)*DG195+(1-EXP(-LN(2)/25))/(LN(2)/25)*Calculateur!DB196*Calculateur!DD196*VLOOKUP('Données projet'!$B$13,Paramètres!$A$1:$I$89,3,0)*0.475*44/12</f>
        <v>0.18895529751172044</v>
      </c>
      <c r="DH196" s="21">
        <f>EXP(-LN(2)/2)*DH195+(1-EXP(-LN(2)/2))/(LN(2)/2)*DB196*DE196*VLOOKUP('Données projet'!$B$13,Paramètres!$A$1:$I$89,3,0)*0.475*44/12</f>
        <v>6.4510727314762481E-12</v>
      </c>
      <c r="DI196" s="22">
        <f t="shared" si="175"/>
        <v>3.4150901445835644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268.00000000000011</v>
      </c>
      <c r="O197" s="13">
        <f>N197*VLOOKUP('Données projet'!$B$9,Paramètres!$A$1:$I$89,3,0)*VLOOKUP('Données projet'!$B$9,Paramètres!$A$1:$I$89,5,0)</f>
        <v>242.48640000000009</v>
      </c>
      <c r="P197" s="13">
        <f t="shared" ref="P197:P203" si="203">EXP(-1.0587+0.8836*LN(O197)+0.284)</f>
        <v>58.974170235372476</v>
      </c>
      <c r="Q197" s="20">
        <f t="shared" si="162"/>
        <v>525.04382649327385</v>
      </c>
      <c r="R197" s="59">
        <f t="shared" si="191"/>
        <v>818.37715982660711</v>
      </c>
      <c r="S197" s="59">
        <f ca="1">AVERAGE(OFFSET($R$3,0,0,'Données projet'!$E$9+1,1))-AVERAGE(OFFSET($H$3,0,0,'Données projet'!$E$9+1,1))</f>
        <v>371.7282125501186</v>
      </c>
      <c r="T197" s="59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13.475366638483001</v>
      </c>
      <c r="AA197" s="21">
        <f>EXP(-LN(2)/25)*AA196+(1-EXP(-LN(2)/25))/(LN(2)/25)*Calculateur!V197*Calculateur!X197*VLOOKUP('Données projet'!$B$9,Paramètres!$A$1:$I$89,3,0)*0.475*44/12</f>
        <v>0.31785984917564397</v>
      </c>
      <c r="AB197" s="21">
        <f>EXP(-LN(2)/2)*AB196+(1-EXP(-LN(2)/2))/(LN(2)/2)*V197*Y197*VLOOKUP('Données projet'!$B$9,Paramètres!$A$1:$I$89,3,0)*0.475*44/12</f>
        <v>7.7933781043277716E-12</v>
      </c>
      <c r="AC197" s="22">
        <f t="shared" si="163"/>
        <v>13.793226487666438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1.7053025658242404E-13</v>
      </c>
      <c r="AJ197" s="13">
        <f>AI197*VLOOKUP('Données projet'!$B$10,Paramètres!$A$1:$I$89,3,0)*VLOOKUP('Données projet'!$B$10,Paramètres!$A$1:$I$89,5,0)</f>
        <v>7.9808160080574461E-14</v>
      </c>
      <c r="AK197" s="13">
        <f t="shared" si="164"/>
        <v>1.2308384591775343E-12</v>
      </c>
      <c r="AL197" s="20">
        <f t="shared" si="165"/>
        <v>2.282709528541206E-12</v>
      </c>
      <c r="AM197" s="59">
        <f t="shared" si="193"/>
        <v>293.33333333333559</v>
      </c>
      <c r="AN197" s="59">
        <f ca="1">AVERAGE(OFFSET($AM$3,0,0,'Données projet'!$E$10+1,1))-AVERAGE(OFFSET($H$3,0,0,'Données projet'!$E$10+1,1))</f>
        <v>218.32525311070435</v>
      </c>
      <c r="AO197" s="59">
        <f t="shared" ref="AO197:AO203" si="205">$AO$3</f>
        <v>275.36315264099204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6.1379955341691099</v>
      </c>
      <c r="AV197" s="21">
        <f>EXP(-LN(2)/25)*AV196+(1-EXP(-LN(2)/25))/(LN(2)/25)*Calculateur!AQ197*Calculateur!AS197*VLOOKUP('Données projet'!$B$10,Paramètres!$A$1:$I$89,3,0)*0.475*44/12</f>
        <v>0.91655910485291503</v>
      </c>
      <c r="AW197" s="21">
        <f>EXP(-LN(2)/2)*AW196+(1-EXP(-LN(2)/2))/(LN(2)/2)*AQ197*AT197*VLOOKUP('Données projet'!$B$10,Paramètres!$A$1:$I$89,3,0)*0.475*44/12</f>
        <v>4.422124275604445E-19</v>
      </c>
      <c r="AX197" s="21">
        <f t="shared" si="166"/>
        <v>7.0545546390220251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343</v>
      </c>
      <c r="BE197" s="13">
        <f>BD197*VLOOKUP('Données projet'!$B$11,Paramètres!$A$1:$I$89,3,0)*VLOOKUP('Données projet'!$B$11,Paramètres!$A$1:$I$89,5,0)</f>
        <v>326.39879999999999</v>
      </c>
      <c r="BF197" s="13">
        <f t="shared" si="167"/>
        <v>76.683210401884097</v>
      </c>
      <c r="BG197" s="20">
        <f t="shared" si="168"/>
        <v>702.03450144994804</v>
      </c>
      <c r="BH197" s="59">
        <f t="shared" si="194"/>
        <v>995.3678347832813</v>
      </c>
      <c r="BI197" s="59">
        <f ca="1">AVERAGE(OFFSET($BH$3,0,0,'Données projet'!$E$11+1,1))-AVERAGE(OFFSET($H$3,0,0,'Données projet'!$E$11+1,1))</f>
        <v>446.62872871405051</v>
      </c>
      <c r="BJ197" s="59">
        <f t="shared" ref="BJ197:BJ203" si="206">$BJ$3</f>
        <v>471.28934889691658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5.1054497582771114</v>
      </c>
      <c r="BQ197" s="21">
        <f>EXP(-LN(2)/25)*BQ196+(1-EXP(-LN(2)/25))/(LN(2)/25)*Calculateur!BL197*Calculateur!BN197*VLOOKUP('Données projet'!$B$11,Paramètres!$A$1:$I$89,3,0)*0.475*44/12</f>
        <v>0.10801397018662794</v>
      </c>
      <c r="BR197" s="21">
        <f>EXP(-LN(2)/2)*BR196+(1-EXP(-LN(2)/2))/(LN(2)/2)*BL197*BO197*VLOOKUP('Données projet'!$B$11,Paramètres!$A$1:$I$89,3,0)*0.475*44/12</f>
        <v>3.7154121850728257E-19</v>
      </c>
      <c r="BS197" s="22">
        <f t="shared" si="169"/>
        <v>5.2134637284637391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991.00000000000011</v>
      </c>
      <c r="BZ197" s="13">
        <f>BY197*VLOOKUP('Données projet'!$B$12,Paramètres!$A$1:$I$89,3,0)*VLOOKUP('Données projet'!$B$12,Paramètres!$A$1:$I$89,5,0)</f>
        <v>438.02200000000011</v>
      </c>
      <c r="CA197" s="13">
        <f t="shared" si="170"/>
        <v>99.443834741543355</v>
      </c>
      <c r="CB197" s="20">
        <f t="shared" si="171"/>
        <v>936.08632884152132</v>
      </c>
      <c r="CC197" s="59">
        <f t="shared" si="195"/>
        <v>1229.4196621748547</v>
      </c>
      <c r="CD197" s="59">
        <f ca="1">AVERAGE(OFFSET($CC$3,0,0,'Données projet'!$E$12+1,1))-AVERAGE(OFFSET($H$3,0,0,'Données projet'!$E$12+1,1))</f>
        <v>534.99316143569899</v>
      </c>
      <c r="CE197" s="59">
        <f t="shared" ref="CE197:CE203" si="207">$CE$3</f>
        <v>449.56965858934262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7.3337356012405106</v>
      </c>
      <c r="CL197" s="21">
        <f>EXP(-LN(2)/25)*CL196+(1-EXP(-LN(2)/25))/(LN(2)/25)*Calculateur!CG197*Calculateur!CI197*VLOOKUP('Données projet'!$B$12,Paramètres!$A$1:$I$89,3,0)*0.475*44/12</f>
        <v>1.3583828270008089</v>
      </c>
      <c r="CM197" s="21">
        <f>EXP(-LN(2)/2)*CM196+(1-EXP(-LN(2)/2))/(LN(2)/2)*CG197*CJ197*VLOOKUP('Données projet'!$B$12,Paramètres!$A$1:$I$89,3,0)*0.475*44/12</f>
        <v>1.8917203565656385E-17</v>
      </c>
      <c r="CN197" s="22">
        <f t="shared" si="172"/>
        <v>8.6921184282413186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251.00000000000006</v>
      </c>
      <c r="CU197" s="17">
        <f>CT197*VLOOKUP('Données projet'!$B$13,Paramètres!$A$1:$I$89,3,0)*VLOOKUP('Données projet'!$B$13,Paramètres!$A$1:$I$89,5,0)</f>
        <v>285.83880000000011</v>
      </c>
      <c r="CV197" s="13">
        <f t="shared" si="173"/>
        <v>68.199429147498265</v>
      </c>
      <c r="CW197" s="20">
        <f t="shared" si="174"/>
        <v>616.61658243189299</v>
      </c>
      <c r="CX197" s="59">
        <f t="shared" si="196"/>
        <v>909.94991576522625</v>
      </c>
      <c r="CY197" s="59">
        <f ca="1">AVERAGE(OFFSET($CX$3,0,0,'Données projet'!$E$13+1,1))-AVERAGE(OFFSET($H$3,0,0,'Données projet'!$E$13+1,1))</f>
        <v>389.89050053480827</v>
      </c>
      <c r="CZ197" s="59">
        <f t="shared" ref="CZ197:CZ203" si="208">$CZ$3</f>
        <v>216.40816051909616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3.1628723104623981</v>
      </c>
      <c r="DG197" s="21">
        <f>EXP(-LN(2)/25)*DG196+(1-EXP(-LN(2)/25))/(LN(2)/25)*Calculateur!DB197*Calculateur!DD197*VLOOKUP('Données projet'!$B$13,Paramètres!$A$1:$I$89,3,0)*0.475*44/12</f>
        <v>0.18378830496453522</v>
      </c>
      <c r="DH197" s="21">
        <f>EXP(-LN(2)/2)*DH196+(1-EXP(-LN(2)/2))/(LN(2)/2)*DB197*DE197*VLOOKUP('Données projet'!$B$13,Paramètres!$A$1:$I$89,3,0)*0.475*44/12</f>
        <v>4.5615972743544787E-12</v>
      </c>
      <c r="DI197" s="22">
        <f t="shared" si="175"/>
        <v>3.3466606154314951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268.00000000000011</v>
      </c>
      <c r="O198" s="13">
        <f>N198*VLOOKUP('Données projet'!$B$9,Paramètres!$A$1:$I$89,3,0)*VLOOKUP('Données projet'!$B$9,Paramètres!$A$1:$I$89,5,0)</f>
        <v>242.48640000000009</v>
      </c>
      <c r="P198" s="13">
        <f t="shared" si="203"/>
        <v>58.974170235372476</v>
      </c>
      <c r="Q198" s="20">
        <f t="shared" si="162"/>
        <v>525.04382649327385</v>
      </c>
      <c r="R198" s="59">
        <f t="shared" si="191"/>
        <v>818.37715982660711</v>
      </c>
      <c r="S198" s="59">
        <f ca="1">AVERAGE(OFFSET($R$3,0,0,'Données projet'!$E$9+1,1))-AVERAGE(OFFSET($H$3,0,0,'Données projet'!$E$9+1,1))</f>
        <v>371.7282125501186</v>
      </c>
      <c r="T198" s="59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13.211122917864424</v>
      </c>
      <c r="AA198" s="21">
        <f>EXP(-LN(2)/25)*AA197+(1-EXP(-LN(2)/25))/(LN(2)/25)*Calculateur!V198*Calculateur!X198*VLOOKUP('Données projet'!$B$9,Paramètres!$A$1:$I$89,3,0)*0.475*44/12</f>
        <v>0.30916795488441301</v>
      </c>
      <c r="AB198" s="21">
        <f>EXP(-LN(2)/2)*AB197+(1-EXP(-LN(2)/2))/(LN(2)/2)*V198*Y198*VLOOKUP('Données projet'!$B$9,Paramètres!$A$1:$I$89,3,0)*0.475*44/12</f>
        <v>5.5107505059209281E-12</v>
      </c>
      <c r="AC198" s="22">
        <f t="shared" si="163"/>
        <v>13.520290872754348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1.7053025658242404E-13</v>
      </c>
      <c r="AJ198" s="13">
        <f>AI198*VLOOKUP('Données projet'!$B$10,Paramètres!$A$1:$I$89,3,0)*VLOOKUP('Données projet'!$B$10,Paramètres!$A$1:$I$89,5,0)</f>
        <v>7.9808160080574461E-14</v>
      </c>
      <c r="AK198" s="13">
        <f t="shared" si="164"/>
        <v>1.2308384591775343E-12</v>
      </c>
      <c r="AL198" s="20">
        <f t="shared" si="165"/>
        <v>2.282709528541206E-12</v>
      </c>
      <c r="AM198" s="59">
        <f t="shared" si="193"/>
        <v>293.33333333333559</v>
      </c>
      <c r="AN198" s="59">
        <f ca="1">AVERAGE(OFFSET($AM$3,0,0,'Données projet'!$E$10+1,1))-AVERAGE(OFFSET($H$3,0,0,'Données projet'!$E$10+1,1))</f>
        <v>218.32525311070435</v>
      </c>
      <c r="AO198" s="59">
        <f t="shared" si="205"/>
        <v>275.36315264099204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6.0176331855516594</v>
      </c>
      <c r="AV198" s="21">
        <f>EXP(-LN(2)/25)*AV197+(1-EXP(-LN(2)/25))/(LN(2)/25)*Calculateur!AQ198*Calculateur!AS198*VLOOKUP('Données projet'!$B$10,Paramètres!$A$1:$I$89,3,0)*0.475*44/12</f>
        <v>0.89149574793096353</v>
      </c>
      <c r="AW198" s="21">
        <f>EXP(-LN(2)/2)*AW197+(1-EXP(-LN(2)/2))/(LN(2)/2)*AQ198*AT198*VLOOKUP('Données projet'!$B$10,Paramètres!$A$1:$I$89,3,0)*0.475*44/12</f>
        <v>3.1269140625295523E-19</v>
      </c>
      <c r="AX198" s="21">
        <f t="shared" si="166"/>
        <v>6.9091289334826227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343</v>
      </c>
      <c r="BE198" s="13">
        <f>BD198*VLOOKUP('Données projet'!$B$11,Paramètres!$A$1:$I$89,3,0)*VLOOKUP('Données projet'!$B$11,Paramètres!$A$1:$I$89,5,0)</f>
        <v>326.39879999999999</v>
      </c>
      <c r="BF198" s="13">
        <f t="shared" si="167"/>
        <v>76.683210401884097</v>
      </c>
      <c r="BG198" s="20">
        <f t="shared" si="168"/>
        <v>702.03450144994804</v>
      </c>
      <c r="BH198" s="59">
        <f t="shared" si="194"/>
        <v>995.3678347832813</v>
      </c>
      <c r="BI198" s="59">
        <f ca="1">AVERAGE(OFFSET($BH$3,0,0,'Données projet'!$E$11+1,1))-AVERAGE(OFFSET($H$3,0,0,'Données projet'!$E$11+1,1))</f>
        <v>446.62872871405051</v>
      </c>
      <c r="BJ198" s="59">
        <f t="shared" si="206"/>
        <v>471.28934889691658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5.0053350025341663</v>
      </c>
      <c r="BQ198" s="21">
        <f>EXP(-LN(2)/25)*BQ197+(1-EXP(-LN(2)/25))/(LN(2)/25)*Calculateur!BL198*Calculateur!BN198*VLOOKUP('Données projet'!$B$11,Paramètres!$A$1:$I$89,3,0)*0.475*44/12</f>
        <v>0.10506032249166677</v>
      </c>
      <c r="BR198" s="21">
        <f>EXP(-LN(2)/2)*BR197+(1-EXP(-LN(2)/2))/(LN(2)/2)*BL198*BO198*VLOOKUP('Données projet'!$B$11,Paramètres!$A$1:$I$89,3,0)*0.475*44/12</f>
        <v>2.627193150968123E-19</v>
      </c>
      <c r="BS198" s="22">
        <f t="shared" si="169"/>
        <v>5.1103953250258334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991.00000000000011</v>
      </c>
      <c r="BZ198" s="13">
        <f>BY198*VLOOKUP('Données projet'!$B$12,Paramètres!$A$1:$I$89,3,0)*VLOOKUP('Données projet'!$B$12,Paramètres!$A$1:$I$89,5,0)</f>
        <v>438.02200000000011</v>
      </c>
      <c r="CA198" s="13">
        <f t="shared" si="170"/>
        <v>99.443834741543355</v>
      </c>
      <c r="CB198" s="20">
        <f t="shared" si="171"/>
        <v>936.08632884152132</v>
      </c>
      <c r="CC198" s="59">
        <f t="shared" si="195"/>
        <v>1229.4196621748547</v>
      </c>
      <c r="CD198" s="59">
        <f ca="1">AVERAGE(OFFSET($CC$3,0,0,'Données projet'!$E$12+1,1))-AVERAGE(OFFSET($H$3,0,0,'Données projet'!$E$12+1,1))</f>
        <v>534.99316143569899</v>
      </c>
      <c r="CE198" s="59">
        <f t="shared" si="207"/>
        <v>449.56965858934262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7.1899255192372156</v>
      </c>
      <c r="CL198" s="21">
        <f>EXP(-LN(2)/25)*CL197+(1-EXP(-LN(2)/25))/(LN(2)/25)*Calculateur!CG198*Calculateur!CI198*VLOOKUP('Données projet'!$B$12,Paramètres!$A$1:$I$89,3,0)*0.475*44/12</f>
        <v>1.3212377771622235</v>
      </c>
      <c r="CM198" s="21">
        <f>EXP(-LN(2)/2)*CM197+(1-EXP(-LN(2)/2))/(LN(2)/2)*CG198*CJ198*VLOOKUP('Données projet'!$B$12,Paramètres!$A$1:$I$89,3,0)*0.475*44/12</f>
        <v>1.3376482922361966E-17</v>
      </c>
      <c r="CN198" s="22">
        <f t="shared" si="172"/>
        <v>8.5111632963994381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251.00000000000006</v>
      </c>
      <c r="CU198" s="17">
        <f>CT198*VLOOKUP('Données projet'!$B$13,Paramètres!$A$1:$I$89,3,0)*VLOOKUP('Données projet'!$B$13,Paramètres!$A$1:$I$89,5,0)</f>
        <v>285.83880000000011</v>
      </c>
      <c r="CV198" s="13">
        <f t="shared" si="173"/>
        <v>68.199429147498265</v>
      </c>
      <c r="CW198" s="20">
        <f t="shared" si="174"/>
        <v>616.61658243189299</v>
      </c>
      <c r="CX198" s="59">
        <f t="shared" si="196"/>
        <v>909.94991576522625</v>
      </c>
      <c r="CY198" s="59">
        <f ca="1">AVERAGE(OFFSET($CX$3,0,0,'Données projet'!$E$13+1,1))-AVERAGE(OFFSET($H$3,0,0,'Données projet'!$E$13+1,1))</f>
        <v>389.89050053480827</v>
      </c>
      <c r="CZ198" s="59">
        <f t="shared" si="208"/>
        <v>216.40816051909616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3.100850313615851</v>
      </c>
      <c r="DG198" s="21">
        <f>EXP(-LN(2)/25)*DG197+(1-EXP(-LN(2)/25))/(LN(2)/25)*Calculateur!DB198*Calculateur!DD198*VLOOKUP('Données projet'!$B$13,Paramètres!$A$1:$I$89,3,0)*0.475*44/12</f>
        <v>0.17876260410027309</v>
      </c>
      <c r="DH198" s="21">
        <f>EXP(-LN(2)/2)*DH197+(1-EXP(-LN(2)/2))/(LN(2)/2)*DB198*DE198*VLOOKUP('Données projet'!$B$13,Paramètres!$A$1:$I$89,3,0)*0.475*44/12</f>
        <v>3.225536365738124E-12</v>
      </c>
      <c r="DI198" s="22">
        <f t="shared" si="175"/>
        <v>3.2796129177193496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268.00000000000011</v>
      </c>
      <c r="O199" s="13">
        <f>N199*VLOOKUP('Données projet'!$B$9,Paramètres!$A$1:$I$89,3,0)*VLOOKUP('Données projet'!$B$9,Paramètres!$A$1:$I$89,5,0)</f>
        <v>242.48640000000009</v>
      </c>
      <c r="P199" s="13">
        <f t="shared" si="203"/>
        <v>58.974170235372476</v>
      </c>
      <c r="Q199" s="20">
        <f t="shared" si="162"/>
        <v>525.04382649327385</v>
      </c>
      <c r="R199" s="59">
        <f t="shared" si="191"/>
        <v>818.37715982660711</v>
      </c>
      <c r="S199" s="59">
        <f ca="1">AVERAGE(OFFSET($R$3,0,0,'Données projet'!$E$9+1,1))-AVERAGE(OFFSET($H$3,0,0,'Données projet'!$E$9+1,1))</f>
        <v>371.7282125501186</v>
      </c>
      <c r="T199" s="59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12.952060855434421</v>
      </c>
      <c r="AA199" s="21">
        <f>EXP(-LN(2)/25)*AA198+(1-EXP(-LN(2)/25))/(LN(2)/25)*Calculateur!V199*Calculateur!X199*VLOOKUP('Données projet'!$B$9,Paramètres!$A$1:$I$89,3,0)*0.475*44/12</f>
        <v>0.30071374089966263</v>
      </c>
      <c r="AB199" s="21">
        <f>EXP(-LN(2)/2)*AB198+(1-EXP(-LN(2)/2))/(LN(2)/2)*V199*Y199*VLOOKUP('Données projet'!$B$9,Paramètres!$A$1:$I$89,3,0)*0.475*44/12</f>
        <v>3.8966890521638858E-12</v>
      </c>
      <c r="AC199" s="22">
        <f t="shared" si="163"/>
        <v>13.252774596337982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1.7053025658242404E-13</v>
      </c>
      <c r="AJ199" s="13">
        <f>AI199*VLOOKUP('Données projet'!$B$10,Paramètres!$A$1:$I$89,3,0)*VLOOKUP('Données projet'!$B$10,Paramètres!$A$1:$I$89,5,0)</f>
        <v>7.9808160080574461E-14</v>
      </c>
      <c r="AK199" s="13">
        <f t="shared" si="164"/>
        <v>1.2308384591775343E-12</v>
      </c>
      <c r="AL199" s="20">
        <f t="shared" si="165"/>
        <v>2.282709528541206E-12</v>
      </c>
      <c r="AM199" s="59">
        <f t="shared" si="193"/>
        <v>293.33333333333559</v>
      </c>
      <c r="AN199" s="59">
        <f ca="1">AVERAGE(OFFSET($AM$3,0,0,'Données projet'!$E$10+1,1))-AVERAGE(OFFSET($H$3,0,0,'Données projet'!$E$10+1,1))</f>
        <v>218.32525311070435</v>
      </c>
      <c r="AO199" s="59">
        <f t="shared" si="205"/>
        <v>275.36315264099204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5.899631069176813</v>
      </c>
      <c r="AV199" s="21">
        <f>EXP(-LN(2)/25)*AV198+(1-EXP(-LN(2)/25))/(LN(2)/25)*Calculateur!AQ199*Calculateur!AS199*VLOOKUP('Données projet'!$B$10,Paramètres!$A$1:$I$89,3,0)*0.475*44/12</f>
        <v>0.86711774982206746</v>
      </c>
      <c r="AW199" s="21">
        <f>EXP(-LN(2)/2)*AW198+(1-EXP(-LN(2)/2))/(LN(2)/2)*AQ199*AT199*VLOOKUP('Données projet'!$B$10,Paramètres!$A$1:$I$89,3,0)*0.475*44/12</f>
        <v>2.2110621378022225E-19</v>
      </c>
      <c r="AX199" s="21">
        <f t="shared" si="166"/>
        <v>6.7667488189988809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343</v>
      </c>
      <c r="BE199" s="13">
        <f>BD199*VLOOKUP('Données projet'!$B$11,Paramètres!$A$1:$I$89,3,0)*VLOOKUP('Données projet'!$B$11,Paramètres!$A$1:$I$89,5,0)</f>
        <v>326.39879999999999</v>
      </c>
      <c r="BF199" s="13">
        <f t="shared" si="167"/>
        <v>76.683210401884097</v>
      </c>
      <c r="BG199" s="20">
        <f t="shared" si="168"/>
        <v>702.03450144994804</v>
      </c>
      <c r="BH199" s="59">
        <f t="shared" si="194"/>
        <v>995.3678347832813</v>
      </c>
      <c r="BI199" s="59">
        <f ca="1">AVERAGE(OFFSET($BH$3,0,0,'Données projet'!$E$11+1,1))-AVERAGE(OFFSET($H$3,0,0,'Données projet'!$E$11+1,1))</f>
        <v>446.62872871405051</v>
      </c>
      <c r="BJ199" s="59">
        <f t="shared" si="206"/>
        <v>471.28934889691658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4.9071834360873687</v>
      </c>
      <c r="BQ199" s="21">
        <f>EXP(-LN(2)/25)*BQ198+(1-EXP(-LN(2)/25))/(LN(2)/25)*Calculateur!BL199*Calculateur!BN199*VLOOKUP('Données projet'!$B$11,Paramètres!$A$1:$I$89,3,0)*0.475*44/12</f>
        <v>0.1021874424482499</v>
      </c>
      <c r="BR199" s="21">
        <f>EXP(-LN(2)/2)*BR198+(1-EXP(-LN(2)/2))/(LN(2)/2)*BL199*BO199*VLOOKUP('Données projet'!$B$11,Paramètres!$A$1:$I$89,3,0)*0.475*44/12</f>
        <v>1.8577060925364129E-19</v>
      </c>
      <c r="BS199" s="22">
        <f t="shared" si="169"/>
        <v>5.009370878535619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991.00000000000011</v>
      </c>
      <c r="BZ199" s="13">
        <f>BY199*VLOOKUP('Données projet'!$B$12,Paramètres!$A$1:$I$89,3,0)*VLOOKUP('Données projet'!$B$12,Paramètres!$A$1:$I$89,5,0)</f>
        <v>438.02200000000011</v>
      </c>
      <c r="CA199" s="13">
        <f t="shared" si="170"/>
        <v>99.443834741543355</v>
      </c>
      <c r="CB199" s="20">
        <f t="shared" si="171"/>
        <v>936.08632884152132</v>
      </c>
      <c r="CC199" s="59">
        <f t="shared" si="195"/>
        <v>1229.4196621748547</v>
      </c>
      <c r="CD199" s="59">
        <f ca="1">AVERAGE(OFFSET($CC$3,0,0,'Données projet'!$E$12+1,1))-AVERAGE(OFFSET($H$3,0,0,'Données projet'!$E$12+1,1))</f>
        <v>534.99316143569899</v>
      </c>
      <c r="CE199" s="59">
        <f t="shared" si="207"/>
        <v>449.56965858934262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7.0489354652265162</v>
      </c>
      <c r="CL199" s="21">
        <f>EXP(-LN(2)/25)*CL198+(1-EXP(-LN(2)/25))/(LN(2)/25)*Calculateur!CG199*Calculateur!CI199*VLOOKUP('Données projet'!$B$12,Paramètres!$A$1:$I$89,3,0)*0.475*44/12</f>
        <v>1.2851084606648475</v>
      </c>
      <c r="CM199" s="21">
        <f>EXP(-LN(2)/2)*CM198+(1-EXP(-LN(2)/2))/(LN(2)/2)*CG199*CJ199*VLOOKUP('Données projet'!$B$12,Paramètres!$A$1:$I$89,3,0)*0.475*44/12</f>
        <v>9.4586017828281925E-18</v>
      </c>
      <c r="CN199" s="22">
        <f t="shared" si="172"/>
        <v>8.334043925891363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251.00000000000006</v>
      </c>
      <c r="CU199" s="17">
        <f>CT199*VLOOKUP('Données projet'!$B$13,Paramètres!$A$1:$I$89,3,0)*VLOOKUP('Données projet'!$B$13,Paramètres!$A$1:$I$89,5,0)</f>
        <v>285.83880000000011</v>
      </c>
      <c r="CV199" s="13">
        <f t="shared" si="173"/>
        <v>68.199429147498265</v>
      </c>
      <c r="CW199" s="20">
        <f t="shared" si="174"/>
        <v>616.61658243189299</v>
      </c>
      <c r="CX199" s="59">
        <f t="shared" si="196"/>
        <v>909.94991576522625</v>
      </c>
      <c r="CY199" s="59">
        <f ca="1">AVERAGE(OFFSET($CX$3,0,0,'Données projet'!$E$13+1,1))-AVERAGE(OFFSET($H$3,0,0,'Données projet'!$E$13+1,1))</f>
        <v>389.89050053480827</v>
      </c>
      <c r="CZ199" s="59">
        <f t="shared" si="208"/>
        <v>216.40816051909616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3.0400445302977821</v>
      </c>
      <c r="DG199" s="21">
        <f>EXP(-LN(2)/25)*DG198+(1-EXP(-LN(2)/25))/(LN(2)/25)*Calculateur!DB199*Calculateur!DD199*VLOOKUP('Données projet'!$B$13,Paramètres!$A$1:$I$89,3,0)*0.475*44/12</f>
        <v>0.17387433129043434</v>
      </c>
      <c r="DH199" s="21">
        <f>EXP(-LN(2)/2)*DH198+(1-EXP(-LN(2)/2))/(LN(2)/2)*DB199*DE199*VLOOKUP('Données projet'!$B$13,Paramètres!$A$1:$I$89,3,0)*0.475*44/12</f>
        <v>2.2807986371772394E-12</v>
      </c>
      <c r="DI199" s="22">
        <f t="shared" si="175"/>
        <v>3.2139188615904972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268.00000000000011</v>
      </c>
      <c r="O200" s="13">
        <f>N200*VLOOKUP('Données projet'!$B$9,Paramètres!$A$1:$I$89,3,0)*VLOOKUP('Données projet'!$B$9,Paramètres!$A$1:$I$89,5,0)</f>
        <v>242.48640000000009</v>
      </c>
      <c r="P200" s="13">
        <f t="shared" si="203"/>
        <v>58.974170235372476</v>
      </c>
      <c r="Q200" s="20">
        <f t="shared" si="162"/>
        <v>525.04382649327385</v>
      </c>
      <c r="R200" s="59">
        <f t="shared" si="191"/>
        <v>818.37715982660711</v>
      </c>
      <c r="S200" s="59">
        <f ca="1">AVERAGE(OFFSET($R$3,0,0,'Données projet'!$E$9+1,1))-AVERAGE(OFFSET($H$3,0,0,'Données projet'!$E$9+1,1))</f>
        <v>371.7282125501186</v>
      </c>
      <c r="T200" s="59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12.698078842036416</v>
      </c>
      <c r="AA200" s="21">
        <f>EXP(-LN(2)/25)*AA199+(1-EXP(-LN(2)/25))/(LN(2)/25)*Calculateur!V200*Calculateur!X200*VLOOKUP('Données projet'!$B$9,Paramètres!$A$1:$I$89,3,0)*0.475*44/12</f>
        <v>0.29249070784091302</v>
      </c>
      <c r="AB200" s="21">
        <f>EXP(-LN(2)/2)*AB199+(1-EXP(-LN(2)/2))/(LN(2)/2)*V200*Y200*VLOOKUP('Données projet'!$B$9,Paramètres!$A$1:$I$89,3,0)*0.475*44/12</f>
        <v>2.7553752529604641E-12</v>
      </c>
      <c r="AC200" s="22">
        <f t="shared" si="163"/>
        <v>12.990569549880085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1.7053025658242404E-13</v>
      </c>
      <c r="AJ200" s="13">
        <f>AI200*VLOOKUP('Données projet'!$B$10,Paramètres!$A$1:$I$89,3,0)*VLOOKUP('Données projet'!$B$10,Paramètres!$A$1:$I$89,5,0)</f>
        <v>7.9808160080574461E-14</v>
      </c>
      <c r="AK200" s="13">
        <f t="shared" si="164"/>
        <v>1.2308384591775343E-12</v>
      </c>
      <c r="AL200" s="20">
        <f t="shared" si="165"/>
        <v>2.282709528541206E-12</v>
      </c>
      <c r="AM200" s="59">
        <f t="shared" si="193"/>
        <v>293.33333333333559</v>
      </c>
      <c r="AN200" s="59">
        <f ca="1">AVERAGE(OFFSET($AM$3,0,0,'Données projet'!$E$10+1,1))-AVERAGE(OFFSET($H$3,0,0,'Données projet'!$E$10+1,1))</f>
        <v>218.32525311070435</v>
      </c>
      <c r="AO200" s="59">
        <f t="shared" si="205"/>
        <v>275.36315264099204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5.7839429023298932</v>
      </c>
      <c r="AV200" s="21">
        <f>EXP(-LN(2)/25)*AV199+(1-EXP(-LN(2)/25))/(LN(2)/25)*Calculateur!AQ200*Calculateur!AS200*VLOOKUP('Données projet'!$B$10,Paramètres!$A$1:$I$89,3,0)*0.475*44/12</f>
        <v>0.84340636935344238</v>
      </c>
      <c r="AW200" s="21">
        <f>EXP(-LN(2)/2)*AW199+(1-EXP(-LN(2)/2))/(LN(2)/2)*AQ200*AT200*VLOOKUP('Données projet'!$B$10,Paramètres!$A$1:$I$89,3,0)*0.475*44/12</f>
        <v>1.5634570312647762E-19</v>
      </c>
      <c r="AX200" s="21">
        <f t="shared" si="166"/>
        <v>6.627349271683336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343</v>
      </c>
      <c r="BE200" s="13">
        <f>BD200*VLOOKUP('Données projet'!$B$11,Paramètres!$A$1:$I$89,3,0)*VLOOKUP('Données projet'!$B$11,Paramètres!$A$1:$I$89,5,0)</f>
        <v>326.39879999999999</v>
      </c>
      <c r="BF200" s="13">
        <f t="shared" si="167"/>
        <v>76.683210401884097</v>
      </c>
      <c r="BG200" s="20">
        <f t="shared" si="168"/>
        <v>702.03450144994804</v>
      </c>
      <c r="BH200" s="59">
        <f t="shared" si="194"/>
        <v>995.3678347832813</v>
      </c>
      <c r="BI200" s="59">
        <f ca="1">AVERAGE(OFFSET($BH$3,0,0,'Données projet'!$E$11+1,1))-AVERAGE(OFFSET($H$3,0,0,'Données projet'!$E$11+1,1))</f>
        <v>446.62872871405051</v>
      </c>
      <c r="BJ200" s="59">
        <f t="shared" si="206"/>
        <v>471.28934889691658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4.8109565619920485</v>
      </c>
      <c r="BQ200" s="21">
        <f>EXP(-LN(2)/25)*BQ199+(1-EXP(-LN(2)/25))/(LN(2)/25)*Calculateur!BL200*Calculateur!BN200*VLOOKUP('Données projet'!$B$11,Paramètres!$A$1:$I$89,3,0)*0.475*44/12</f>
        <v>9.9393121460698466E-2</v>
      </c>
      <c r="BR200" s="21">
        <f>EXP(-LN(2)/2)*BR199+(1-EXP(-LN(2)/2))/(LN(2)/2)*BL200*BO200*VLOOKUP('Données projet'!$B$11,Paramètres!$A$1:$I$89,3,0)*0.475*44/12</f>
        <v>1.3135965754840615E-19</v>
      </c>
      <c r="BS200" s="22">
        <f t="shared" si="169"/>
        <v>4.9103496834527469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991.00000000000011</v>
      </c>
      <c r="BZ200" s="13">
        <f>BY200*VLOOKUP('Données projet'!$B$12,Paramètres!$A$1:$I$89,3,0)*VLOOKUP('Données projet'!$B$12,Paramètres!$A$1:$I$89,5,0)</f>
        <v>438.02200000000011</v>
      </c>
      <c r="CA200" s="13">
        <f t="shared" si="170"/>
        <v>99.443834741543355</v>
      </c>
      <c r="CB200" s="20">
        <f t="shared" si="171"/>
        <v>936.08632884152132</v>
      </c>
      <c r="CC200" s="59">
        <f t="shared" si="195"/>
        <v>1229.4196621748547</v>
      </c>
      <c r="CD200" s="59">
        <f ca="1">AVERAGE(OFFSET($CC$3,0,0,'Données projet'!$E$12+1,1))-AVERAGE(OFFSET($H$3,0,0,'Données projet'!$E$12+1,1))</f>
        <v>534.99316143569899</v>
      </c>
      <c r="CE200" s="59">
        <f t="shared" si="207"/>
        <v>449.56965858934262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6.9107101401795248</v>
      </c>
      <c r="CL200" s="21">
        <f>EXP(-LN(2)/25)*CL199+(1-EXP(-LN(2)/25))/(LN(2)/25)*Calculateur!CG200*Calculateur!CI200*VLOOKUP('Données projet'!$B$12,Paramètres!$A$1:$I$89,3,0)*0.475*44/12</f>
        <v>1.2499671022270504</v>
      </c>
      <c r="CM200" s="21">
        <f>EXP(-LN(2)/2)*CM199+(1-EXP(-LN(2)/2))/(LN(2)/2)*CG200*CJ200*VLOOKUP('Données projet'!$B$12,Paramètres!$A$1:$I$89,3,0)*0.475*44/12</f>
        <v>6.6882414611809831E-18</v>
      </c>
      <c r="CN200" s="22">
        <f t="shared" si="172"/>
        <v>8.1606772424065745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251.00000000000006</v>
      </c>
      <c r="CU200" s="17">
        <f>CT200*VLOOKUP('Données projet'!$B$13,Paramètres!$A$1:$I$89,3,0)*VLOOKUP('Données projet'!$B$13,Paramètres!$A$1:$I$89,5,0)</f>
        <v>285.83880000000011</v>
      </c>
      <c r="CV200" s="13">
        <f t="shared" si="173"/>
        <v>68.199429147498265</v>
      </c>
      <c r="CW200" s="20">
        <f t="shared" si="174"/>
        <v>616.61658243189299</v>
      </c>
      <c r="CX200" s="59">
        <f t="shared" si="196"/>
        <v>909.94991576522625</v>
      </c>
      <c r="CY200" s="59">
        <f ca="1">AVERAGE(OFFSET($CX$3,0,0,'Données projet'!$E$13+1,1))-AVERAGE(OFFSET($H$3,0,0,'Données projet'!$E$13+1,1))</f>
        <v>389.89050053480827</v>
      </c>
      <c r="CZ200" s="59">
        <f t="shared" si="208"/>
        <v>216.40816051909616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2.9804311113027149</v>
      </c>
      <c r="DG200" s="21">
        <f>EXP(-LN(2)/25)*DG199+(1-EXP(-LN(2)/25))/(LN(2)/25)*Calculateur!DB200*Calculateur!DD200*VLOOKUP('Données projet'!$B$13,Paramètres!$A$1:$I$89,3,0)*0.475*44/12</f>
        <v>0.16911972855764373</v>
      </c>
      <c r="DH200" s="21">
        <f>EXP(-LN(2)/2)*DH199+(1-EXP(-LN(2)/2))/(LN(2)/2)*DB200*DE200*VLOOKUP('Données projet'!$B$13,Paramètres!$A$1:$I$89,3,0)*0.475*44/12</f>
        <v>1.612768182869062E-12</v>
      </c>
      <c r="DI200" s="22">
        <f t="shared" si="175"/>
        <v>3.1495508398619716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268.00000000000011</v>
      </c>
      <c r="O201" s="13">
        <f>N201*VLOOKUP('Données projet'!$B$9,Paramètres!$A$1:$I$89,3,0)*VLOOKUP('Données projet'!$B$9,Paramètres!$A$1:$I$89,5,0)</f>
        <v>242.48640000000009</v>
      </c>
      <c r="P201" s="13">
        <f t="shared" si="203"/>
        <v>58.974170235372476</v>
      </c>
      <c r="Q201" s="20">
        <f t="shared" si="162"/>
        <v>525.04382649327385</v>
      </c>
      <c r="R201" s="59">
        <f t="shared" si="191"/>
        <v>818.37715982660711</v>
      </c>
      <c r="S201" s="59">
        <f ca="1">AVERAGE(OFFSET($R$3,0,0,'Données projet'!$E$9+1,1))-AVERAGE(OFFSET($H$3,0,0,'Données projet'!$E$9+1,1))</f>
        <v>371.7282125501186</v>
      </c>
      <c r="T201" s="59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12.449077261007414</v>
      </c>
      <c r="AA201" s="21">
        <f>EXP(-LN(2)/25)*AA200+(1-EXP(-LN(2)/25))/(LN(2)/25)*Calculateur!V201*Calculateur!X201*VLOOKUP('Données projet'!$B$9,Paramètres!$A$1:$I$89,3,0)*0.475*44/12</f>
        <v>0.28449253405358543</v>
      </c>
      <c r="AB201" s="21">
        <f>EXP(-LN(2)/2)*AB200+(1-EXP(-LN(2)/2))/(LN(2)/2)*V201*Y201*VLOOKUP('Données projet'!$B$9,Paramètres!$A$1:$I$89,3,0)*0.475*44/12</f>
        <v>1.9483445260819429E-12</v>
      </c>
      <c r="AC201" s="22">
        <f t="shared" si="163"/>
        <v>12.733569795062948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1.7053025658242404E-13</v>
      </c>
      <c r="AJ201" s="13">
        <f>AI201*VLOOKUP('Données projet'!$B$10,Paramètres!$A$1:$I$89,3,0)*VLOOKUP('Données projet'!$B$10,Paramètres!$A$1:$I$89,5,0)</f>
        <v>7.9808160080574461E-14</v>
      </c>
      <c r="AK201" s="13">
        <f t="shared" si="164"/>
        <v>1.2308384591775343E-12</v>
      </c>
      <c r="AL201" s="20">
        <f t="shared" si="165"/>
        <v>2.282709528541206E-12</v>
      </c>
      <c r="AM201" s="59">
        <f t="shared" si="193"/>
        <v>293.33333333333559</v>
      </c>
      <c r="AN201" s="59">
        <f ca="1">AVERAGE(OFFSET($AM$3,0,0,'Données projet'!$E$10+1,1))-AVERAGE(OFFSET($H$3,0,0,'Données projet'!$E$10+1,1))</f>
        <v>218.32525311070435</v>
      </c>
      <c r="AO201" s="59">
        <f t="shared" si="205"/>
        <v>275.36315264099204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5.6705233098720278</v>
      </c>
      <c r="AV201" s="21">
        <f>EXP(-LN(2)/25)*AV200+(1-EXP(-LN(2)/25))/(LN(2)/25)*Calculateur!AQ201*Calculateur!AS201*VLOOKUP('Données projet'!$B$10,Paramètres!$A$1:$I$89,3,0)*0.475*44/12</f>
        <v>0.82034337783065914</v>
      </c>
      <c r="AW201" s="21">
        <f>EXP(-LN(2)/2)*AW200+(1-EXP(-LN(2)/2))/(LN(2)/2)*AQ201*AT201*VLOOKUP('Données projet'!$B$10,Paramètres!$A$1:$I$89,3,0)*0.475*44/12</f>
        <v>1.1055310689011112E-19</v>
      </c>
      <c r="AX201" s="21">
        <f t="shared" si="166"/>
        <v>6.4908666877026873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343</v>
      </c>
      <c r="BE201" s="13">
        <f>BD201*VLOOKUP('Données projet'!$B$11,Paramètres!$A$1:$I$89,3,0)*VLOOKUP('Données projet'!$B$11,Paramètres!$A$1:$I$89,5,0)</f>
        <v>326.39879999999999</v>
      </c>
      <c r="BF201" s="13">
        <f t="shared" si="167"/>
        <v>76.683210401884097</v>
      </c>
      <c r="BG201" s="20">
        <f t="shared" si="168"/>
        <v>702.03450144994804</v>
      </c>
      <c r="BH201" s="59">
        <f t="shared" si="194"/>
        <v>995.3678347832813</v>
      </c>
      <c r="BI201" s="59">
        <f ca="1">AVERAGE(OFFSET($BH$3,0,0,'Données projet'!$E$11+1,1))-AVERAGE(OFFSET($H$3,0,0,'Données projet'!$E$11+1,1))</f>
        <v>446.62872871405051</v>
      </c>
      <c r="BJ201" s="59">
        <f t="shared" si="206"/>
        <v>471.28934889691658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4.7166166382051395</v>
      </c>
      <c r="BQ201" s="21">
        <f>EXP(-LN(2)/25)*BQ200+(1-EXP(-LN(2)/25))/(LN(2)/25)*Calculateur!BL201*Calculateur!BN201*VLOOKUP('Données projet'!$B$11,Paramètres!$A$1:$I$89,3,0)*0.475*44/12</f>
        <v>9.6675211327498581E-2</v>
      </c>
      <c r="BR201" s="21">
        <f>EXP(-LN(2)/2)*BR200+(1-EXP(-LN(2)/2))/(LN(2)/2)*BL201*BO201*VLOOKUP('Données projet'!$B$11,Paramètres!$A$1:$I$89,3,0)*0.475*44/12</f>
        <v>9.2885304626820643E-20</v>
      </c>
      <c r="BS201" s="22">
        <f t="shared" si="169"/>
        <v>4.8132918495326384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991.00000000000011</v>
      </c>
      <c r="BZ201" s="13">
        <f>BY201*VLOOKUP('Données projet'!$B$12,Paramètres!$A$1:$I$89,3,0)*VLOOKUP('Données projet'!$B$12,Paramètres!$A$1:$I$89,5,0)</f>
        <v>438.02200000000011</v>
      </c>
      <c r="CA201" s="13">
        <f t="shared" si="170"/>
        <v>99.443834741543355</v>
      </c>
      <c r="CB201" s="20">
        <f t="shared" si="171"/>
        <v>936.08632884152132</v>
      </c>
      <c r="CC201" s="59">
        <f t="shared" si="195"/>
        <v>1229.4196621748547</v>
      </c>
      <c r="CD201" s="59">
        <f ca="1">AVERAGE(OFFSET($CC$3,0,0,'Données projet'!$E$12+1,1))-AVERAGE(OFFSET($H$3,0,0,'Données projet'!$E$12+1,1))</f>
        <v>534.99316143569899</v>
      </c>
      <c r="CE201" s="59">
        <f t="shared" si="207"/>
        <v>449.56965858934262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6.7751953294475813</v>
      </c>
      <c r="CL201" s="21">
        <f>EXP(-LN(2)/25)*CL200+(1-EXP(-LN(2)/25))/(LN(2)/25)*Calculateur!CG201*Calculateur!CI201*VLOOKUP('Données projet'!$B$12,Paramètres!$A$1:$I$89,3,0)*0.475*44/12</f>
        <v>1.2157866860837387</v>
      </c>
      <c r="CM201" s="21">
        <f>EXP(-LN(2)/2)*CM200+(1-EXP(-LN(2)/2))/(LN(2)/2)*CG201*CJ201*VLOOKUP('Données projet'!$B$12,Paramètres!$A$1:$I$89,3,0)*0.475*44/12</f>
        <v>4.7293008914140963E-18</v>
      </c>
      <c r="CN201" s="22">
        <f t="shared" si="172"/>
        <v>7.99098201553132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251.00000000000006</v>
      </c>
      <c r="CU201" s="17">
        <f>CT201*VLOOKUP('Données projet'!$B$13,Paramètres!$A$1:$I$89,3,0)*VLOOKUP('Données projet'!$B$13,Paramètres!$A$1:$I$89,5,0)</f>
        <v>285.83880000000011</v>
      </c>
      <c r="CV201" s="13">
        <f t="shared" si="173"/>
        <v>68.199429147498265</v>
      </c>
      <c r="CW201" s="20">
        <f t="shared" si="174"/>
        <v>616.61658243189299</v>
      </c>
      <c r="CX201" s="59">
        <f t="shared" si="196"/>
        <v>909.94991576522625</v>
      </c>
      <c r="CY201" s="59">
        <f ca="1">AVERAGE(OFFSET($CX$3,0,0,'Données projet'!$E$13+1,1))-AVERAGE(OFFSET($H$3,0,0,'Données projet'!$E$13+1,1))</f>
        <v>389.89050053480827</v>
      </c>
      <c r="CZ201" s="59">
        <f t="shared" si="208"/>
        <v>216.40816051909616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2.9219866750935455</v>
      </c>
      <c r="DG201" s="21">
        <f>EXP(-LN(2)/25)*DG200+(1-EXP(-LN(2)/25))/(LN(2)/25)*Calculateur!DB201*Calculateur!DD201*VLOOKUP('Données projet'!$B$13,Paramètres!$A$1:$I$89,3,0)*0.475*44/12</f>
        <v>0.16449514068661497</v>
      </c>
      <c r="DH201" s="21">
        <f>EXP(-LN(2)/2)*DH200+(1-EXP(-LN(2)/2))/(LN(2)/2)*DB201*DE201*VLOOKUP('Données projet'!$B$13,Paramètres!$A$1:$I$89,3,0)*0.475*44/12</f>
        <v>1.1403993185886197E-12</v>
      </c>
      <c r="DI201" s="22">
        <f t="shared" si="175"/>
        <v>3.0864818157813008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268.00000000000011</v>
      </c>
      <c r="O202" s="13">
        <f>N202*VLOOKUP('Données projet'!$B$9,Paramètres!$A$1:$I$89,3,0)*VLOOKUP('Données projet'!$B$9,Paramètres!$A$1:$I$89,5,0)</f>
        <v>242.48640000000009</v>
      </c>
      <c r="P202" s="13">
        <f t="shared" si="203"/>
        <v>58.974170235372476</v>
      </c>
      <c r="Q202" s="20">
        <f t="shared" si="162"/>
        <v>525.04382649327385</v>
      </c>
      <c r="R202" s="59">
        <f t="shared" si="191"/>
        <v>818.37715982660711</v>
      </c>
      <c r="S202" s="59">
        <f ca="1">AVERAGE(OFFSET($R$3,0,0,'Données projet'!$E$9+1,1))-AVERAGE(OFFSET($H$3,0,0,'Données projet'!$E$9+1,1))</f>
        <v>371.7282125501186</v>
      </c>
      <c r="T202" s="59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12.204958449106423</v>
      </c>
      <c r="AA202" s="21">
        <f>EXP(-LN(2)/25)*AA201+(1-EXP(-LN(2)/25))/(LN(2)/25)*Calculateur!V202*Calculateur!X202*VLOOKUP('Données projet'!$B$9,Paramètres!$A$1:$I$89,3,0)*0.475*44/12</f>
        <v>0.27671307074907797</v>
      </c>
      <c r="AB202" s="21">
        <f>EXP(-LN(2)/2)*AB201+(1-EXP(-LN(2)/2))/(LN(2)/2)*V202*Y202*VLOOKUP('Données projet'!$B$9,Paramètres!$A$1:$I$89,3,0)*0.475*44/12</f>
        <v>1.377687626480232E-12</v>
      </c>
      <c r="AC202" s="22">
        <f t="shared" si="163"/>
        <v>12.48167151985688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1.7053025658242404E-13</v>
      </c>
      <c r="AJ202" s="13">
        <f>AI202*VLOOKUP('Données projet'!$B$10,Paramètres!$A$1:$I$89,3,0)*VLOOKUP('Données projet'!$B$10,Paramètres!$A$1:$I$89,5,0)</f>
        <v>7.9808160080574461E-14</v>
      </c>
      <c r="AK202" s="13">
        <f t="shared" si="164"/>
        <v>1.2308384591775343E-12</v>
      </c>
      <c r="AL202" s="20">
        <f t="shared" si="165"/>
        <v>2.282709528541206E-12</v>
      </c>
      <c r="AM202" s="59">
        <f t="shared" si="193"/>
        <v>293.33333333333559</v>
      </c>
      <c r="AN202" s="59">
        <f ca="1">AVERAGE(OFFSET($AM$3,0,0,'Données projet'!$E$10+1,1))-AVERAGE(OFFSET($H$3,0,0,'Données projet'!$E$10+1,1))</f>
        <v>218.32525311070435</v>
      </c>
      <c r="AO202" s="59">
        <f t="shared" si="205"/>
        <v>275.36315264099204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5.5593278064431404</v>
      </c>
      <c r="AV202" s="21">
        <f>EXP(-LN(2)/25)*AV201+(1-EXP(-LN(2)/25))/(LN(2)/25)*Calculateur!AQ202*Calculateur!AS202*VLOOKUP('Données projet'!$B$10,Paramètres!$A$1:$I$89,3,0)*0.475*44/12</f>
        <v>0.79791104502389643</v>
      </c>
      <c r="AW202" s="21">
        <f>EXP(-LN(2)/2)*AW201+(1-EXP(-LN(2)/2))/(LN(2)/2)*AQ202*AT202*VLOOKUP('Données projet'!$B$10,Paramètres!$A$1:$I$89,3,0)*0.475*44/12</f>
        <v>7.8172851563238808E-20</v>
      </c>
      <c r="AX202" s="21">
        <f t="shared" si="166"/>
        <v>6.357238851467037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343</v>
      </c>
      <c r="BE202" s="13">
        <f>BD202*VLOOKUP('Données projet'!$B$11,Paramètres!$A$1:$I$89,3,0)*VLOOKUP('Données projet'!$B$11,Paramètres!$A$1:$I$89,5,0)</f>
        <v>326.39879999999999</v>
      </c>
      <c r="BF202" s="13">
        <f t="shared" si="167"/>
        <v>76.683210401884097</v>
      </c>
      <c r="BG202" s="20">
        <f t="shared" si="168"/>
        <v>702.03450144994804</v>
      </c>
      <c r="BH202" s="59">
        <f t="shared" si="194"/>
        <v>995.3678347832813</v>
      </c>
      <c r="BI202" s="59">
        <f ca="1">AVERAGE(OFFSET($BH$3,0,0,'Données projet'!$E$11+1,1))-AVERAGE(OFFSET($H$3,0,0,'Données projet'!$E$11+1,1))</f>
        <v>446.62872871405051</v>
      </c>
      <c r="BJ202" s="59">
        <f t="shared" si="206"/>
        <v>471.28934889691658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4.6241266627820208</v>
      </c>
      <c r="BQ202" s="21">
        <f>EXP(-LN(2)/25)*BQ201+(1-EXP(-LN(2)/25))/(LN(2)/25)*Calculateur!BL202*Calculateur!BN202*VLOOKUP('Données projet'!$B$11,Paramètres!$A$1:$I$89,3,0)*0.475*44/12</f>
        <v>9.4031622589819716E-2</v>
      </c>
      <c r="BR202" s="21">
        <f>EXP(-LN(2)/2)*BR201+(1-EXP(-LN(2)/2))/(LN(2)/2)*BL202*BO202*VLOOKUP('Données projet'!$B$11,Paramètres!$A$1:$I$89,3,0)*0.475*44/12</f>
        <v>6.5679828774203074E-20</v>
      </c>
      <c r="BS202" s="22">
        <f t="shared" si="169"/>
        <v>4.7181582853718407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991.00000000000011</v>
      </c>
      <c r="BZ202" s="13">
        <f>BY202*VLOOKUP('Données projet'!$B$12,Paramètres!$A$1:$I$89,3,0)*VLOOKUP('Données projet'!$B$12,Paramètres!$A$1:$I$89,5,0)</f>
        <v>438.02200000000011</v>
      </c>
      <c r="CA202" s="13">
        <f t="shared" si="170"/>
        <v>99.443834741543355</v>
      </c>
      <c r="CB202" s="20">
        <f t="shared" si="171"/>
        <v>936.08632884152132</v>
      </c>
      <c r="CC202" s="59">
        <f t="shared" si="195"/>
        <v>1229.4196621748547</v>
      </c>
      <c r="CD202" s="59">
        <f ca="1">AVERAGE(OFFSET($CC$3,0,0,'Données projet'!$E$12+1,1))-AVERAGE(OFFSET($H$3,0,0,'Données projet'!$E$12+1,1))</f>
        <v>534.99316143569899</v>
      </c>
      <c r="CE202" s="59">
        <f t="shared" si="207"/>
        <v>449.56965858934262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6.6423378814982188</v>
      </c>
      <c r="CL202" s="21">
        <f>EXP(-LN(2)/25)*CL201+(1-EXP(-LN(2)/25))/(LN(2)/25)*Calculateur!CG202*Calculateur!CI202*VLOOKUP('Données projet'!$B$12,Paramètres!$A$1:$I$89,3,0)*0.475*44/12</f>
        <v>1.1825409352173357</v>
      </c>
      <c r="CM202" s="21">
        <f>EXP(-LN(2)/2)*CM201+(1-EXP(-LN(2)/2))/(LN(2)/2)*CG202*CJ202*VLOOKUP('Données projet'!$B$12,Paramètres!$A$1:$I$89,3,0)*0.475*44/12</f>
        <v>3.3441207305904916E-18</v>
      </c>
      <c r="CN202" s="22">
        <f t="shared" si="172"/>
        <v>7.8248788167155547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251.00000000000006</v>
      </c>
      <c r="CU202" s="17">
        <f>CT202*VLOOKUP('Données projet'!$B$13,Paramètres!$A$1:$I$89,3,0)*VLOOKUP('Données projet'!$B$13,Paramètres!$A$1:$I$89,5,0)</f>
        <v>285.83880000000011</v>
      </c>
      <c r="CV202" s="13">
        <f t="shared" si="173"/>
        <v>68.199429147498265</v>
      </c>
      <c r="CW202" s="20">
        <f t="shared" si="174"/>
        <v>616.61658243189299</v>
      </c>
      <c r="CX202" s="59">
        <f t="shared" si="196"/>
        <v>909.94991576522625</v>
      </c>
      <c r="CY202" s="59">
        <f ca="1">AVERAGE(OFFSET($CX$3,0,0,'Données projet'!$E$13+1,1))-AVERAGE(OFFSET($H$3,0,0,'Données projet'!$E$13+1,1))</f>
        <v>389.89050053480827</v>
      </c>
      <c r="CZ202" s="59">
        <f t="shared" si="208"/>
        <v>216.40816051909616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2.8646882986308517</v>
      </c>
      <c r="DG202" s="21">
        <f>EXP(-LN(2)/25)*DG201+(1-EXP(-LN(2)/25))/(LN(2)/25)*Calculateur!DB202*Calculateur!DD202*VLOOKUP('Données projet'!$B$13,Paramètres!$A$1:$I$89,3,0)*0.475*44/12</f>
        <v>0.15999701241411599</v>
      </c>
      <c r="DH202" s="21">
        <f>EXP(-LN(2)/2)*DH201+(1-EXP(-LN(2)/2))/(LN(2)/2)*DB202*DE202*VLOOKUP('Données projet'!$B$13,Paramètres!$A$1:$I$89,3,0)*0.475*44/12</f>
        <v>8.0638409143453101E-13</v>
      </c>
      <c r="DI202" s="22">
        <f t="shared" si="175"/>
        <v>3.0246853110457743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268.00000000000011</v>
      </c>
      <c r="O203" s="13">
        <f>N203*VLOOKUP('Données projet'!$B$9,Paramètres!$A$1:$I$89,3,0)*VLOOKUP('Données projet'!$B$9,Paramètres!$A$1:$I$89,5,0)</f>
        <v>242.48640000000009</v>
      </c>
      <c r="P203" s="13">
        <f t="shared" si="203"/>
        <v>58.974170235372476</v>
      </c>
      <c r="Q203" s="20">
        <f t="shared" si="162"/>
        <v>525.04382649327385</v>
      </c>
      <c r="R203" s="59">
        <f t="shared" si="191"/>
        <v>818.37715982660711</v>
      </c>
      <c r="S203" s="59">
        <f ca="1">AVERAGE(OFFSET($R$3,0,0,'Données projet'!$E$9+1,1))-AVERAGE(OFFSET($H$3,0,0,'Données projet'!$E$9+1,1))</f>
        <v>371.7282125501186</v>
      </c>
      <c r="T203" s="59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11.965626658209038</v>
      </c>
      <c r="AA203" s="21">
        <f>EXP(-LN(2)/25)*AA202+(1-EXP(-LN(2)/25))/(LN(2)/25)*Calculateur!V203*Calculateur!X203*VLOOKUP('Données projet'!$B$9,Paramètres!$A$1:$I$89,3,0)*0.475*44/12</f>
        <v>0.26914633727773646</v>
      </c>
      <c r="AB203" s="21">
        <f>EXP(-LN(2)/2)*AB202+(1-EXP(-LN(2)/2))/(LN(2)/2)*V203*Y203*VLOOKUP('Données projet'!$B$9,Paramètres!$A$1:$I$89,3,0)*0.475*44/12</f>
        <v>9.7417226304097145E-13</v>
      </c>
      <c r="AC203" s="22">
        <f t="shared" si="163"/>
        <v>12.234772995487747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1.7053025658242404E-13</v>
      </c>
      <c r="AJ203" s="13">
        <f>AI203*VLOOKUP('Données projet'!$B$10,Paramètres!$A$1:$I$89,3,0)*VLOOKUP('Données projet'!$B$10,Paramètres!$A$1:$I$89,5,0)</f>
        <v>7.9808160080574461E-14</v>
      </c>
      <c r="AK203" s="13">
        <f t="shared" si="164"/>
        <v>1.2308384591775343E-12</v>
      </c>
      <c r="AL203" s="20">
        <f t="shared" si="165"/>
        <v>2.282709528541206E-12</v>
      </c>
      <c r="AM203" s="59">
        <f t="shared" si="193"/>
        <v>293.33333333333559</v>
      </c>
      <c r="AN203" s="59">
        <f ca="1">AVERAGE(OFFSET($AM$3,0,0,'Données projet'!$E$10+1,1))-AVERAGE(OFFSET($H$3,0,0,'Données projet'!$E$10+1,1))</f>
        <v>218.32525311070435</v>
      </c>
      <c r="AO203" s="59">
        <f t="shared" si="205"/>
        <v>275.36315264099204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5.4503127790139336</v>
      </c>
      <c r="AV203" s="21">
        <f>EXP(-LN(2)/25)*AV202+(1-EXP(-LN(2)/25))/(LN(2)/25)*Calculateur!AQ203*Calculateur!AS203*VLOOKUP('Données projet'!$B$10,Paramètres!$A$1:$I$89,3,0)*0.475*44/12</f>
        <v>0.77609212553739981</v>
      </c>
      <c r="AW203" s="21">
        <f>EXP(-LN(2)/2)*AW202+(1-EXP(-LN(2)/2))/(LN(2)/2)*AQ203*AT203*VLOOKUP('Données projet'!$B$10,Paramètres!$A$1:$I$89,3,0)*0.475*44/12</f>
        <v>5.5276553445055562E-20</v>
      </c>
      <c r="AX203" s="21">
        <f t="shared" si="166"/>
        <v>6.2264049045513339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343</v>
      </c>
      <c r="BE203" s="13">
        <f>BD203*VLOOKUP('Données projet'!$B$11,Paramètres!$A$1:$I$89,3,0)*VLOOKUP('Données projet'!$B$11,Paramètres!$A$1:$I$89,5,0)</f>
        <v>326.39879999999999</v>
      </c>
      <c r="BF203" s="13">
        <f t="shared" si="167"/>
        <v>76.683210401884097</v>
      </c>
      <c r="BG203" s="20">
        <f t="shared" si="168"/>
        <v>702.03450144994804</v>
      </c>
      <c r="BH203" s="59">
        <f t="shared" si="194"/>
        <v>995.3678347832813</v>
      </c>
      <c r="BI203" s="59">
        <f ca="1">AVERAGE(OFFSET($BH$3,0,0,'Données projet'!$E$11+1,1))-AVERAGE(OFFSET($H$3,0,0,'Données projet'!$E$11+1,1))</f>
        <v>446.62872871405051</v>
      </c>
      <c r="BJ203" s="59">
        <f t="shared" si="206"/>
        <v>471.28934889691658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4.5334503593636342</v>
      </c>
      <c r="BQ203" s="21">
        <f>EXP(-LN(2)/25)*BQ202+(1-EXP(-LN(2)/25))/(LN(2)/25)*Calculateur!BL203*Calculateur!BN203*VLOOKUP('Données projet'!$B$11,Paramètres!$A$1:$I$89,3,0)*0.475*44/12</f>
        <v>9.1460322925192974E-2</v>
      </c>
      <c r="BR203" s="21">
        <f>EXP(-LN(2)/2)*BR202+(1-EXP(-LN(2)/2))/(LN(2)/2)*BL203*BO203*VLOOKUP('Données projet'!$B$11,Paramètres!$A$1:$I$89,3,0)*0.475*44/12</f>
        <v>4.6442652313410321E-20</v>
      </c>
      <c r="BS203" s="22">
        <f t="shared" si="169"/>
        <v>4.6249106822888271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991.00000000000011</v>
      </c>
      <c r="BZ203" s="13">
        <f>BY203*VLOOKUP('Données projet'!$B$12,Paramètres!$A$1:$I$89,3,0)*VLOOKUP('Données projet'!$B$12,Paramètres!$A$1:$I$89,5,0)</f>
        <v>438.02200000000011</v>
      </c>
      <c r="CA203" s="13">
        <f t="shared" si="170"/>
        <v>99.443834741543355</v>
      </c>
      <c r="CB203" s="20">
        <f t="shared" si="171"/>
        <v>936.08632884152132</v>
      </c>
      <c r="CC203" s="59">
        <f t="shared" si="195"/>
        <v>1229.4196621748547</v>
      </c>
      <c r="CD203" s="59">
        <f ca="1">AVERAGE(OFFSET($CC$3,0,0,'Données projet'!$E$12+1,1))-AVERAGE(OFFSET($H$3,0,0,'Données projet'!$E$12+1,1))</f>
        <v>534.99316143569899</v>
      </c>
      <c r="CE203" s="59">
        <f t="shared" si="207"/>
        <v>449.56965858934262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6.512085687068101</v>
      </c>
      <c r="CL203" s="21">
        <f>EXP(-LN(2)/25)*CL202+(1-EXP(-LN(2)/25))/(LN(2)/25)*Calculateur!CG203*Calculateur!CI203*VLOOKUP('Données projet'!$B$12,Paramètres!$A$1:$I$89,3,0)*0.475*44/12</f>
        <v>1.1502042911566925</v>
      </c>
      <c r="CM203" s="21">
        <f>EXP(-LN(2)/2)*CM202+(1-EXP(-LN(2)/2))/(LN(2)/2)*CG203*CJ203*VLOOKUP('Données projet'!$B$12,Paramètres!$A$1:$I$89,3,0)*0.475*44/12</f>
        <v>2.3646504457070481E-18</v>
      </c>
      <c r="CN203" s="22">
        <f t="shared" si="172"/>
        <v>7.6622899782247931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251.00000000000006</v>
      </c>
      <c r="CU203" s="17">
        <f>CT203*VLOOKUP('Données projet'!$B$13,Paramètres!$A$1:$I$89,3,0)*VLOOKUP('Données projet'!$B$13,Paramètres!$A$1:$I$89,5,0)</f>
        <v>285.83880000000011</v>
      </c>
      <c r="CV203" s="13">
        <f t="shared" si="173"/>
        <v>68.199429147498265</v>
      </c>
      <c r="CW203" s="20">
        <f t="shared" si="174"/>
        <v>616.61658243189299</v>
      </c>
      <c r="CX203" s="59">
        <f t="shared" si="196"/>
        <v>909.94991576522625</v>
      </c>
      <c r="CY203" s="59">
        <f ca="1">AVERAGE(OFFSET($CX$3,0,0,'Données projet'!$E$13+1,1))-AVERAGE(OFFSET($H$3,0,0,'Données projet'!$E$13+1,1))</f>
        <v>389.89050053480827</v>
      </c>
      <c r="CZ203" s="59">
        <f t="shared" si="208"/>
        <v>216.40816051909616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2.8085135083820325</v>
      </c>
      <c r="DG203" s="21">
        <f>EXP(-LN(2)/25)*DG202+(1-EXP(-LN(2)/25))/(LN(2)/25)*Calculateur!DB203*Calculateur!DD203*VLOOKUP('Données projet'!$B$13,Paramètres!$A$1:$I$89,3,0)*0.475*44/12</f>
        <v>0.15562188569577479</v>
      </c>
      <c r="DH203" s="21">
        <f>EXP(-LN(2)/2)*DH202+(1-EXP(-LN(2)/2))/(LN(2)/2)*DB203*DE203*VLOOKUP('Données projet'!$B$13,Paramètres!$A$1:$I$89,3,0)*0.475*44/12</f>
        <v>5.7019965929430984E-13</v>
      </c>
      <c r="DI203" s="22">
        <f t="shared" si="175"/>
        <v>2.9641353940783777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1.2370441695353693</v>
      </c>
      <c r="BA205" s="82">
        <f>EXP(LN('Données projet'!B88)/'Données projet'!A88)</f>
        <v>1.4387268865499157</v>
      </c>
      <c r="BV205" s="82">
        <f>EXP(LN('Données projet'!B114)/'Données projet'!A114)</f>
        <v>1.3092488639817661</v>
      </c>
      <c r="CQ205" s="82">
        <f>EXP(LN('Données projet'!B140)/'Données projet'!A140)</f>
        <v>1.1693884504284608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P5" sqref="P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2.262</v>
      </c>
      <c r="C6" s="147">
        <f ca="1">IF(OR('Données projet'!B9="",'Données projet'!C9="",'Données projet'!C9=0%),0,Calculateur!S3)</f>
        <v>371.7282125501186</v>
      </c>
      <c r="D6" s="147">
        <f>IF(OR('Données projet'!B9="",'Données projet'!C9="",'Données projet'!C9=0%),0,Calculateur!T3)</f>
        <v>231.36959598460686</v>
      </c>
      <c r="E6" s="147">
        <f ca="1">MIN(C6,D6)</f>
        <v>231.36959598460686</v>
      </c>
      <c r="F6" s="147">
        <f ca="1">E6*B6</f>
        <v>523.35802611718077</v>
      </c>
      <c r="G6" s="147">
        <f ca="1">F6*(100%-'Données projet'!$C$24)*(100%-'Données projet'!$C$25)*(100%-'Données projet'!$C$26)*(100%-'Données projet'!$C$27)</f>
        <v>471.0222235054627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16.3995</v>
      </c>
      <c r="K6" s="151">
        <f>J6*(100%-'Données projet'!$C$24)*(100%-'Données projet'!$C$25)*(100%-'Données projet'!$C$26)*(100%-'Données projet'!$C$27)</f>
        <v>14.759550000000001</v>
      </c>
      <c r="L6" s="152">
        <f ca="1">G6+I6+K6</f>
        <v>485.7817735054627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0.31900000000000001</v>
      </c>
      <c r="C7" s="147">
        <f ca="1">IF(OR('Données projet'!B10="",'Données projet'!C10="",'Données projet'!C10=0%),0,Calculateur!AN3)</f>
        <v>218.32525311070435</v>
      </c>
      <c r="D7" s="147">
        <f>IF(OR('Données projet'!B10="",'Données projet'!C10="",'Données projet'!C10=0%),0,Calculateur!AO3)</f>
        <v>275.36315264099204</v>
      </c>
      <c r="E7" s="147">
        <f t="shared" ref="E7:E15" ca="1" si="0">MIN(C7,D7)</f>
        <v>218.32525311070435</v>
      </c>
      <c r="F7" s="147">
        <f t="shared" ref="F7:F15" ca="1" si="1">E7*B7</f>
        <v>69.645755742314691</v>
      </c>
      <c r="G7" s="147">
        <f ca="1">F7*(100%-'Données projet'!$C$24)*(100%-'Données projet'!$C$25)*(100%-'Données projet'!$C$26)*(100%-'Données projet'!$C$27)</f>
        <v>62.681180168083223</v>
      </c>
      <c r="H7" s="155">
        <f>IF(OR('Données projet'!B10="",'Données projet'!C10="",'Données projet'!C10=0%),0,AVERAGE(Calculateur!$AX$3:$AX$33)*B7)</f>
        <v>0.35944221932467169</v>
      </c>
      <c r="I7" s="149">
        <f>H7*(100%-'Données projet'!$C$24)*(100%-'Données projet'!$C$25)*(100%-'Données projet'!$C$26)*(100%-'Données projet'!$C$27)</f>
        <v>0.32349799739220453</v>
      </c>
      <c r="J7" s="150">
        <f>IF(OR('Données projet'!B10="",'Données projet'!C10="",'Données projet'!C10=0%),0,SUM(Calculateur!$AQ$3:$AQ$33)*VLOOKUP('Données projet'!$B$10,Paramètres!$A$1:$I$89,9,0)*B7)</f>
        <v>2.7982679999999998</v>
      </c>
      <c r="K7" s="151">
        <f>J7*(100%-'Données projet'!$C$24)*(100%-'Données projet'!$C$25)*(100%-'Données projet'!$C$26)*(100%-'Données projet'!$C$27)</f>
        <v>2.5184411999999998</v>
      </c>
      <c r="L7" s="152">
        <f t="shared" ref="L7:L15" ca="1" si="2">G7+I7+K7</f>
        <v>65.523119365475424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Charme</v>
      </c>
      <c r="B8" s="154">
        <f>'Données projet'!D11</f>
        <v>8.6999999999999994E-2</v>
      </c>
      <c r="C8" s="147">
        <f ca="1">IF(OR('Données projet'!B11="",'Données projet'!C11="",'Données projet'!C11=0%),0,Calculateur!BI3)</f>
        <v>446.62872871405051</v>
      </c>
      <c r="D8" s="147">
        <f>IF(OR('Données projet'!B11="",'Données projet'!C11="",'Données projet'!C11=0%),0,Calculateur!BJ3)</f>
        <v>471.28934889691658</v>
      </c>
      <c r="E8" s="147">
        <f t="shared" ca="1" si="0"/>
        <v>446.62872871405051</v>
      </c>
      <c r="F8" s="147">
        <f t="shared" ca="1" si="1"/>
        <v>38.856699398122394</v>
      </c>
      <c r="G8" s="147">
        <f ca="1">F8*(100%-'Données projet'!$C$24)*(100%-'Données projet'!$C$25)*(100%-'Données projet'!$C$26)*(100%-'Données projet'!$C$27)</f>
        <v>34.971029458310156</v>
      </c>
      <c r="H8" s="155">
        <f>IF(OR('Données projet'!B11="",'Données projet'!C11="",'Données projet'!C11=0%),0,AVERAGE(Calculateur!$BS$3:$BS$33)*B8)</f>
        <v>0.28287737588228151</v>
      </c>
      <c r="I8" s="149">
        <f>H8*(100%-'Données projet'!$C$24)*(100%-'Données projet'!$C$25)*(100%-'Données projet'!$C$26)*(100%-'Données projet'!$C$27)</f>
        <v>0.25458963829405334</v>
      </c>
      <c r="J8" s="150">
        <f>IF(OR('Données projet'!B11="",'Données projet'!C11="",'Données projet'!C11=0%),0,SUM(Calculateur!$BL$3:$BL$33)*VLOOKUP('Données projet'!$B$11,Paramètres!$A$1:$I$89,9,0)*B8)</f>
        <v>2.1315</v>
      </c>
      <c r="K8" s="151">
        <f>J8*(100%-'Données projet'!$C$24)*(100%-'Données projet'!$C$25)*(100%-'Données projet'!$C$26)*(100%-'Données projet'!$C$27)</f>
        <v>1.91835</v>
      </c>
      <c r="L8" s="152">
        <f t="shared" ca="1" si="2"/>
        <v>37.143969096604202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Séquoia toujours vert</v>
      </c>
      <c r="B9" s="154">
        <f>'Données projet'!D12</f>
        <v>5.7999999999999996E-2</v>
      </c>
      <c r="C9" s="147">
        <f ca="1">IF(OR('Données projet'!B12="",'Données projet'!C12="",'Données projet'!C12=0%),0,Calculateur!CD3)</f>
        <v>534.99316143569899</v>
      </c>
      <c r="D9" s="147">
        <f>IF(OR('Données projet'!B12="",'Données projet'!C12="",'Données projet'!C12=0%),0,Calculateur!CE3)</f>
        <v>449.56965858934262</v>
      </c>
      <c r="E9" s="147">
        <f t="shared" ca="1" si="0"/>
        <v>449.56965858934262</v>
      </c>
      <c r="F9" s="147">
        <f t="shared" ca="1" si="1"/>
        <v>26.07504019818187</v>
      </c>
      <c r="G9" s="147">
        <f ca="1">F9*(100%-'Données projet'!$C$24)*(100%-'Données projet'!$C$25)*(100%-'Données projet'!$C$26)*(100%-'Données projet'!$C$27)</f>
        <v>23.467536178363684</v>
      </c>
      <c r="H9" s="155">
        <f>IF(OR('Données projet'!B12="",'Données projet'!C12="",'Données projet'!C12=0%),0,AVERAGE(Calculateur!$CN$3:$CN$33)*B9)</f>
        <v>0.77009737818796486</v>
      </c>
      <c r="I9" s="149">
        <f>H9*(100%-'Données projet'!$C$24)*(100%-'Données projet'!$C$25)*(100%-'Données projet'!$C$26)*(100%-'Données projet'!$C$27)</f>
        <v>0.69308764036916837</v>
      </c>
      <c r="J9" s="150">
        <f>IF(OR('Données projet'!B12="",'Données projet'!C12="",'Données projet'!C12=0%),0,SUM(Calculateur!$CG$3:$CG$33)*VLOOKUP('Données projet'!$B$12,Paramètres!$A$1:$I$89,9,0)*B9)</f>
        <v>6.7337999999999996</v>
      </c>
      <c r="K9" s="151">
        <f>J9*(100%-'Données projet'!$C$24)*(100%-'Données projet'!$C$25)*(100%-'Données projet'!$C$26)*(100%-'Données projet'!$C$27)</f>
        <v>6.0604199999999997</v>
      </c>
      <c r="L9" s="152">
        <f t="shared" ca="1" si="2"/>
        <v>30.221043818732852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vert</v>
      </c>
      <c r="B10" s="154">
        <f>'Données projet'!D13</f>
        <v>8.6999999999999994E-2</v>
      </c>
      <c r="C10" s="147">
        <f ca="1">IF(OR('Données projet'!B13="",'Données projet'!C13="",'Données projet'!C13=0%),0,Calculateur!CY3)</f>
        <v>389.89050053480827</v>
      </c>
      <c r="D10" s="147">
        <f>IF(OR('Données projet'!B13="",'Données projet'!C13="",'Données projet'!C13=0%),0,Calculateur!CZ3)</f>
        <v>216.40816051909616</v>
      </c>
      <c r="E10" s="147">
        <f t="shared" ca="1" si="0"/>
        <v>216.40816051909616</v>
      </c>
      <c r="F10" s="147">
        <f t="shared" ca="1" si="1"/>
        <v>18.827509965161365</v>
      </c>
      <c r="G10" s="147">
        <f ca="1">F10*(100%-'Données projet'!$C$24)*(100%-'Données projet'!$C$25)*(100%-'Données projet'!$C$26)*(100%-'Données projet'!$C$27)</f>
        <v>16.944758968645228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0.28275</v>
      </c>
      <c r="K10" s="151">
        <f>J10*(100%-'Données projet'!$C$24)*(100%-'Données projet'!$C$25)*(100%-'Données projet'!$C$26)*(100%-'Données projet'!$C$27)</f>
        <v>0.25447500000000001</v>
      </c>
      <c r="L10" s="152">
        <f t="shared" ca="1" si="2"/>
        <v>17.199233968645228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676.76303142096106</v>
      </c>
      <c r="G16" s="166">
        <f t="shared" ca="1" si="3"/>
        <v>609.08672827886505</v>
      </c>
      <c r="H16" s="167">
        <f t="shared" si="3"/>
        <v>1.4124169733949179</v>
      </c>
      <c r="I16" s="167">
        <f t="shared" si="3"/>
        <v>1.2711752760554262</v>
      </c>
      <c r="J16" s="168">
        <f t="shared" si="3"/>
        <v>28.345817999999998</v>
      </c>
      <c r="K16" s="168">
        <f t="shared" si="3"/>
        <v>25.511236200000003</v>
      </c>
      <c r="L16" s="169">
        <f t="shared" ca="1" si="3"/>
        <v>635.86913975492041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Séquoia toujours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6" zoomScale="80" zoomScaleNormal="8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2277.6722244002817</v>
      </c>
      <c r="U10" s="178">
        <f>'Données projet'!D9</f>
        <v>2.262</v>
      </c>
      <c r="V10" s="177">
        <f>U10*T10</f>
        <v>5152.0945715934376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3749.2213039377375</v>
      </c>
      <c r="U11" s="178">
        <f>'Données projet'!D10</f>
        <v>0.31900000000000001</v>
      </c>
      <c r="V11" s="177">
        <f t="shared" ref="V11" si="0">U11*T11</f>
        <v>1196.0015959561383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1686.3220881711181</v>
      </c>
      <c r="U12" s="178">
        <f>'Données projet'!D11</f>
        <v>8.6999999999999994E-2</v>
      </c>
      <c r="V12" s="177">
        <f t="shared" ref="V12:V19" si="1">U12*T12</f>
        <v>146.71002167088727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Séquoia toujours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3347.7703032558038</v>
      </c>
      <c r="U13" s="178">
        <f>'Données projet'!D12</f>
        <v>5.7999999999999996E-2</v>
      </c>
      <c r="V13" s="177">
        <f t="shared" si="1"/>
        <v>194.17067758883661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185.39084605643674</v>
      </c>
      <c r="U14" s="178">
        <f>'Données projet'!D13</f>
        <v>8.6999999999999994E-2</v>
      </c>
      <c r="V14" s="177">
        <f t="shared" si="1"/>
        <v>16.129003606909997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8994*(1+10%)</f>
        <v>9893.4000000000015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700*(1+10%)</f>
        <v>770.00000000000011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 t="shared" ref="I22:I23" si="2">700*(1+10%)</f>
        <v>770.00000000000011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8</v>
      </c>
      <c r="C23" s="193">
        <f>13*(1+12.8%)</f>
        <v>14.664000000000001</v>
      </c>
      <c r="D23" s="182">
        <f>B23*C23</f>
        <v>117.31200000000001</v>
      </c>
      <c r="E23" s="193">
        <f>75+(D23*12%)</f>
        <v>89.077439999999996</v>
      </c>
      <c r="F23" s="230"/>
      <c r="H23" s="190">
        <v>4</v>
      </c>
      <c r="I23" s="191">
        <f t="shared" si="2"/>
        <v>770.00000000000011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-26624.365328847758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21</v>
      </c>
      <c r="C24" s="193">
        <f>35*(1+12.8%)</f>
        <v>39.480000000000004</v>
      </c>
      <c r="D24" s="182">
        <f t="shared" ref="D24:D42" si="3">B24*C24</f>
        <v>829.08</v>
      </c>
      <c r="E24" s="193">
        <f t="shared" ref="E24:E42" si="4">75+(D24*12%)</f>
        <v>174.4896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815.75343084035978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35</v>
      </c>
      <c r="B25" s="181">
        <f>'Données projet'!D38</f>
        <v>21</v>
      </c>
      <c r="C25" s="193">
        <f>40*(1+12.8%)</f>
        <v>45.120000000000005</v>
      </c>
      <c r="D25" s="182">
        <f t="shared" si="3"/>
        <v>947.5200000000001</v>
      </c>
      <c r="E25" s="193">
        <f t="shared" si="4"/>
        <v>188.70240000000001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13</v>
      </c>
      <c r="Q25" s="234"/>
      <c r="R25" s="23"/>
      <c r="S25" s="186" t="s">
        <v>266</v>
      </c>
      <c r="T25" s="299">
        <f ca="1">T23-T24</f>
        <v>-27440.118759688117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21</v>
      </c>
      <c r="C26" s="193">
        <f>40*(1+12.8%)</f>
        <v>45.120000000000005</v>
      </c>
      <c r="D26" s="182">
        <f t="shared" si="3"/>
        <v>947.5200000000001</v>
      </c>
      <c r="E26" s="193">
        <f t="shared" si="4"/>
        <v>188.70240000000001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45</v>
      </c>
      <c r="B27" s="181">
        <f>'Données projet'!D40</f>
        <v>21</v>
      </c>
      <c r="C27" s="193">
        <f>70*(1+12.8%)</f>
        <v>78.960000000000008</v>
      </c>
      <c r="D27" s="182">
        <f t="shared" si="3"/>
        <v>1658.16</v>
      </c>
      <c r="E27" s="193">
        <f t="shared" si="4"/>
        <v>273.97919999999999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50</v>
      </c>
      <c r="B28" s="181">
        <f>'Données projet'!D41</f>
        <v>21</v>
      </c>
      <c r="C28" s="193">
        <f>70*(1+12.8%)</f>
        <v>78.960000000000008</v>
      </c>
      <c r="D28" s="182">
        <f t="shared" si="3"/>
        <v>1658.16</v>
      </c>
      <c r="E28" s="193">
        <f t="shared" si="4"/>
        <v>273.97919999999999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55</v>
      </c>
      <c r="B29" s="181">
        <f>'Données projet'!D42</f>
        <v>21</v>
      </c>
      <c r="C29" s="193">
        <f>90*(1+12.8%)</f>
        <v>101.52000000000001</v>
      </c>
      <c r="D29" s="182">
        <f t="shared" si="3"/>
        <v>2131.92</v>
      </c>
      <c r="E29" s="193">
        <f t="shared" si="4"/>
        <v>330.8304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60</v>
      </c>
      <c r="B30" s="181">
        <f>'Données projet'!D43</f>
        <v>21</v>
      </c>
      <c r="C30" s="193">
        <f t="shared" ref="C30:C31" si="5">90*(1+12.8%)</f>
        <v>101.52000000000001</v>
      </c>
      <c r="D30" s="182">
        <f t="shared" si="3"/>
        <v>2131.92</v>
      </c>
      <c r="E30" s="193">
        <f t="shared" si="4"/>
        <v>330.8304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281.2942864966758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65</v>
      </c>
      <c r="B31" s="181">
        <f>'Données projet'!D44</f>
        <v>21</v>
      </c>
      <c r="C31" s="193">
        <f t="shared" si="5"/>
        <v>101.52000000000001</v>
      </c>
      <c r="D31" s="182">
        <f t="shared" si="3"/>
        <v>2131.92</v>
      </c>
      <c r="E31" s="193">
        <f t="shared" si="4"/>
        <v>330.8304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70</v>
      </c>
      <c r="B32" s="181">
        <f>'Données projet'!D45</f>
        <v>21</v>
      </c>
      <c r="C32" s="193">
        <f>200*(1+12.8%)</f>
        <v>225.60000000000002</v>
      </c>
      <c r="D32" s="182">
        <f t="shared" si="3"/>
        <v>4737.6000000000004</v>
      </c>
      <c r="E32" s="193">
        <f t="shared" si="4"/>
        <v>643.51200000000006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75</v>
      </c>
      <c r="B33" s="181">
        <f>'Données projet'!D46</f>
        <v>21</v>
      </c>
      <c r="C33" s="193">
        <f t="shared" ref="C33:C34" si="6">200*(1+12.8%)</f>
        <v>225.60000000000002</v>
      </c>
      <c r="D33" s="182">
        <f t="shared" si="3"/>
        <v>4737.6000000000004</v>
      </c>
      <c r="E33" s="193">
        <f t="shared" si="4"/>
        <v>643.51200000000006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7">$P$25/(1+$M$4)^O33</f>
        <v>13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80</v>
      </c>
      <c r="B34" s="181">
        <f>'Données projet'!D47</f>
        <v>21</v>
      </c>
      <c r="C34" s="193">
        <f t="shared" si="6"/>
        <v>225.60000000000002</v>
      </c>
      <c r="D34" s="182">
        <f t="shared" si="3"/>
        <v>4737.6000000000004</v>
      </c>
      <c r="E34" s="193">
        <f t="shared" si="4"/>
        <v>643.51200000000006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7"/>
        <v>12.440191387559809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85</v>
      </c>
      <c r="B35" s="181">
        <f>'Données projet'!D48</f>
        <v>21</v>
      </c>
      <c r="C35" s="193">
        <f>250*(1+12.8%)</f>
        <v>282</v>
      </c>
      <c r="D35" s="182">
        <f t="shared" si="3"/>
        <v>5922</v>
      </c>
      <c r="E35" s="193">
        <f t="shared" si="4"/>
        <v>785.64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7"/>
        <v>11.904489366085944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90</v>
      </c>
      <c r="B36" s="181">
        <f>'Données projet'!D49</f>
        <v>21</v>
      </c>
      <c r="C36" s="193">
        <f>300*(1+12.8%)</f>
        <v>338.40000000000003</v>
      </c>
      <c r="D36" s="182">
        <f t="shared" si="3"/>
        <v>7106.4000000000005</v>
      </c>
      <c r="E36" s="193">
        <f t="shared" si="4"/>
        <v>927.76800000000003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7"/>
        <v>11.391855852713821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95</v>
      </c>
      <c r="B37" s="181">
        <f>'Données projet'!D50</f>
        <v>21</v>
      </c>
      <c r="C37" s="193">
        <f t="shared" ref="C37:C39" si="8">300*(1+12.8%)</f>
        <v>338.40000000000003</v>
      </c>
      <c r="D37" s="182">
        <f t="shared" si="3"/>
        <v>7106.4000000000005</v>
      </c>
      <c r="E37" s="193">
        <f t="shared" si="4"/>
        <v>927.76800000000003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7"/>
        <v>10.901297466711794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100</v>
      </c>
      <c r="B38" s="181">
        <f>'Données projet'!D51</f>
        <v>21</v>
      </c>
      <c r="C38" s="193">
        <f t="shared" si="8"/>
        <v>338.40000000000003</v>
      </c>
      <c r="D38" s="182">
        <f t="shared" si="3"/>
        <v>7106.4000000000005</v>
      </c>
      <c r="E38" s="193">
        <f t="shared" si="4"/>
        <v>927.76800000000003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7"/>
        <v>10.431863604508893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105</v>
      </c>
      <c r="B39" s="181">
        <f>'Données projet'!D52</f>
        <v>20</v>
      </c>
      <c r="C39" s="193">
        <f t="shared" si="8"/>
        <v>338.40000000000003</v>
      </c>
      <c r="D39" s="182">
        <f t="shared" si="3"/>
        <v>6768.0000000000009</v>
      </c>
      <c r="E39" s="193">
        <f t="shared" si="4"/>
        <v>887.16000000000008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7"/>
        <v>9.9826445976161686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110</v>
      </c>
      <c r="B40" s="181">
        <f>'Données projet'!D53</f>
        <v>19</v>
      </c>
      <c r="C40" s="193">
        <f>400*(1+12.8%)</f>
        <v>451.20000000000005</v>
      </c>
      <c r="D40" s="182">
        <f t="shared" si="3"/>
        <v>8572.8000000000011</v>
      </c>
      <c r="E40" s="193">
        <f t="shared" si="4"/>
        <v>1103.7360000000001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7"/>
        <v>9.5527699498719301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115</v>
      </c>
      <c r="B41" s="181">
        <f>'Données projet'!D54</f>
        <v>18</v>
      </c>
      <c r="C41" s="193">
        <f t="shared" ref="C41:C42" si="9">400*(1+12.8%)</f>
        <v>451.20000000000005</v>
      </c>
      <c r="D41" s="182">
        <f t="shared" si="3"/>
        <v>8121.6</v>
      </c>
      <c r="E41" s="193">
        <f t="shared" si="4"/>
        <v>1049.5920000000001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7"/>
        <v>9.1414066505951528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120</v>
      </c>
      <c r="B42" s="181">
        <f>'Données projet'!D55</f>
        <v>17</v>
      </c>
      <c r="C42" s="193">
        <f t="shared" si="9"/>
        <v>451.20000000000005</v>
      </c>
      <c r="D42" s="182">
        <f t="shared" si="3"/>
        <v>7670.4000000000005</v>
      </c>
      <c r="E42" s="193">
        <f t="shared" si="4"/>
        <v>995.44799999999998</v>
      </c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7"/>
        <v>8.7477575603781368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7"/>
        <v>8.3710598663905618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7"/>
        <v>8.0105836042014946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7"/>
        <v>7.6656302432550216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7"/>
        <v>7.3355313332583929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7"/>
        <v>7.0196472088597082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7"/>
        <v>6.7173657501049826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7"/>
        <v>6.4281011962727135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7"/>
        <v>6.1512930107872856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7"/>
        <v>5.8864047950117575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7"/>
        <v>5.6329232488150796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7"/>
        <v>5.3903571758995987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20.399999999999999</v>
      </c>
      <c r="C54" s="191">
        <f>8*(1+12.8%)</f>
        <v>9.0240000000000009</v>
      </c>
      <c r="D54" s="179">
        <f>B54*C54</f>
        <v>184.08960000000002</v>
      </c>
      <c r="E54" s="193">
        <f>75+(D54*12%)</f>
        <v>97.090752000000009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7"/>
        <v>5.1582365319613386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33</v>
      </c>
      <c r="B55" s="181">
        <f>'Données projet'!D63</f>
        <v>38.94</v>
      </c>
      <c r="C55" s="191">
        <f>30*(1+12.8%)</f>
        <v>33.840000000000003</v>
      </c>
      <c r="D55" s="179">
        <f t="shared" ref="D55:D73" si="10">B55*C55</f>
        <v>1317.7296000000001</v>
      </c>
      <c r="E55" s="193">
        <f t="shared" ref="E55:E58" si="11">75+(D55*12%)</f>
        <v>233.12755200000001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7"/>
        <v>4.9361115138386031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41</v>
      </c>
      <c r="B56" s="181">
        <f>'Données projet'!D64</f>
        <v>60.4</v>
      </c>
      <c r="C56" s="191">
        <f>50*(1+12.8%)</f>
        <v>56.400000000000006</v>
      </c>
      <c r="D56" s="179">
        <f t="shared" si="10"/>
        <v>3406.5600000000004</v>
      </c>
      <c r="E56" s="193">
        <f t="shared" si="11"/>
        <v>483.78720000000004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7"/>
        <v>4.7235516878838304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52</v>
      </c>
      <c r="B57" s="181">
        <f>'Données projet'!D65</f>
        <v>74.45</v>
      </c>
      <c r="C57" s="191">
        <f>70*(1+12.8%)</f>
        <v>78.960000000000008</v>
      </c>
      <c r="D57" s="179">
        <f t="shared" si="10"/>
        <v>5878.572000000001</v>
      </c>
      <c r="E57" s="193">
        <f t="shared" si="11"/>
        <v>780.42864000000009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7"/>
        <v>4.5201451558696952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405.78</v>
      </c>
      <c r="C58" s="191">
        <f>95*(1+12.8%)</f>
        <v>107.16000000000001</v>
      </c>
      <c r="D58" s="179">
        <f t="shared" si="10"/>
        <v>43483.3848</v>
      </c>
      <c r="E58" s="193">
        <f t="shared" si="11"/>
        <v>5293.0061759999999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7"/>
        <v>4.3254977568131059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10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7"/>
        <v>4.139232303170437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10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7"/>
        <v>3.9609878499238631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10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7"/>
        <v>3.7904189951424536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10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7"/>
        <v>3.6271952106626344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10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7"/>
        <v>3.4710002015910391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10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7"/>
        <v>3.3215312933885532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10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12">$P$25/(1+$M$4)^O65</f>
        <v>3.1784988453478999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10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12"/>
        <v>3.0416256893281344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10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12"/>
        <v>2.9106465926585017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10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12"/>
        <v>2.7853077441708152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10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12"/>
        <v>2.665366262364417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10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12"/>
        <v>2.5505897247506386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10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12"/>
        <v>2.4407557174647261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10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12"/>
        <v>2.3356514042724652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10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12"/>
        <v>2.2350731141363309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12"/>
        <v>2.1388259465419437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12"/>
        <v>2.046723393820042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12"/>
        <v>1.9585869797320978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12"/>
        <v>1.8742459136192327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12"/>
        <v>1.7935367594442417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12"/>
        <v>1.7163031190853992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12"/>
        <v>1.6423953292683244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12"/>
        <v>1.5716701715486365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12"/>
        <v>1.503990594783384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12"/>
        <v>1.439225449553478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12"/>
        <v>1.3772492340224669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8</v>
      </c>
      <c r="C85" s="191">
        <f>7.6*(1+12.8%)</f>
        <v>8.5728000000000009</v>
      </c>
      <c r="D85" s="179">
        <f>B85*C85</f>
        <v>68.582400000000007</v>
      </c>
      <c r="E85" s="193">
        <f>75+(D85*12%)</f>
        <v>83.229888000000003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12"/>
        <v>1.3179418507392031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16</v>
      </c>
      <c r="C86" s="191">
        <f>13.2*(1+12.8%)</f>
        <v>14.889600000000002</v>
      </c>
      <c r="D86" s="179">
        <f t="shared" ref="D86:D104" si="13">B86*C86</f>
        <v>238.23360000000002</v>
      </c>
      <c r="E86" s="193">
        <f t="shared" ref="E86:E97" si="14">75+(D86*12%)</f>
        <v>103.588032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12"/>
        <v>1.2611883739131129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21</v>
      </c>
      <c r="C87" s="191">
        <f>18.8*(1+12.8%)</f>
        <v>21.206400000000002</v>
      </c>
      <c r="D87" s="179">
        <f t="shared" si="13"/>
        <v>445.33440000000007</v>
      </c>
      <c r="E87" s="193">
        <f t="shared" si="14"/>
        <v>128.44012800000002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12"/>
        <v>1.2068788267111135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25</v>
      </c>
      <c r="B88" s="181">
        <f>'Données projet'!D91</f>
        <v>25</v>
      </c>
      <c r="C88" s="191">
        <f>30.28*(1+12.8%)</f>
        <v>34.155840000000005</v>
      </c>
      <c r="D88" s="179">
        <f t="shared" si="13"/>
        <v>853.89600000000007</v>
      </c>
      <c r="E88" s="193">
        <f t="shared" si="14"/>
        <v>177.46752000000001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12"/>
        <v>1.1549079681446059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30</v>
      </c>
      <c r="B89" s="181">
        <f>'Données projet'!D92</f>
        <v>28</v>
      </c>
      <c r="C89" s="191">
        <f t="shared" ref="C89:C90" si="15">30.28*(1+12.8%)</f>
        <v>34.155840000000005</v>
      </c>
      <c r="D89" s="179">
        <f t="shared" si="13"/>
        <v>956.36352000000011</v>
      </c>
      <c r="E89" s="193">
        <f t="shared" si="14"/>
        <v>189.7636224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12"/>
        <v>1.1051750891335945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35</v>
      </c>
      <c r="B90" s="181">
        <f>'Données projet'!D93</f>
        <v>29</v>
      </c>
      <c r="C90" s="191">
        <f t="shared" si="15"/>
        <v>34.155840000000005</v>
      </c>
      <c r="D90" s="179">
        <f t="shared" si="13"/>
        <v>990.51936000000012</v>
      </c>
      <c r="E90" s="193">
        <f t="shared" si="14"/>
        <v>193.86232319999999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12"/>
        <v>1.0575838173527221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40</v>
      </c>
      <c r="B91" s="181">
        <f>'Données projet'!D94</f>
        <v>29</v>
      </c>
      <c r="C91" s="191">
        <f>40*(1+12.8%)</f>
        <v>45.120000000000005</v>
      </c>
      <c r="D91" s="179">
        <f t="shared" si="13"/>
        <v>1308.48</v>
      </c>
      <c r="E91" s="193">
        <f t="shared" si="14"/>
        <v>232.01759999999999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12"/>
        <v>1.0120419304810739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45</v>
      </c>
      <c r="B92" s="181">
        <f>'Données projet'!D95</f>
        <v>29</v>
      </c>
      <c r="C92" s="191">
        <f>40*(1+12.8%)</f>
        <v>45.120000000000005</v>
      </c>
      <c r="D92" s="179">
        <f t="shared" si="13"/>
        <v>1308.48</v>
      </c>
      <c r="E92" s="193">
        <f t="shared" si="14"/>
        <v>232.01759999999999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12"/>
        <v>0.96846117749385074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50</v>
      </c>
      <c r="B93" s="181">
        <f>'Données projet'!D96</f>
        <v>29</v>
      </c>
      <c r="C93" s="191">
        <f>55*(1+12.8%)</f>
        <v>62.040000000000006</v>
      </c>
      <c r="D93" s="179">
        <f t="shared" si="13"/>
        <v>1799.16</v>
      </c>
      <c r="E93" s="193">
        <f t="shared" si="14"/>
        <v>290.89920000000001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12"/>
        <v>0.92675710764961805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55</v>
      </c>
      <c r="B94" s="181">
        <f>'Données projet'!D97</f>
        <v>28</v>
      </c>
      <c r="C94" s="191">
        <f>55*(1+12.8%)</f>
        <v>62.040000000000006</v>
      </c>
      <c r="D94" s="179">
        <f t="shared" si="13"/>
        <v>1737.1200000000001</v>
      </c>
      <c r="E94" s="193">
        <f t="shared" si="14"/>
        <v>283.45439999999996</v>
      </c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12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60</v>
      </c>
      <c r="B95" s="181">
        <f>'Données projet'!D98</f>
        <v>27</v>
      </c>
      <c r="C95" s="191">
        <f>60*(1+12.8%)</f>
        <v>67.680000000000007</v>
      </c>
      <c r="D95" s="179">
        <f t="shared" si="13"/>
        <v>1827.3600000000001</v>
      </c>
      <c r="E95" s="193">
        <f t="shared" si="14"/>
        <v>294.28319999999997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12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65</v>
      </c>
      <c r="B96" s="181">
        <f>'Données projet'!D99</f>
        <v>27</v>
      </c>
      <c r="C96" s="191">
        <f>60*(1+12.8%)</f>
        <v>67.680000000000007</v>
      </c>
      <c r="D96" s="179">
        <f t="shared" si="13"/>
        <v>1827.3600000000001</v>
      </c>
      <c r="E96" s="193">
        <f t="shared" si="14"/>
        <v>294.28319999999997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12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70</v>
      </c>
      <c r="B97" s="181">
        <f>'Données projet'!D100</f>
        <v>26</v>
      </c>
      <c r="C97" s="191">
        <f>60*(1+12.8%)</f>
        <v>67.680000000000007</v>
      </c>
      <c r="D97" s="179">
        <f t="shared" si="13"/>
        <v>1759.6800000000003</v>
      </c>
      <c r="E97" s="193">
        <f t="shared" si="14"/>
        <v>286.16160000000002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16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13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6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13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6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13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6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13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6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13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6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13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6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13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6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6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6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Séquoia toujours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6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6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6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6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6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6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6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6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6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88</v>
      </c>
      <c r="C116" s="191">
        <f>8*(1+12.8%)</f>
        <v>9.0240000000000009</v>
      </c>
      <c r="D116" s="179">
        <f>B116*C116</f>
        <v>794.11200000000008</v>
      </c>
      <c r="E116" s="193">
        <f>75+(D116*12%)</f>
        <v>170.29344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6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91</v>
      </c>
      <c r="C117" s="191">
        <f>8*(1+12.8%)</f>
        <v>9.0240000000000009</v>
      </c>
      <c r="D117" s="179">
        <f t="shared" ref="D117:D135" si="17">B117*C117</f>
        <v>821.18400000000008</v>
      </c>
      <c r="E117" s="193">
        <f t="shared" ref="E117:E128" si="18">75+(D117*12%)</f>
        <v>173.54208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6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91</v>
      </c>
      <c r="C118" s="191">
        <f>16*(1+12.8%)</f>
        <v>18.048000000000002</v>
      </c>
      <c r="D118" s="179">
        <f t="shared" si="17"/>
        <v>1642.3680000000002</v>
      </c>
      <c r="E118" s="193">
        <f t="shared" si="18"/>
        <v>272.08416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6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35</v>
      </c>
      <c r="B119" s="181">
        <f>'Données projet'!D117</f>
        <v>91</v>
      </c>
      <c r="C119" s="191">
        <f>30*(1+12.8%)</f>
        <v>33.840000000000003</v>
      </c>
      <c r="D119" s="179">
        <f t="shared" si="17"/>
        <v>3079.4400000000005</v>
      </c>
      <c r="E119" s="193">
        <f t="shared" si="18"/>
        <v>444.53280000000007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6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40</v>
      </c>
      <c r="B120" s="181">
        <f>'Données projet'!D118</f>
        <v>91</v>
      </c>
      <c r="C120" s="191">
        <f>40*(1+12.8%)</f>
        <v>45.120000000000005</v>
      </c>
      <c r="D120" s="179">
        <f t="shared" si="17"/>
        <v>4105.92</v>
      </c>
      <c r="E120" s="193">
        <f t="shared" si="18"/>
        <v>567.71039999999994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6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45</v>
      </c>
      <c r="B121" s="181">
        <f>'Données projet'!D119</f>
        <v>74</v>
      </c>
      <c r="C121" s="191">
        <f t="shared" ref="C121:C123" si="19">40*(1+12.8%)</f>
        <v>45.120000000000005</v>
      </c>
      <c r="D121" s="179">
        <f t="shared" si="17"/>
        <v>3338.88</v>
      </c>
      <c r="E121" s="193">
        <f t="shared" si="18"/>
        <v>475.66559999999998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6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50</v>
      </c>
      <c r="B122" s="181">
        <f>'Données projet'!D120</f>
        <v>63</v>
      </c>
      <c r="C122" s="191">
        <f t="shared" si="19"/>
        <v>45.120000000000005</v>
      </c>
      <c r="D122" s="179">
        <f t="shared" si="17"/>
        <v>2842.5600000000004</v>
      </c>
      <c r="E122" s="193">
        <f t="shared" si="18"/>
        <v>416.10720000000003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6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55</v>
      </c>
      <c r="B123" s="181">
        <f>'Données projet'!D121</f>
        <v>55</v>
      </c>
      <c r="C123" s="191">
        <f t="shared" si="19"/>
        <v>45.120000000000005</v>
      </c>
      <c r="D123" s="179">
        <f t="shared" si="17"/>
        <v>2481.6000000000004</v>
      </c>
      <c r="E123" s="193">
        <f t="shared" si="18"/>
        <v>372.79200000000003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6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60</v>
      </c>
      <c r="B124" s="181">
        <f>'Données projet'!D122</f>
        <v>48</v>
      </c>
      <c r="C124" s="191">
        <f>50*(1+12.8%)</f>
        <v>56.400000000000006</v>
      </c>
      <c r="D124" s="179">
        <f t="shared" si="17"/>
        <v>2707.2000000000003</v>
      </c>
      <c r="E124" s="193">
        <f t="shared" si="18"/>
        <v>399.86400000000003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6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65</v>
      </c>
      <c r="B125" s="181">
        <f>'Données projet'!D123</f>
        <v>43</v>
      </c>
      <c r="C125" s="191">
        <f t="shared" ref="C125:C126" si="20">50*(1+12.8%)</f>
        <v>56.400000000000006</v>
      </c>
      <c r="D125" s="179">
        <f t="shared" si="17"/>
        <v>2425.2000000000003</v>
      </c>
      <c r="E125" s="193">
        <f t="shared" si="18"/>
        <v>366.024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6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70</v>
      </c>
      <c r="B126" s="181">
        <f>'Données projet'!D124</f>
        <v>38</v>
      </c>
      <c r="C126" s="191">
        <f t="shared" si="20"/>
        <v>56.400000000000006</v>
      </c>
      <c r="D126" s="179">
        <f t="shared" si="17"/>
        <v>2143.2000000000003</v>
      </c>
      <c r="E126" s="193">
        <f t="shared" si="18"/>
        <v>332.18400000000003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6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75</v>
      </c>
      <c r="B127" s="181">
        <f>'Données projet'!D125</f>
        <v>33</v>
      </c>
      <c r="C127" s="191">
        <f>60*(1+12.8%)</f>
        <v>67.680000000000007</v>
      </c>
      <c r="D127" s="179">
        <f t="shared" si="17"/>
        <v>2233.44</v>
      </c>
      <c r="E127" s="193">
        <f t="shared" si="18"/>
        <v>343.01279999999997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6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80</v>
      </c>
      <c r="B128" s="181">
        <f>'Données projet'!D126</f>
        <v>29</v>
      </c>
      <c r="C128" s="191">
        <f>60*(1+12.8%)</f>
        <v>67.680000000000007</v>
      </c>
      <c r="D128" s="179">
        <f t="shared" si="17"/>
        <v>1962.7200000000003</v>
      </c>
      <c r="E128" s="193">
        <f t="shared" si="18"/>
        <v>310.52640000000002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6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17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21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7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21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7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21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7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21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7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7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7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25</v>
      </c>
      <c r="B147" s="175">
        <f>'Données projet'!D140</f>
        <v>6</v>
      </c>
      <c r="C147" s="191">
        <f>7.6*(1+12.8%)</f>
        <v>8.5728000000000009</v>
      </c>
      <c r="D147" s="182">
        <f>B147*C147</f>
        <v>51.436800000000005</v>
      </c>
      <c r="E147" s="193">
        <f>75+(D147*12%)</f>
        <v>81.172415999999998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7</v>
      </c>
      <c r="C148" s="191">
        <f t="shared" ref="C148:C150" si="22">7.6*(1+12.8%)</f>
        <v>8.5728000000000009</v>
      </c>
      <c r="D148" s="182">
        <f t="shared" ref="D148:D166" si="23">B148*C148</f>
        <v>60.009600000000006</v>
      </c>
      <c r="E148" s="193">
        <f t="shared" ref="E148:E166" si="24">75+(D148*12%)</f>
        <v>82.201152000000008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35</v>
      </c>
      <c r="B149" s="175">
        <f>'Données projet'!D142</f>
        <v>9</v>
      </c>
      <c r="C149" s="191">
        <f t="shared" si="22"/>
        <v>8.5728000000000009</v>
      </c>
      <c r="D149" s="182">
        <f t="shared" si="23"/>
        <v>77.155200000000008</v>
      </c>
      <c r="E149" s="193">
        <f t="shared" si="24"/>
        <v>84.258623999999998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40</v>
      </c>
      <c r="B150" s="175">
        <f>'Données projet'!D143</f>
        <v>10</v>
      </c>
      <c r="C150" s="191">
        <f t="shared" si="22"/>
        <v>8.5728000000000009</v>
      </c>
      <c r="D150" s="182">
        <f t="shared" si="23"/>
        <v>85.728000000000009</v>
      </c>
      <c r="E150" s="193">
        <f t="shared" si="24"/>
        <v>85.287360000000007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45</v>
      </c>
      <c r="B151" s="175">
        <f>'Données projet'!D144</f>
        <v>10</v>
      </c>
      <c r="C151" s="191">
        <f>35*(1+12.8%)</f>
        <v>39.480000000000004</v>
      </c>
      <c r="D151" s="182">
        <f t="shared" si="23"/>
        <v>394.80000000000007</v>
      </c>
      <c r="E151" s="193">
        <f t="shared" si="24"/>
        <v>122.376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50</v>
      </c>
      <c r="B152" s="175">
        <f>'Données projet'!D145</f>
        <v>10</v>
      </c>
      <c r="C152" s="191">
        <f t="shared" ref="C152:C156" si="25">35*(1+12.8%)</f>
        <v>39.480000000000004</v>
      </c>
      <c r="D152" s="182">
        <f t="shared" si="23"/>
        <v>394.80000000000007</v>
      </c>
      <c r="E152" s="193">
        <f t="shared" si="24"/>
        <v>122.376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55</v>
      </c>
      <c r="B153" s="175">
        <f>'Données projet'!D146</f>
        <v>11</v>
      </c>
      <c r="C153" s="191">
        <f t="shared" si="25"/>
        <v>39.480000000000004</v>
      </c>
      <c r="D153" s="182">
        <f t="shared" si="23"/>
        <v>434.28000000000003</v>
      </c>
      <c r="E153" s="193">
        <f t="shared" si="24"/>
        <v>127.11359999999999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60</v>
      </c>
      <c r="B154" s="175">
        <f>'Données projet'!D147</f>
        <v>11</v>
      </c>
      <c r="C154" s="191">
        <f t="shared" si="25"/>
        <v>39.480000000000004</v>
      </c>
      <c r="D154" s="182">
        <f t="shared" si="23"/>
        <v>434.28000000000003</v>
      </c>
      <c r="E154" s="193">
        <f t="shared" si="24"/>
        <v>127.11359999999999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65</v>
      </c>
      <c r="B155" s="175">
        <f>'Données projet'!D148</f>
        <v>11</v>
      </c>
      <c r="C155" s="191">
        <f t="shared" si="25"/>
        <v>39.480000000000004</v>
      </c>
      <c r="D155" s="182">
        <f t="shared" si="23"/>
        <v>434.28000000000003</v>
      </c>
      <c r="E155" s="193">
        <f t="shared" si="24"/>
        <v>127.11359999999999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70</v>
      </c>
      <c r="B156" s="175">
        <f>'Données projet'!D149</f>
        <v>10</v>
      </c>
      <c r="C156" s="191">
        <f t="shared" si="25"/>
        <v>39.480000000000004</v>
      </c>
      <c r="D156" s="182">
        <f t="shared" si="23"/>
        <v>394.80000000000007</v>
      </c>
      <c r="E156" s="193">
        <f t="shared" si="24"/>
        <v>122.376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75</v>
      </c>
      <c r="B157" s="175">
        <f>'Données projet'!D150</f>
        <v>10</v>
      </c>
      <c r="C157" s="191">
        <f>40*(1+12.8%)</f>
        <v>45.120000000000005</v>
      </c>
      <c r="D157" s="182">
        <f t="shared" si="23"/>
        <v>451.20000000000005</v>
      </c>
      <c r="E157" s="193">
        <f t="shared" si="24"/>
        <v>129.14400000000001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80</v>
      </c>
      <c r="B158" s="175">
        <f>'Données projet'!D151</f>
        <v>10</v>
      </c>
      <c r="C158" s="191">
        <f t="shared" ref="C158:C161" si="26">40*(1+12.8%)</f>
        <v>45.120000000000005</v>
      </c>
      <c r="D158" s="182">
        <f t="shared" si="23"/>
        <v>451.20000000000005</v>
      </c>
      <c r="E158" s="193">
        <f t="shared" si="24"/>
        <v>129.14400000000001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85</v>
      </c>
      <c r="B159" s="175">
        <f>'Données projet'!D152</f>
        <v>10</v>
      </c>
      <c r="C159" s="191">
        <f t="shared" si="26"/>
        <v>45.120000000000005</v>
      </c>
      <c r="D159" s="182">
        <f t="shared" si="23"/>
        <v>451.20000000000005</v>
      </c>
      <c r="E159" s="193">
        <f t="shared" si="24"/>
        <v>129.14400000000001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90</v>
      </c>
      <c r="B160" s="175">
        <f>'Données projet'!D153</f>
        <v>10</v>
      </c>
      <c r="C160" s="191">
        <f t="shared" si="26"/>
        <v>45.120000000000005</v>
      </c>
      <c r="D160" s="182">
        <f t="shared" si="23"/>
        <v>451.20000000000005</v>
      </c>
      <c r="E160" s="193">
        <f t="shared" si="24"/>
        <v>129.14400000000001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95</v>
      </c>
      <c r="B161" s="175">
        <f>'Données projet'!D154</f>
        <v>9</v>
      </c>
      <c r="C161" s="191">
        <f t="shared" si="26"/>
        <v>45.120000000000005</v>
      </c>
      <c r="D161" s="182">
        <f t="shared" si="23"/>
        <v>406.08000000000004</v>
      </c>
      <c r="E161" s="193">
        <f t="shared" si="24"/>
        <v>123.7296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100</v>
      </c>
      <c r="B162" s="175">
        <f>'Données projet'!D155</f>
        <v>9</v>
      </c>
      <c r="C162" s="191">
        <f>55*(1+12.8%)</f>
        <v>62.040000000000006</v>
      </c>
      <c r="D162" s="182">
        <f t="shared" si="23"/>
        <v>558.36</v>
      </c>
      <c r="E162" s="193">
        <f t="shared" si="24"/>
        <v>142.00319999999999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105</v>
      </c>
      <c r="B163" s="175">
        <f>'Données projet'!D156</f>
        <v>9</v>
      </c>
      <c r="C163" s="191">
        <f t="shared" ref="C163:C166" si="27">55*(1+12.8%)</f>
        <v>62.040000000000006</v>
      </c>
      <c r="D163" s="182">
        <f t="shared" si="23"/>
        <v>558.36</v>
      </c>
      <c r="E163" s="193">
        <f t="shared" si="24"/>
        <v>142.00319999999999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110</v>
      </c>
      <c r="B164" s="175">
        <f>'Données projet'!D157</f>
        <v>8</v>
      </c>
      <c r="C164" s="191">
        <f t="shared" si="27"/>
        <v>62.040000000000006</v>
      </c>
      <c r="D164" s="182">
        <f t="shared" si="23"/>
        <v>496.32000000000005</v>
      </c>
      <c r="E164" s="193">
        <f t="shared" si="24"/>
        <v>134.55840000000001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115</v>
      </c>
      <c r="B165" s="175">
        <f>'Données projet'!D158</f>
        <v>8</v>
      </c>
      <c r="C165" s="191">
        <f t="shared" si="27"/>
        <v>62.040000000000006</v>
      </c>
      <c r="D165" s="182">
        <f t="shared" si="23"/>
        <v>496.32000000000005</v>
      </c>
      <c r="E165" s="193">
        <f t="shared" si="24"/>
        <v>134.55840000000001</v>
      </c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120</v>
      </c>
      <c r="B166" s="175">
        <f>'Données projet'!D159</f>
        <v>8</v>
      </c>
      <c r="C166" s="191">
        <f t="shared" si="27"/>
        <v>62.040000000000006</v>
      </c>
      <c r="D166" s="182">
        <f t="shared" si="23"/>
        <v>496.32000000000005</v>
      </c>
      <c r="E166" s="193">
        <f t="shared" si="24"/>
        <v>134.55840000000001</v>
      </c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28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28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28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28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28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28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28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28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28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28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28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28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28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28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28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28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28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28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28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29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29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29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29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29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29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29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29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29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29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29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29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29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29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29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29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29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29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29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30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30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30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30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30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30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30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30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30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30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30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30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30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30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30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30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30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30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30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31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31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31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31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31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31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31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31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31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31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31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31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31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31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31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31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31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31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31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32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32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32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32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32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32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32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32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32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32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32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32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32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32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32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32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32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32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32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2023-06-28T13:20:13Z</dcterms:modified>
</cp:coreProperties>
</file>