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238-B-BUREAU-PDL(49)-GRANGE-EtiennedeLaBoissière-Avrillé-6,5188ha/"/>
    </mc:Choice>
  </mc:AlternateContent>
  <xr:revisionPtr revIDLastSave="0" documentId="13_ncr:1_{B6AD6015-1CFB-A348-A1E2-C196C9AA97E0}" xr6:coauthVersionLast="47" xr6:coauthVersionMax="47" xr10:uidLastSave="{00000000-0000-0000-0000-000000000000}"/>
  <bookViews>
    <workbookView xWindow="0" yWindow="76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7" i="6" l="1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E110" i="6"/>
  <c r="E79" i="6"/>
  <c r="E48" i="6"/>
  <c r="E17" i="6"/>
  <c r="I23" i="6"/>
  <c r="I22" i="6"/>
  <c r="I21" i="6"/>
  <c r="I20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85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H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HG107" i="2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W113" i="2"/>
  <c r="EC113" i="2"/>
  <c r="EX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G155" i="2" l="1"/>
  <c r="EX155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S164" i="2" l="1"/>
  <c r="EA164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FS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HG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W186" i="2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W192" i="2"/>
  <c r="HG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B201" i="2" l="1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126" i="2" a="1"/>
  <c r="BC126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84" i="2" a="1"/>
  <c r="BC84" i="2" s="1"/>
  <c r="BC7" i="2" a="1"/>
  <c r="BC7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5" i="2" l="1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38" i="2" a="1"/>
  <c r="BC38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3" i="2"/>
  <c r="BI77" i="2"/>
  <c r="BI175" i="2"/>
  <c r="BI50" i="2"/>
  <c r="BI185" i="2"/>
  <c r="BI28" i="2"/>
  <c r="BI140" i="2"/>
  <c r="BI154" i="2"/>
  <c r="BI187" i="2"/>
  <c r="BI49" i="2"/>
  <c r="BI168" i="2"/>
  <c r="BI6" i="2"/>
  <c r="BI12" i="2"/>
  <c r="BI4" i="2"/>
  <c r="BI121" i="2"/>
  <c r="BI34" i="2"/>
  <c r="BI176" i="2"/>
  <c r="BI43" i="2"/>
  <c r="BI98" i="2"/>
  <c r="BI159" i="2"/>
  <c r="BI203" i="2"/>
  <c r="BI150" i="2"/>
  <c r="BI48" i="2"/>
  <c r="BI186" i="2"/>
  <c r="BI104" i="2"/>
  <c r="BI71" i="2"/>
  <c r="BI172" i="2"/>
  <c r="BI63" i="2"/>
  <c r="BI88" i="2"/>
  <c r="BI15" i="2"/>
  <c r="BI105" i="2"/>
  <c r="BI115" i="2"/>
  <c r="BI195" i="2"/>
  <c r="BI57" i="2"/>
  <c r="BI148" i="2"/>
  <c r="BI33" i="2"/>
  <c r="BI59" i="2"/>
  <c r="BI137" i="2"/>
  <c r="BI69" i="2"/>
  <c r="BI51" i="2"/>
  <c r="BI23" i="2"/>
  <c r="BI162" i="2"/>
  <c r="BI198" i="2"/>
  <c r="BI191" i="2"/>
  <c r="BI101" i="2"/>
  <c r="BI73" i="2"/>
  <c r="BI132" i="2"/>
  <c r="BI97" i="2"/>
  <c r="BI13" i="2"/>
  <c r="BI165" i="2"/>
  <c r="BI180" i="2"/>
  <c r="BI136" i="2"/>
  <c r="BI85" i="2"/>
  <c r="BI82" i="2"/>
  <c r="BI126" i="2"/>
  <c r="BI155" i="2"/>
  <c r="BI52" i="2"/>
  <c r="BI118" i="2"/>
  <c r="BI193" i="2"/>
  <c r="BI135" i="2"/>
  <c r="BI79" i="2"/>
  <c r="BI188" i="2"/>
  <c r="BI38" i="2"/>
  <c r="BI24" i="2"/>
  <c r="BI22" i="2"/>
  <c r="BI94" i="2"/>
  <c r="BI10" i="2"/>
  <c r="BI39" i="2"/>
  <c r="BI124" i="2"/>
  <c r="BI145" i="2"/>
  <c r="BI151" i="2"/>
  <c r="BI62" i="2"/>
  <c r="BI61" i="2"/>
  <c r="BI184" i="2"/>
  <c r="BI107" i="2"/>
  <c r="BI92" i="2"/>
  <c r="BI179" i="2"/>
  <c r="BI7" i="2"/>
  <c r="BI149" i="2"/>
  <c r="BI32" i="2"/>
  <c r="BI19" i="2"/>
  <c r="BI169" i="2"/>
  <c r="BI182" i="2"/>
  <c r="BI194" i="2"/>
  <c r="BI65" i="2"/>
  <c r="BI56" i="2"/>
  <c r="BI25" i="2"/>
  <c r="BI21" i="2"/>
  <c r="BI117" i="2"/>
  <c r="BI120" i="2"/>
  <c r="BI163" i="2"/>
  <c r="BI112" i="2"/>
  <c r="BI199" i="2"/>
  <c r="BI174" i="2"/>
  <c r="BI127" i="2"/>
  <c r="BI90" i="2"/>
  <c r="BI129" i="2"/>
  <c r="BI171" i="2"/>
  <c r="BI143" i="2"/>
  <c r="BI131" i="2"/>
  <c r="BI157" i="2"/>
  <c r="BI72" i="2"/>
  <c r="BI35" i="2"/>
  <c r="BI29" i="2"/>
  <c r="BI160" i="2"/>
  <c r="BI60" i="2"/>
  <c r="BI37" i="2"/>
  <c r="BI189" i="2"/>
  <c r="BI86" i="2"/>
  <c r="BI201" i="2"/>
  <c r="BI53" i="2"/>
  <c r="BI102" i="2"/>
  <c r="BI40" i="2"/>
  <c r="BI164" i="2"/>
  <c r="BI153" i="2"/>
  <c r="BI95" i="2"/>
  <c r="BI144" i="2"/>
  <c r="BI74" i="2"/>
  <c r="BI130" i="2"/>
  <c r="BI54" i="2"/>
  <c r="BI146" i="2"/>
  <c r="BI84" i="2"/>
  <c r="BI142" i="2"/>
  <c r="BI27" i="2"/>
  <c r="BI78" i="2"/>
  <c r="BI167" i="2"/>
  <c r="BI44" i="2"/>
  <c r="BI14" i="2"/>
  <c r="BI18" i="2"/>
  <c r="BI45" i="2"/>
  <c r="BI108" i="2"/>
  <c r="BI128" i="2"/>
  <c r="BI133" i="2"/>
  <c r="BI109" i="2"/>
  <c r="BI192" i="2"/>
  <c r="BI30" i="2"/>
  <c r="BI122" i="2"/>
  <c r="BI55" i="2"/>
  <c r="BI147" i="2"/>
  <c r="BI116" i="2"/>
  <c r="BI64" i="2"/>
  <c r="BI119" i="2"/>
  <c r="BI5" i="2"/>
  <c r="BI75" i="2"/>
  <c r="BI114" i="2"/>
  <c r="BI110" i="2"/>
  <c r="BI66" i="2"/>
  <c r="BI183" i="2"/>
  <c r="BI41" i="2"/>
  <c r="BI178" i="2"/>
  <c r="BI197" i="2"/>
  <c r="BI36" i="2"/>
  <c r="BI134" i="2"/>
  <c r="BI80" i="2"/>
  <c r="BI83" i="2"/>
  <c r="BI141" i="2"/>
  <c r="BI67" i="2"/>
  <c r="BI100" i="2"/>
  <c r="BI31" i="2"/>
  <c r="BI158" i="2"/>
  <c r="BI11" i="2"/>
  <c r="BI99" i="2"/>
  <c r="BI76" i="2"/>
  <c r="BI87" i="2"/>
  <c r="BI42" i="2"/>
  <c r="BI3" i="2"/>
  <c r="C8" i="4" s="1"/>
  <c r="E8" i="4" s="1"/>
  <c r="F8" i="4" s="1"/>
  <c r="G8" i="4" s="1"/>
  <c r="L8" i="4" s="1"/>
  <c r="BI139" i="2"/>
  <c r="BI20" i="2"/>
  <c r="BI181" i="2"/>
  <c r="BI125" i="2"/>
  <c r="BI190" i="2"/>
  <c r="BI89" i="2"/>
  <c r="BI16" i="2"/>
  <c r="BI17" i="2"/>
  <c r="BI58" i="2"/>
  <c r="BI93" i="2"/>
  <c r="BI91" i="2"/>
  <c r="BI8" i="2"/>
  <c r="BI156" i="2"/>
  <c r="BI26" i="2"/>
  <c r="BI106" i="2"/>
  <c r="BI200" i="2"/>
  <c r="BI70" i="2"/>
  <c r="BI202" i="2"/>
  <c r="BI96" i="2"/>
  <c r="BI138" i="2"/>
  <c r="BI111" i="2"/>
  <c r="BI123" i="2"/>
  <c r="BI152" i="2"/>
  <c r="BI9" i="2"/>
  <c r="BI81" i="2"/>
  <c r="BI177" i="2"/>
  <c r="BI170" i="2"/>
  <c r="BI68" i="2"/>
  <c r="BI173" i="2"/>
  <c r="BI46" i="2"/>
  <c r="BI161" i="2"/>
  <c r="BI196" i="2"/>
  <c r="BI113" i="2"/>
  <c r="BI16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<sst xmlns="http://schemas.openxmlformats.org/spreadsheetml/2006/main" count="1173" uniqueCount="324">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</sst>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115.77785737197435</c:v>
                </c:pt>
                <c:pt idx="32">
                  <c:v>126.01601193064431</c:v>
                </c:pt>
                <c:pt idx="33">
                  <c:v>136.23399433545893</c:v>
                </c:pt>
                <c:pt idx="34">
                  <c:v>146.43353271796309</c:v>
                </c:pt>
                <c:pt idx="35">
                  <c:v>156.61609434461207</c:v>
                </c:pt>
                <c:pt idx="36">
                  <c:v>166.78293977832863</c:v>
                </c:pt>
                <c:pt idx="37">
                  <c:v>176.93516310576453</c:v>
                </c:pt>
                <c:pt idx="38">
                  <c:v>187.07372242622981</c:v>
                </c:pt>
                <c:pt idx="39">
                  <c:v>197.19946337106239</c:v>
                </c:pt>
                <c:pt idx="40">
                  <c:v>207.31313753029789</c:v>
                </c:pt>
                <c:pt idx="41">
                  <c:v>167.2908897484331</c:v>
                </c:pt>
                <c:pt idx="42">
                  <c:v>177.94961915142096</c:v>
                </c:pt>
                <c:pt idx="43">
                  <c:v>188.59338138830185</c:v>
                </c:pt>
                <c:pt idx="44">
                  <c:v>199.22314097441145</c:v>
                </c:pt>
                <c:pt idx="45">
                  <c:v>209.839750973131</c:v>
                </c:pt>
                <c:pt idx="46">
                  <c:v>220.44397098530533</c:v>
                </c:pt>
                <c:pt idx="47">
                  <c:v>231.03648149074078</c:v>
                </c:pt>
                <c:pt idx="48">
                  <c:v>241.61789541835171</c:v>
                </c:pt>
                <c:pt idx="49">
                  <c:v>252.18876758094336</c:v>
                </c:pt>
                <c:pt idx="50">
                  <c:v>262.74960244358527</c:v>
                </c:pt>
                <c:pt idx="51">
                  <c:v>221.95788870113009</c:v>
                </c:pt>
                <c:pt idx="52">
                  <c:v>231.54060536306486</c:v>
                </c:pt>
                <c:pt idx="53">
                  <c:v>241.11426179447619</c:v>
                </c:pt>
                <c:pt idx="54">
                  <c:v>250.67926877807722</c:v>
                </c:pt>
                <c:pt idx="55">
                  <c:v>260.23600315922118</c:v>
                </c:pt>
                <c:pt idx="56">
                  <c:v>269.78481182023978</c:v>
                </c:pt>
                <c:pt idx="57">
                  <c:v>279.32601506215059</c:v>
                </c:pt>
                <c:pt idx="58">
                  <c:v>288.85990949975201</c:v>
                </c:pt>
                <c:pt idx="59">
                  <c:v>298.38677055421067</c:v>
                </c:pt>
                <c:pt idx="60">
                  <c:v>307.90685461043864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178.11868194628323</c:v>
                </c:pt>
                <c:pt idx="22">
                  <c:v>191.29429384952866</c:v>
                </c:pt>
                <c:pt idx="23">
                  <c:v>204.4487812295192</c:v>
                </c:pt>
                <c:pt idx="24">
                  <c:v>217.58369540679928</c:v>
                </c:pt>
                <c:pt idx="25">
                  <c:v>230.70038494007625</c:v>
                </c:pt>
                <c:pt idx="26">
                  <c:v>238.56214878630877</c:v>
                </c:pt>
                <c:pt idx="27">
                  <c:v>246.4180109567441</c:v>
                </c:pt>
                <c:pt idx="28">
                  <c:v>254.26818635687155</c:v>
                </c:pt>
                <c:pt idx="29">
                  <c:v>262.11287552319567</c:v>
                </c:pt>
                <c:pt idx="30">
                  <c:v>269.95226599479992</c:v>
                </c:pt>
                <c:pt idx="31">
                  <c:v>232.44796515158791</c:v>
                </c:pt>
                <c:pt idx="32">
                  <c:v>256.01191793762843</c:v>
                </c:pt>
                <c:pt idx="33">
                  <c:v>279.52680294324551</c:v>
                </c:pt>
                <c:pt idx="34">
                  <c:v>302.9973265846117</c:v>
                </c:pt>
                <c:pt idx="35">
                  <c:v>326.42740643086165</c:v>
                </c:pt>
                <c:pt idx="36">
                  <c:v>289.96337472940411</c:v>
                </c:pt>
                <c:pt idx="37">
                  <c:v>314.28330815365291</c:v>
                </c:pt>
                <c:pt idx="38">
                  <c:v>338.56152844098648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351.11892985232754</c:v>
                </c:pt>
                <c:pt idx="42">
                  <c:v>375.77238986983872</c:v>
                </c:pt>
                <c:pt idx="43">
                  <c:v>400.39063273702004</c:v>
                </c:pt>
                <c:pt idx="44">
                  <c:v>424.97612632602932</c:v>
                </c:pt>
                <c:pt idx="45">
                  <c:v>449.53102985794368</c:v>
                </c:pt>
                <c:pt idx="46">
                  <c:v>412.90299192267588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556.91033459423932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652.32283847201813</c:v>
                </c:pt>
                <c:pt idx="82">
                  <c:v>666.41656212645091</c:v>
                </c:pt>
                <c:pt idx="83">
                  <c:v>680.50415665378762</c:v>
                </c:pt>
                <c:pt idx="84">
                  <c:v>694.58576673681353</c:v>
                </c:pt>
                <c:pt idx="85">
                  <c:v>708.661530717353</c:v>
                </c:pt>
                <c:pt idx="86">
                  <c:v>722.73158099720615</c:v>
                </c:pt>
                <c:pt idx="87">
                  <c:v>736.79604440626429</c:v>
                </c:pt>
                <c:pt idx="88">
                  <c:v>750.85504254107491</c:v>
                </c:pt>
                <c:pt idx="89">
                  <c:v>764.90869207675416</c:v>
                </c:pt>
                <c:pt idx="90">
                  <c:v>778.95710505480326</c:v>
                </c:pt>
                <c:pt idx="91">
                  <c:v>672.39385739452064</c:v>
                </c:pt>
                <c:pt idx="92">
                  <c:v>685.19868466155049</c:v>
                </c:pt>
                <c:pt idx="93">
                  <c:v>697.99860485695535</c:v>
                </c:pt>
                <c:pt idx="94">
                  <c:v>710.79372059813147</c:v>
                </c:pt>
                <c:pt idx="95">
                  <c:v>723.58413050891011</c:v>
                </c:pt>
                <c:pt idx="96">
                  <c:v>736.36992944429039</c:v>
                </c:pt>
                <c:pt idx="97">
                  <c:v>749.15120869876171</c:v>
                </c:pt>
                <c:pt idx="98">
                  <c:v>761.92805619968021</c:v>
                </c:pt>
                <c:pt idx="99">
                  <c:v>774.70055668701161</c:v>
                </c:pt>
                <c:pt idx="100">
                  <c:v>787.4687918806103</c:v>
                </c:pt>
                <c:pt idx="101">
                  <c:v>679.22371566061418</c:v>
                </c:pt>
                <c:pt idx="102">
                  <c:v>690.31923574953782</c:v>
                </c:pt>
                <c:pt idx="103">
                  <c:v>701.41110134898815</c:v>
                </c:pt>
                <c:pt idx="104">
                  <c:v>712.49937837079142</c:v>
                </c:pt>
                <c:pt idx="105">
                  <c:v>723.58413050891011</c:v>
                </c:pt>
                <c:pt idx="106">
                  <c:v>734.66541934761642</c:v>
                </c:pt>
                <c:pt idx="107">
                  <c:v>745.74330446280726</c:v>
                </c:pt>
                <c:pt idx="108">
                  <c:v>756.81784351698741</c:v>
                </c:pt>
                <c:pt idx="109">
                  <c:v>767.88909234840855</c:v>
                </c:pt>
                <c:pt idx="110">
                  <c:v>778.95710505480292</c:v>
                </c:pt>
                <c:pt idx="111">
                  <c:v>679.86394234558054</c:v>
                </c:pt>
                <c:pt idx="112">
                  <c:v>689.46586480458461</c:v>
                </c:pt>
                <c:pt idx="113">
                  <c:v>699.06504661949918</c:v>
                </c:pt>
                <c:pt idx="114">
                  <c:v>708.661530717353</c:v>
                </c:pt>
                <c:pt idx="115">
                  <c:v>718.25535876813422</c:v>
                </c:pt>
                <c:pt idx="116">
                  <c:v>727.84657123825627</c:v>
                </c:pt>
                <c:pt idx="117">
                  <c:v>737.43520744105774</c:v>
                </c:pt>
                <c:pt idx="118">
                  <c:v>747.02130558454337</c:v>
                </c:pt>
                <c:pt idx="119">
                  <c:v>756.60490281654677</c:v>
                </c:pt>
                <c:pt idx="120">
                  <c:v>766.18603526748632</c:v>
                </c:pt>
                <c:pt idx="121">
                  <c:v>1.708394296311803E-12</c:v>
                </c:pt>
                <c:pt idx="122">
                  <c:v>1.708394296311803E-12</c:v>
                </c:pt>
                <c:pt idx="123">
                  <c:v>1.708394296311803E-12</c:v>
                </c:pt>
                <c:pt idx="124">
                  <c:v>1.708394296311803E-12</c:v>
                </c:pt>
                <c:pt idx="125">
                  <c:v>1.708394296311803E-12</c:v>
                </c:pt>
                <c:pt idx="126">
                  <c:v>1.708394296311803E-12</c:v>
                </c:pt>
                <c:pt idx="127">
                  <c:v>1.708394296311803E-12</c:v>
                </c:pt>
                <c:pt idx="128">
                  <c:v>1.708394296311803E-12</c:v>
                </c:pt>
                <c:pt idx="129">
                  <c:v>1.708394296311803E-12</c:v>
                </c:pt>
                <c:pt idx="130">
                  <c:v>1.708394296311803E-12</c:v>
                </c:pt>
                <c:pt idx="131">
                  <c:v>1.708394296311803E-12</c:v>
                </c:pt>
                <c:pt idx="132">
                  <c:v>1.708394296311803E-12</c:v>
                </c:pt>
                <c:pt idx="133">
                  <c:v>1.708394296311803E-12</c:v>
                </c:pt>
                <c:pt idx="134">
                  <c:v>1.708394296311803E-12</c:v>
                </c:pt>
                <c:pt idx="135">
                  <c:v>1.708394296311803E-12</c:v>
                </c:pt>
                <c:pt idx="136">
                  <c:v>1.708394296311803E-12</c:v>
                </c:pt>
                <c:pt idx="137">
                  <c:v>1.708394296311803E-12</c:v>
                </c:pt>
                <c:pt idx="138">
                  <c:v>1.708394296311803E-12</c:v>
                </c:pt>
                <c:pt idx="139">
                  <c:v>1.708394296311803E-12</c:v>
                </c:pt>
                <c:pt idx="140">
                  <c:v>1.708394296311803E-12</c:v>
                </c:pt>
                <c:pt idx="141">
                  <c:v>1.708394296311803E-12</c:v>
                </c:pt>
                <c:pt idx="142">
                  <c:v>1.708394296311803E-12</c:v>
                </c:pt>
                <c:pt idx="143">
                  <c:v>1.708394296311803E-12</c:v>
                </c:pt>
                <c:pt idx="144">
                  <c:v>1.708394296311803E-12</c:v>
                </c:pt>
                <c:pt idx="145">
                  <c:v>1.708394296311803E-12</c:v>
                </c:pt>
                <c:pt idx="146">
                  <c:v>1.708394296311803E-12</c:v>
                </c:pt>
                <c:pt idx="147">
                  <c:v>1.708394296311803E-12</c:v>
                </c:pt>
                <c:pt idx="148">
                  <c:v>1.708394296311803E-12</c:v>
                </c:pt>
                <c:pt idx="149">
                  <c:v>1.708394296311803E-12</c:v>
                </c:pt>
                <c:pt idx="150">
                  <c:v>1.708394296311803E-12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583.56165301259614</c:v>
                </c:pt>
                <c:pt idx="82">
                  <c:v>596.16663396016577</c:v>
                </c:pt>
                <c:pt idx="83">
                  <c:v>608.76607282046439</c:v>
                </c:pt>
                <c:pt idx="84">
                  <c:v>621.36010041874772</c:v>
                </c:pt>
                <c:pt idx="85">
                  <c:v>633.94884184664033</c:v>
                </c:pt>
                <c:pt idx="86">
                  <c:v>646.53241682467024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696.8172765728691</c:v>
                </c:pt>
                <c:pt idx="91">
                  <c:v>601.51251958281762</c:v>
                </c:pt>
                <c:pt idx="92">
                  <c:v>612.96467697950231</c:v>
                </c:pt>
                <c:pt idx="93">
                  <c:v>624.41239729750248</c:v>
                </c:pt>
                <c:pt idx="94">
                  <c:v>635.85577332565367</c:v>
                </c:pt>
                <c:pt idx="95">
                  <c:v>647.29489424172516</c:v>
                </c:pt>
                <c:pt idx="96">
                  <c:v>658.72984581562707</c:v>
                </c:pt>
                <c:pt idx="97">
                  <c:v>670.1607105977813</c:v>
                </c:pt>
                <c:pt idx="98">
                  <c:v>681.58756809397642</c:v>
                </c:pt>
                <c:pt idx="99">
                  <c:v>693.01049492789434</c:v>
                </c:pt>
                <c:pt idx="100">
                  <c:v>704.42956499236789</c:v>
                </c:pt>
                <c:pt idx="101">
                  <c:v>607.62089481714213</c:v>
                </c:pt>
                <c:pt idx="102">
                  <c:v>617.54429227660466</c:v>
                </c:pt>
                <c:pt idx="103">
                  <c:v>627.46438526884424</c:v>
                </c:pt>
                <c:pt idx="104">
                  <c:v>637.38123339273886</c:v>
                </c:pt>
                <c:pt idx="105">
                  <c:v>647.29489424172505</c:v>
                </c:pt>
                <c:pt idx="106">
                  <c:v>657.20542350161418</c:v>
                </c:pt>
                <c:pt idx="107">
                  <c:v>667.11287504220093</c:v>
                </c:pt>
                <c:pt idx="108">
                  <c:v>677.01730100315046</c:v>
                </c:pt>
                <c:pt idx="109">
                  <c:v>686.91875187459902</c:v>
                </c:pt>
                <c:pt idx="110">
                  <c:v>696.81727657286876</c:v>
                </c:pt>
                <c:pt idx="111">
                  <c:v>608.19348941446788</c:v>
                </c:pt>
                <c:pt idx="112">
                  <c:v>616.78107210210919</c:v>
                </c:pt>
                <c:pt idx="113">
                  <c:v>625.36617664098867</c:v>
                </c:pt>
                <c:pt idx="114">
                  <c:v>633.94884184664033</c:v>
                </c:pt>
                <c:pt idx="115">
                  <c:v>642.52910539795516</c:v>
                </c:pt>
                <c:pt idx="116">
                  <c:v>651.10700388552539</c:v>
                </c:pt>
                <c:pt idx="117">
                  <c:v>659.68257285730954</c:v>
                </c:pt>
                <c:pt idx="118">
                  <c:v>668.25584686180002</c:v>
                </c:pt>
                <c:pt idx="119">
                  <c:v>676.82685948885785</c:v>
                </c:pt>
                <c:pt idx="120">
                  <c:v>685.39564340837842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264.77349292047239</c:v>
                </c:pt>
                <c:pt idx="57">
                  <c:v>275.80500562250131</c:v>
                </c:pt>
                <c:pt idx="58">
                  <c:v>286.82661124370242</c:v>
                </c:pt>
                <c:pt idx="59">
                  <c:v>297.83874433354407</c:v>
                </c:pt>
                <c:pt idx="60">
                  <c:v>308.84180466613213</c:v>
                </c:pt>
                <c:pt idx="61">
                  <c:v>291.31415591858644</c:v>
                </c:pt>
                <c:pt idx="62">
                  <c:v>302.3225462698868</c:v>
                </c:pt>
                <c:pt idx="63">
                  <c:v>313.32201769425825</c:v>
                </c:pt>
                <c:pt idx="64">
                  <c:v>324.31292757822456</c:v>
                </c:pt>
                <c:pt idx="65">
                  <c:v>335.2956070957909</c:v>
                </c:pt>
                <c:pt idx="66">
                  <c:v>316.9865887388741</c:v>
                </c:pt>
                <c:pt idx="67">
                  <c:v>327.16106643674794</c:v>
                </c:pt>
                <c:pt idx="68">
                  <c:v>337.32855839291477</c:v>
                </c:pt>
                <c:pt idx="69">
                  <c:v>347.48930495916358</c:v>
                </c:pt>
                <c:pt idx="70">
                  <c:v>357.64353127694955</c:v>
                </c:pt>
                <c:pt idx="71">
                  <c:v>339.36123992303641</c:v>
                </c:pt>
                <c:pt idx="72">
                  <c:v>349.52066488969604</c:v>
                </c:pt>
                <c:pt idx="73">
                  <c:v>359.67361293503609</c:v>
                </c:pt>
                <c:pt idx="74">
                  <c:v>369.82029275047876</c:v>
                </c:pt>
                <c:pt idx="75">
                  <c:v>379.96090063619022</c:v>
                </c:pt>
                <c:pt idx="76">
                  <c:v>360.8915414955336</c:v>
                </c:pt>
                <c:pt idx="77">
                  <c:v>370.22603238018934</c:v>
                </c:pt>
                <c:pt idx="78">
                  <c:v>379.55539054654463</c:v>
                </c:pt>
                <c:pt idx="79">
                  <c:v>388.8797600089427</c:v>
                </c:pt>
                <c:pt idx="80">
                  <c:v>398.19927730859058</c:v>
                </c:pt>
                <c:pt idx="81">
                  <c:v>378.74434206791716</c:v>
                </c:pt>
                <c:pt idx="82">
                  <c:v>387.66381592151902</c:v>
                </c:pt>
                <c:pt idx="83">
                  <c:v>396.57883448700221</c:v>
                </c:pt>
                <c:pt idx="84">
                  <c:v>405.48951209335405</c:v>
                </c:pt>
                <c:pt idx="85">
                  <c:v>414.39595763230818</c:v>
                </c:pt>
                <c:pt idx="86">
                  <c:v>394.55307910081621</c:v>
                </c:pt>
                <c:pt idx="87">
                  <c:v>403.05975148729186</c:v>
                </c:pt>
                <c:pt idx="88">
                  <c:v>411.56254124269799</c:v>
                </c:pt>
                <c:pt idx="89">
                  <c:v>420.06153993571371</c:v>
                </c:pt>
                <c:pt idx="90">
                  <c:v>428.55683512546551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5" zoomScale="80" zoomScaleNormal="80" workbookViewId="0">
      <selection activeCell="C35" sqref="C35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6.5187999999999997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164</v>
      </c>
      <c r="C9" s="32">
        <v>0.4602</v>
      </c>
      <c r="D9" s="33">
        <f t="shared" ref="D9:D18" si="0">C9*$C$5</f>
        <v>2.9999517599999996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12</v>
      </c>
      <c r="C10" s="32">
        <v>0.4602</v>
      </c>
      <c r="D10" s="33">
        <f t="shared" si="0"/>
        <v>2.9999517599999996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14</v>
      </c>
      <c r="C11" s="32">
        <v>6.3700000000000007E-2</v>
      </c>
      <c r="D11" s="33">
        <f t="shared" si="0"/>
        <v>0.41524756000000002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6</v>
      </c>
      <c r="C12" s="32">
        <v>1.5900000000000001E-2</v>
      </c>
      <c r="D12" s="33">
        <f t="shared" si="0"/>
        <v>0.10364892000000001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6.5187999999999997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Cèdre de l'Atlas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30</v>
      </c>
      <c r="B36" s="60">
        <v>170</v>
      </c>
      <c r="C36" s="60">
        <v>1</v>
      </c>
      <c r="D36" s="60">
        <v>70</v>
      </c>
      <c r="E36" s="51">
        <v>0.2</v>
      </c>
      <c r="F36" s="51">
        <v>0.45</v>
      </c>
      <c r="G36" s="51">
        <v>0.35</v>
      </c>
      <c r="H36" s="51"/>
      <c r="I36" s="49">
        <f>IFERROR(B36/A36,"")</f>
        <v>5.666666666666667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40</v>
      </c>
      <c r="B37" s="60">
        <v>200</v>
      </c>
      <c r="C37" s="60">
        <v>2</v>
      </c>
      <c r="D37" s="60">
        <v>50</v>
      </c>
      <c r="E37" s="51">
        <v>0.3</v>
      </c>
      <c r="F37" s="51">
        <v>0.39</v>
      </c>
      <c r="G37" s="51">
        <v>0.31</v>
      </c>
      <c r="H37" s="51"/>
      <c r="I37" s="53">
        <f t="shared" ref="I37:I55" si="1">IF(A37&lt;&gt;0,(B37-(B36-D36))/(A37-A36),"")</f>
        <v>10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50</v>
      </c>
      <c r="B38" s="60">
        <v>255</v>
      </c>
      <c r="C38" s="60">
        <v>3</v>
      </c>
      <c r="D38" s="60">
        <v>50</v>
      </c>
      <c r="E38" s="51">
        <v>0.4</v>
      </c>
      <c r="F38" s="51">
        <v>0.34</v>
      </c>
      <c r="G38" s="51">
        <v>0.26</v>
      </c>
      <c r="H38" s="51"/>
      <c r="I38" s="53">
        <f t="shared" si="1"/>
        <v>10.5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60</v>
      </c>
      <c r="B39" s="60">
        <v>300</v>
      </c>
      <c r="C39" s="60">
        <v>4</v>
      </c>
      <c r="D39" s="60">
        <v>300</v>
      </c>
      <c r="E39" s="51">
        <v>0.5</v>
      </c>
      <c r="F39" s="51">
        <v>0.28000000000000003</v>
      </c>
      <c r="G39" s="51">
        <v>0.22</v>
      </c>
      <c r="H39" s="51"/>
      <c r="I39" s="49">
        <f t="shared" si="1"/>
        <v>9.5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pubescent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73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103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 t="shared" ref="I63:I81" si="2">IF(A63&lt;&gt;0,(B63-(B62-D62))/(A63-A62),"")</f>
        <v>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121</v>
      </c>
      <c r="C64" s="60">
        <v>3</v>
      </c>
      <c r="D64" s="60">
        <v>28</v>
      </c>
      <c r="E64" s="51">
        <v>0</v>
      </c>
      <c r="F64" s="51"/>
      <c r="G64" s="51"/>
      <c r="H64" s="51">
        <v>1</v>
      </c>
      <c r="I64" s="49">
        <f t="shared" si="2"/>
        <v>3.6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/>
      <c r="G65" s="51"/>
      <c r="H65" s="51">
        <v>1</v>
      </c>
      <c r="I65" s="49">
        <f t="shared" si="2"/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175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si="2"/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204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231</v>
      </c>
      <c r="C68" s="60">
        <v>7</v>
      </c>
      <c r="D68" s="60">
        <v>28</v>
      </c>
      <c r="E68" s="51">
        <v>0.3</v>
      </c>
      <c r="F68" s="51"/>
      <c r="G68" s="51"/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254</v>
      </c>
      <c r="C69" s="50">
        <v>8</v>
      </c>
      <c r="D69" s="50">
        <v>28</v>
      </c>
      <c r="E69" s="51">
        <v>0.3</v>
      </c>
      <c r="F69" s="51"/>
      <c r="G69" s="51"/>
      <c r="H69" s="51">
        <v>0.7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273</v>
      </c>
      <c r="C70" s="50">
        <v>9</v>
      </c>
      <c r="D70" s="50">
        <v>28</v>
      </c>
      <c r="E70" s="51">
        <v>0.4</v>
      </c>
      <c r="F70" s="51"/>
      <c r="G70" s="51"/>
      <c r="H70" s="51">
        <v>0.6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289</v>
      </c>
      <c r="C71" s="50">
        <v>10</v>
      </c>
      <c r="D71" s="50">
        <v>28</v>
      </c>
      <c r="E71" s="51">
        <v>0.4</v>
      </c>
      <c r="F71" s="51"/>
      <c r="G71" s="51"/>
      <c r="H71" s="51">
        <v>0.6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302</v>
      </c>
      <c r="C72" s="50">
        <v>11</v>
      </c>
      <c r="D72" s="50">
        <v>28</v>
      </c>
      <c r="E72" s="51">
        <v>0.5</v>
      </c>
      <c r="F72" s="51"/>
      <c r="G72" s="51"/>
      <c r="H72" s="51">
        <v>0.5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312</v>
      </c>
      <c r="C73" s="50">
        <v>12</v>
      </c>
      <c r="D73" s="50">
        <v>28</v>
      </c>
      <c r="E73" s="51">
        <v>0.5</v>
      </c>
      <c r="F73" s="51"/>
      <c r="G73" s="51"/>
      <c r="H73" s="51">
        <v>0.5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320</v>
      </c>
      <c r="C74" s="50">
        <v>13</v>
      </c>
      <c r="D74" s="50">
        <v>28</v>
      </c>
      <c r="E74" s="51">
        <v>0.6</v>
      </c>
      <c r="F74" s="51"/>
      <c r="G74" s="51"/>
      <c r="H74" s="51">
        <v>0.4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90</v>
      </c>
      <c r="B75" s="50">
        <v>358</v>
      </c>
      <c r="C75" s="50">
        <v>15</v>
      </c>
      <c r="D75" s="50">
        <v>56</v>
      </c>
      <c r="E75" s="51">
        <v>0.7</v>
      </c>
      <c r="F75" s="51"/>
      <c r="G75" s="51"/>
      <c r="H75" s="51">
        <v>0.3</v>
      </c>
      <c r="I75" s="49">
        <f t="shared" si="2"/>
        <v>6.6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100</v>
      </c>
      <c r="B76" s="50">
        <v>362</v>
      </c>
      <c r="C76" s="50">
        <v>17</v>
      </c>
      <c r="D76" s="50">
        <v>56</v>
      </c>
      <c r="E76" s="51">
        <v>0.8</v>
      </c>
      <c r="F76" s="51"/>
      <c r="G76" s="51"/>
      <c r="H76" s="51">
        <v>0.2</v>
      </c>
      <c r="I76" s="49">
        <f t="shared" si="2"/>
        <v>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110</v>
      </c>
      <c r="B77" s="50">
        <v>358</v>
      </c>
      <c r="C77" s="50">
        <v>19</v>
      </c>
      <c r="D77" s="50">
        <v>51</v>
      </c>
      <c r="E77" s="51">
        <v>0.8</v>
      </c>
      <c r="F77" s="51"/>
      <c r="G77" s="51"/>
      <c r="H77" s="51">
        <v>0.2</v>
      </c>
      <c r="I77" s="49">
        <f t="shared" si="2"/>
        <v>5.2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120</v>
      </c>
      <c r="B78" s="50">
        <v>352</v>
      </c>
      <c r="C78" s="50">
        <v>21</v>
      </c>
      <c r="D78" s="50">
        <v>352</v>
      </c>
      <c r="E78" s="51">
        <v>0.9</v>
      </c>
      <c r="F78" s="51"/>
      <c r="G78" s="51"/>
      <c r="H78" s="51">
        <v>0.1</v>
      </c>
      <c r="I78" s="49">
        <f t="shared" si="2"/>
        <v>4.5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Chêne sessile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20</v>
      </c>
      <c r="B88" s="60">
        <v>73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25</v>
      </c>
      <c r="B89" s="60">
        <v>103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30</v>
      </c>
      <c r="B90" s="60">
        <v>121</v>
      </c>
      <c r="C90" s="60">
        <v>3</v>
      </c>
      <c r="D90" s="60">
        <v>28</v>
      </c>
      <c r="E90" s="87">
        <v>0</v>
      </c>
      <c r="F90" s="87"/>
      <c r="G90" s="87"/>
      <c r="H90" s="87">
        <v>1</v>
      </c>
      <c r="I90" s="53">
        <f t="shared" si="3"/>
        <v>3.6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35</v>
      </c>
      <c r="B91" s="60">
        <v>147</v>
      </c>
      <c r="C91" s="60">
        <v>4</v>
      </c>
      <c r="D91" s="60">
        <v>28</v>
      </c>
      <c r="E91" s="87">
        <v>0</v>
      </c>
      <c r="F91" s="87"/>
      <c r="G91" s="87"/>
      <c r="H91" s="87">
        <v>1</v>
      </c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40</v>
      </c>
      <c r="B92" s="60">
        <v>175</v>
      </c>
      <c r="C92" s="60">
        <v>5</v>
      </c>
      <c r="D92" s="60">
        <v>28</v>
      </c>
      <c r="E92" s="87">
        <v>0.2</v>
      </c>
      <c r="F92" s="87"/>
      <c r="G92" s="87"/>
      <c r="H92" s="87">
        <v>0.8</v>
      </c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45</v>
      </c>
      <c r="B93" s="60">
        <v>204</v>
      </c>
      <c r="C93" s="60">
        <v>6</v>
      </c>
      <c r="D93" s="60">
        <v>28</v>
      </c>
      <c r="E93" s="87">
        <v>0.2</v>
      </c>
      <c r="F93" s="87"/>
      <c r="G93" s="87"/>
      <c r="H93" s="87">
        <v>0.8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50</v>
      </c>
      <c r="B94" s="60">
        <v>231</v>
      </c>
      <c r="C94" s="60">
        <v>7</v>
      </c>
      <c r="D94" s="60">
        <v>28</v>
      </c>
      <c r="E94" s="87">
        <v>0.3</v>
      </c>
      <c r="F94" s="87"/>
      <c r="G94" s="87"/>
      <c r="H94" s="87">
        <v>0.7</v>
      </c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55</v>
      </c>
      <c r="B95" s="60">
        <v>254</v>
      </c>
      <c r="C95" s="60">
        <v>8</v>
      </c>
      <c r="D95" s="60">
        <v>28</v>
      </c>
      <c r="E95" s="87">
        <v>0.3</v>
      </c>
      <c r="F95" s="87"/>
      <c r="G95" s="87"/>
      <c r="H95" s="87">
        <v>0.7</v>
      </c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60</v>
      </c>
      <c r="B96" s="60">
        <v>273</v>
      </c>
      <c r="C96" s="60">
        <v>9</v>
      </c>
      <c r="D96" s="60">
        <v>28</v>
      </c>
      <c r="E96" s="87">
        <v>0.4</v>
      </c>
      <c r="F96" s="87"/>
      <c r="G96" s="87"/>
      <c r="H96" s="87">
        <v>0.6</v>
      </c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65</v>
      </c>
      <c r="B97" s="60">
        <v>289</v>
      </c>
      <c r="C97" s="60">
        <v>10</v>
      </c>
      <c r="D97" s="60">
        <v>28</v>
      </c>
      <c r="E97" s="87">
        <v>0.4</v>
      </c>
      <c r="F97" s="87"/>
      <c r="G97" s="87"/>
      <c r="H97" s="87">
        <v>0.6</v>
      </c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70</v>
      </c>
      <c r="B98" s="60">
        <v>302</v>
      </c>
      <c r="C98" s="60">
        <v>11</v>
      </c>
      <c r="D98" s="60">
        <v>28</v>
      </c>
      <c r="E98" s="87">
        <v>0.5</v>
      </c>
      <c r="F98" s="87"/>
      <c r="G98" s="87"/>
      <c r="H98" s="87">
        <v>0.5</v>
      </c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75</v>
      </c>
      <c r="B99" s="60">
        <v>312</v>
      </c>
      <c r="C99" s="60">
        <v>12</v>
      </c>
      <c r="D99" s="60">
        <v>28</v>
      </c>
      <c r="E99" s="87">
        <v>0.5</v>
      </c>
      <c r="F99" s="87"/>
      <c r="G99" s="87"/>
      <c r="H99" s="87">
        <v>0.5</v>
      </c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80</v>
      </c>
      <c r="B100" s="60">
        <v>320</v>
      </c>
      <c r="C100" s="60">
        <v>13</v>
      </c>
      <c r="D100" s="60">
        <v>28</v>
      </c>
      <c r="E100" s="65">
        <v>0.6</v>
      </c>
      <c r="F100" s="65"/>
      <c r="G100" s="65"/>
      <c r="H100" s="65">
        <v>0.4</v>
      </c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>
        <v>90</v>
      </c>
      <c r="B101" s="60">
        <v>358</v>
      </c>
      <c r="C101" s="60">
        <v>15</v>
      </c>
      <c r="D101" s="60">
        <v>56</v>
      </c>
      <c r="E101" s="65">
        <v>0.7</v>
      </c>
      <c r="F101" s="65"/>
      <c r="G101" s="65"/>
      <c r="H101" s="65">
        <v>0.3</v>
      </c>
      <c r="I101" s="53">
        <f t="shared" si="3"/>
        <v>6.6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>
        <v>100</v>
      </c>
      <c r="B102" s="50">
        <v>362</v>
      </c>
      <c r="C102" s="60">
        <v>17</v>
      </c>
      <c r="D102" s="50">
        <v>56</v>
      </c>
      <c r="E102" s="54">
        <v>0.8</v>
      </c>
      <c r="F102" s="54"/>
      <c r="G102" s="54"/>
      <c r="H102" s="54">
        <v>0.2</v>
      </c>
      <c r="I102" s="53">
        <f t="shared" si="3"/>
        <v>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>
        <v>110</v>
      </c>
      <c r="B103" s="50">
        <v>358</v>
      </c>
      <c r="C103" s="60">
        <v>19</v>
      </c>
      <c r="D103" s="50">
        <v>51</v>
      </c>
      <c r="E103" s="54">
        <v>0.8</v>
      </c>
      <c r="F103" s="54"/>
      <c r="G103" s="54"/>
      <c r="H103" s="54">
        <v>0.2</v>
      </c>
      <c r="I103" s="53">
        <f t="shared" si="3"/>
        <v>5.2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>
        <v>120</v>
      </c>
      <c r="B104" s="50">
        <v>352</v>
      </c>
      <c r="C104" s="60">
        <v>21</v>
      </c>
      <c r="D104" s="50">
        <v>352</v>
      </c>
      <c r="E104" s="54">
        <v>0.9</v>
      </c>
      <c r="F104" s="54"/>
      <c r="G104" s="54"/>
      <c r="H104" s="54">
        <v>0.1</v>
      </c>
      <c r="I104" s="53">
        <f t="shared" si="3"/>
        <v>4.5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Charme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25</v>
      </c>
      <c r="B114" s="60">
        <v>30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30</v>
      </c>
      <c r="B115" s="60">
        <v>54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35</v>
      </c>
      <c r="B116" s="60">
        <v>79</v>
      </c>
      <c r="C116" s="50">
        <v>3</v>
      </c>
      <c r="D116" s="60">
        <v>13</v>
      </c>
      <c r="E116" s="51">
        <v>0</v>
      </c>
      <c r="F116" s="51"/>
      <c r="G116" s="51"/>
      <c r="H116" s="51">
        <v>1</v>
      </c>
      <c r="I116" s="53">
        <f t="shared" si="4"/>
        <v>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40</v>
      </c>
      <c r="B117" s="60">
        <v>93</v>
      </c>
      <c r="C117" s="50">
        <v>4</v>
      </c>
      <c r="D117" s="60">
        <v>14</v>
      </c>
      <c r="E117" s="51">
        <v>0.2</v>
      </c>
      <c r="F117" s="51"/>
      <c r="G117" s="51"/>
      <c r="H117" s="51">
        <v>0.8</v>
      </c>
      <c r="I117" s="53">
        <f t="shared" si="4"/>
        <v>5.4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45</v>
      </c>
      <c r="B118" s="60">
        <v>107</v>
      </c>
      <c r="C118" s="50">
        <v>5</v>
      </c>
      <c r="D118" s="60">
        <v>14</v>
      </c>
      <c r="E118" s="51">
        <v>0.2</v>
      </c>
      <c r="F118" s="51"/>
      <c r="G118" s="51"/>
      <c r="H118" s="51">
        <v>0.8</v>
      </c>
      <c r="I118" s="53">
        <f t="shared" si="4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50</v>
      </c>
      <c r="B119" s="60">
        <v>121</v>
      </c>
      <c r="C119" s="50">
        <v>6</v>
      </c>
      <c r="D119" s="60">
        <v>14</v>
      </c>
      <c r="E119" s="51">
        <v>0.2</v>
      </c>
      <c r="F119" s="51"/>
      <c r="G119" s="51"/>
      <c r="H119" s="51">
        <v>0.8</v>
      </c>
      <c r="I119" s="53">
        <f t="shared" si="4"/>
        <v>5.6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55</v>
      </c>
      <c r="B120" s="60">
        <v>135</v>
      </c>
      <c r="C120" s="60">
        <v>7</v>
      </c>
      <c r="D120" s="60">
        <v>14</v>
      </c>
      <c r="E120" s="87">
        <v>0.3</v>
      </c>
      <c r="F120" s="87"/>
      <c r="G120" s="87"/>
      <c r="H120" s="87">
        <v>0.7</v>
      </c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60</v>
      </c>
      <c r="B121" s="60">
        <v>148</v>
      </c>
      <c r="C121" s="60">
        <v>8</v>
      </c>
      <c r="D121" s="60">
        <v>14</v>
      </c>
      <c r="E121" s="87">
        <v>0.3</v>
      </c>
      <c r="F121" s="87"/>
      <c r="G121" s="87"/>
      <c r="H121" s="87">
        <v>0.7</v>
      </c>
      <c r="I121" s="53">
        <f t="shared" si="4"/>
        <v>5.4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65</v>
      </c>
      <c r="B122" s="60">
        <v>161</v>
      </c>
      <c r="C122" s="60">
        <v>9</v>
      </c>
      <c r="D122" s="60">
        <v>14</v>
      </c>
      <c r="E122" s="87">
        <v>0.4</v>
      </c>
      <c r="F122" s="87"/>
      <c r="G122" s="87"/>
      <c r="H122" s="87">
        <v>0.6</v>
      </c>
      <c r="I122" s="53">
        <f t="shared" si="4"/>
        <v>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70</v>
      </c>
      <c r="B123" s="60">
        <v>172</v>
      </c>
      <c r="C123" s="60">
        <v>10</v>
      </c>
      <c r="D123" s="60">
        <v>14</v>
      </c>
      <c r="E123" s="87">
        <v>0.4</v>
      </c>
      <c r="F123" s="87"/>
      <c r="G123" s="87"/>
      <c r="H123" s="87">
        <v>0.6</v>
      </c>
      <c r="I123" s="53">
        <f t="shared" si="4"/>
        <v>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75</v>
      </c>
      <c r="B124" s="60">
        <v>183</v>
      </c>
      <c r="C124" s="60">
        <v>11</v>
      </c>
      <c r="D124" s="60">
        <v>14</v>
      </c>
      <c r="E124" s="87">
        <v>0.5</v>
      </c>
      <c r="F124" s="87"/>
      <c r="G124" s="87"/>
      <c r="H124" s="87">
        <v>0.5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80</v>
      </c>
      <c r="B125" s="60">
        <v>192</v>
      </c>
      <c r="C125" s="60">
        <v>12</v>
      </c>
      <c r="D125" s="60">
        <v>14</v>
      </c>
      <c r="E125" s="87">
        <v>0.5</v>
      </c>
      <c r="F125" s="87"/>
      <c r="G125" s="87"/>
      <c r="H125" s="87">
        <v>0.5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85</v>
      </c>
      <c r="B126" s="60">
        <v>200</v>
      </c>
      <c r="C126" s="60">
        <v>13</v>
      </c>
      <c r="D126" s="60">
        <v>14</v>
      </c>
      <c r="E126" s="65">
        <v>0.6</v>
      </c>
      <c r="F126" s="65"/>
      <c r="G126" s="65"/>
      <c r="H126" s="65">
        <v>0.4</v>
      </c>
      <c r="I126" s="53">
        <f t="shared" si="4"/>
        <v>4.4000000000000004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90</v>
      </c>
      <c r="B127" s="60">
        <v>207</v>
      </c>
      <c r="C127" s="60">
        <v>14</v>
      </c>
      <c r="D127" s="60">
        <v>207</v>
      </c>
      <c r="E127" s="65">
        <v>0.6</v>
      </c>
      <c r="F127" s="65"/>
      <c r="G127" s="65"/>
      <c r="H127" s="65">
        <v>0.4</v>
      </c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9" sqref="F2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Cèdre de l'Atlas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pubescent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sessile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Charme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167.82976403567059</v>
      </c>
      <c r="T3" s="59">
        <f>IF('Données projet'!E9&gt;30,$R$33-$H$33,LOOKUP('Données projet'!$E$9,$A$3:$A$203,R3:R203)-LOOKUP('Données projet'!$E$9,$A$3:$A$203,$H$3:$H$203))</f>
        <v>232.70925470547317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542.51810435067659</v>
      </c>
      <c r="AO3" s="59">
        <f>IF('Données projet'!E10&gt;30,$AM$33-$H$33,LOOKUP('Données projet'!$E$10,$A$3:$A$203,AM3:AM203)-LOOKUP('Données projet'!$E$10,$A$3:$A$203,$H$3:$H$203))</f>
        <v>325.7263575945085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492.39485179035256</v>
      </c>
      <c r="BJ3" s="59">
        <f>IF('Données projet'!E11&gt;30,$BH$33-$H$33,LOOKUP('Données projet'!$E$11,$A$3:$A$203,BH3:BH203)-LOOKUP('Données projet'!$E$11,$A$3:$A$203,$H$3:$H$203))</f>
        <v>297.32483725004124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260.51631161522039</v>
      </c>
      <c r="CE3" s="59">
        <f>IF('Données projet'!E12&gt;30,$CC$33-$H$33,LOOKUP('Données projet'!$E$12,$A$3:$A$203,CC3:CC203)-LOOKUP('Données projet'!$E$12,$A$3:$A$203,$H$3:$H$203))</f>
        <v>171.3469666102674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5.666666666666667</v>
      </c>
      <c r="N4" s="13">
        <f>IF('Données projet'!$A$36&gt;35,N3+M4-V3,IF(A4&lt;'Données projet'!$A$36,$K$205^A4,IF(A4='Données projet'!$A$36,'Données projet'!$B$36,N3+M4-V3)))</f>
        <v>1.1867200975826817</v>
      </c>
      <c r="O4" s="13">
        <f>N4*VLOOKUP('Données projet'!$B$9,Paramètres!$A$1:$I$89,3,0)*VLOOKUP('Données projet'!$B$9,Paramètres!$A$1:$I$89,5,0)</f>
        <v>0.55538500566869509</v>
      </c>
      <c r="P4" s="13">
        <f>EXP(-1.0587+0.8836*LN(O4)+0.284)</f>
        <v>0.27407880760927583</v>
      </c>
      <c r="Q4" s="20">
        <f t="shared" ref="Q4:Q34" si="2">(O4+P4)*0.475*44/12</f>
        <v>1.4446494747924661</v>
      </c>
      <c r="R4" s="59">
        <f t="shared" si="0"/>
        <v>169.25708342771631</v>
      </c>
      <c r="S4" s="59">
        <f ca="1">AVERAGE(OFFSET($R$3,0,0,'Données projet'!$E$9+1,1))-AVERAGE(OFFSET($H$3,0,0,'Données projet'!$E$9+1,1))</f>
        <v>167.82976403567059</v>
      </c>
      <c r="T4" s="59">
        <f>$T$3</f>
        <v>232.70925470547317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170.98318878757803</v>
      </c>
      <c r="AN4" s="59">
        <f ca="1">AVERAGE(OFFSET($AM$3,0,0,'Données projet'!$E$10+1,1))-AVERAGE(OFFSET($H$3,0,0,'Données projet'!$E$10+1,1))</f>
        <v>542.51810435067659</v>
      </c>
      <c r="AO4" s="59">
        <f>$AO$3</f>
        <v>325.7263575945085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170.65342372509684</v>
      </c>
      <c r="BI4" s="59">
        <f ca="1">AVERAGE(OFFSET($BH$3,0,0,'Données projet'!$E$11+1,1))-AVERAGE(OFFSET($H$3,0,0,'Données projet'!$E$11+1,1))</f>
        <v>492.39485179035256</v>
      </c>
      <c r="BJ4" s="59">
        <f>$BJ$3</f>
        <v>297.32483725004124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1.0902831080943671</v>
      </c>
      <c r="CA4" s="13">
        <f>EXP(-1.0587+0.8836*LN(BZ4)+0.284)</f>
        <v>0.49741831937112058</v>
      </c>
      <c r="CB4" s="20">
        <f t="shared" ref="CB4:CB67" si="10">(BZ4+CA4)*0.475*44/12</f>
        <v>2.7652466528357245</v>
      </c>
      <c r="CC4" s="59">
        <f t="shared" ref="CC4:CC67" si="11">CB4+(BT4+BU4)*44/12</f>
        <v>170.57768060575955</v>
      </c>
      <c r="CD4" s="59">
        <f ca="1">AVERAGE(OFFSET($CC$3,0,0,'Données projet'!$E$12+1,1))-AVERAGE(OFFSET($H$3,0,0,'Données projet'!$E$12+1,1))</f>
        <v>260.51631161522039</v>
      </c>
      <c r="CE4" s="59">
        <f>$CE$3</f>
        <v>171.3469666102674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5.666666666666667</v>
      </c>
      <c r="N5" s="13">
        <f>IF('Données projet'!$A$36&gt;35,N4+M5-V4,IF(A5&lt;'Données projet'!$A$36,$K$205^A5,IF(A5='Données projet'!$A$36,'Données projet'!$B$36,N4+M5-V4)))</f>
        <v>1.4083045900066495</v>
      </c>
      <c r="O5" s="13">
        <f>N5*VLOOKUP('Données projet'!$B$9,Paramètres!$A$1:$I$89,3,0)*VLOOKUP('Données projet'!$B$9,Paramètres!$A$1:$I$89,5,0)</f>
        <v>0.65908654812311196</v>
      </c>
      <c r="P5" s="13">
        <f t="shared" ref="P5:P68" si="33">EXP(-1.0587+0.8836*LN(O5)+0.284)</f>
        <v>0.31883765901680755</v>
      </c>
      <c r="Q5" s="20">
        <f t="shared" si="2"/>
        <v>1.7032179941020262</v>
      </c>
      <c r="R5" s="59">
        <f t="shared" si="0"/>
        <v>172.30049928160287</v>
      </c>
      <c r="S5" s="59">
        <f ca="1">AVERAGE(OFFSET($R$3,0,0,'Données projet'!$E$9+1,1))-AVERAGE(OFFSET($H$3,0,0,'Données projet'!$E$9+1,1))</f>
        <v>167.82976403567059</v>
      </c>
      <c r="T5" s="59">
        <f t="shared" ref="T5:T68" si="34">$T$3</f>
        <v>232.70925470547317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174.49668829443442</v>
      </c>
      <c r="AN5" s="59">
        <f ca="1">AVERAGE(OFFSET($AM$3,0,0,'Données projet'!$E$10+1,1))-AVERAGE(OFFSET($H$3,0,0,'Données projet'!$E$10+1,1))</f>
        <v>542.51810435067659</v>
      </c>
      <c r="AO5" s="59">
        <f t="shared" ref="AO5:AO68" si="36">$AO$3</f>
        <v>325.7263575945085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174.0908950642665</v>
      </c>
      <c r="BI5" s="59">
        <f ca="1">AVERAGE(OFFSET($BH$3,0,0,'Données projet'!$E$11+1,1))-AVERAGE(OFFSET($H$3,0,0,'Données projet'!$E$11+1,1))</f>
        <v>492.39485179035256</v>
      </c>
      <c r="BJ5" s="59">
        <f t="shared" ref="BJ5:BJ68" si="38">$BJ$3</f>
        <v>297.32483725004124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1.2491774440898626</v>
      </c>
      <c r="CA5" s="13">
        <f t="shared" ref="CA5:CA68" si="39">EXP(-1.0587+0.8836*LN(BZ5)+0.284)</f>
        <v>0.56095645444965547</v>
      </c>
      <c r="CB5" s="20">
        <f t="shared" si="10"/>
        <v>3.1526498732896608</v>
      </c>
      <c r="CC5" s="59">
        <f t="shared" si="11"/>
        <v>173.74993116079048</v>
      </c>
      <c r="CD5" s="59">
        <f ca="1">AVERAGE(OFFSET($CC$3,0,0,'Données projet'!$E$12+1,1))-AVERAGE(OFFSET($H$3,0,0,'Données projet'!$E$12+1,1))</f>
        <v>260.51631161522039</v>
      </c>
      <c r="CE5" s="59">
        <f t="shared" ref="CE5:CE68" si="40">$CE$3</f>
        <v>171.3469666102674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5.666666666666667</v>
      </c>
      <c r="N6" s="13">
        <f>IF('Données projet'!$A$36&gt;35,N5+M6-V5,IF(A6&lt;'Données projet'!$A$36,$K$205^A6,IF(A6='Données projet'!$A$36,'Données projet'!$B$36,N5+M6-V5)))</f>
        <v>1.6712633604788296</v>
      </c>
      <c r="O6" s="13">
        <f>N6*VLOOKUP('Données projet'!$B$9,Paramètres!$A$1:$I$89,3,0)*VLOOKUP('Données projet'!$B$9,Paramètres!$A$1:$I$89,5,0)</f>
        <v>0.78215125270409225</v>
      </c>
      <c r="P6" s="13">
        <f t="shared" si="33"/>
        <v>0.37090592189177923</v>
      </c>
      <c r="Q6" s="20">
        <f t="shared" si="2"/>
        <v>2.0082412457544763</v>
      </c>
      <c r="R6" s="59">
        <f t="shared" si="0"/>
        <v>175.36326181563936</v>
      </c>
      <c r="S6" s="59">
        <f ca="1">AVERAGE(OFFSET($R$3,0,0,'Données projet'!$E$9+1,1))-AVERAGE(OFFSET($H$3,0,0,'Données projet'!$E$9+1,1))</f>
        <v>167.82976403567059</v>
      </c>
      <c r="T6" s="59">
        <f t="shared" si="34"/>
        <v>232.70925470547317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178.15116014419888</v>
      </c>
      <c r="AN6" s="59">
        <f ca="1">AVERAGE(OFFSET($AM$3,0,0,'Données projet'!$E$10+1,1))-AVERAGE(OFFSET($H$3,0,0,'Données projet'!$E$10+1,1))</f>
        <v>542.51810435067659</v>
      </c>
      <c r="AO6" s="59">
        <f t="shared" si="36"/>
        <v>325.7263575945085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177.65174746089073</v>
      </c>
      <c r="BI6" s="59">
        <f ca="1">AVERAGE(OFFSET($BH$3,0,0,'Données projet'!$E$11+1,1))-AVERAGE(OFFSET($H$3,0,0,'Données projet'!$E$11+1,1))</f>
        <v>492.39485179035256</v>
      </c>
      <c r="BJ6" s="59">
        <f t="shared" si="38"/>
        <v>297.32483725004124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1.4312285270110057</v>
      </c>
      <c r="CA6" s="13">
        <f t="shared" si="39"/>
        <v>0.63261068508004337</v>
      </c>
      <c r="CB6" s="20">
        <f t="shared" si="10"/>
        <v>3.5945199610585767</v>
      </c>
      <c r="CC6" s="59">
        <f t="shared" si="11"/>
        <v>176.94954053094347</v>
      </c>
      <c r="CD6" s="59">
        <f ca="1">AVERAGE(OFFSET($CC$3,0,0,'Données projet'!$E$12+1,1))-AVERAGE(OFFSET($H$3,0,0,'Données projet'!$E$12+1,1))</f>
        <v>260.51631161522039</v>
      </c>
      <c r="CE6" s="59">
        <f t="shared" si="40"/>
        <v>171.3469666102674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5.666666666666667</v>
      </c>
      <c r="N7" s="13">
        <f>IF('Données projet'!$A$36&gt;35,N6+M7-V6,IF(A7&lt;'Données projet'!$A$36,$K$205^A7,IF(A7='Données projet'!$A$36,'Données projet'!$B$36,N6+M7-V6)))</f>
        <v>1.9833218182337973</v>
      </c>
      <c r="O7" s="13">
        <f>N7*VLOOKUP('Données projet'!$B$9,Paramètres!$A$1:$I$89,3,0)*VLOOKUP('Données projet'!$B$9,Paramètres!$A$1:$I$89,5,0)</f>
        <v>0.92819461093341715</v>
      </c>
      <c r="P7" s="13">
        <f t="shared" si="33"/>
        <v>0.43147727065433811</v>
      </c>
      <c r="Q7" s="20">
        <f t="shared" si="2"/>
        <v>2.3680951937653405</v>
      </c>
      <c r="R7" s="59">
        <f t="shared" si="0"/>
        <v>178.45421725794228</v>
      </c>
      <c r="S7" s="59">
        <f ca="1">AVERAGE(OFFSET($R$3,0,0,'Données projet'!$E$9+1,1))-AVERAGE(OFFSET($H$3,0,0,'Données projet'!$E$9+1,1))</f>
        <v>167.82976403567059</v>
      </c>
      <c r="T7" s="59">
        <f t="shared" si="34"/>
        <v>232.70925470547317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181.98598381214859</v>
      </c>
      <c r="AN7" s="59">
        <f ca="1">AVERAGE(OFFSET($AM$3,0,0,'Données projet'!$E$10+1,1))-AVERAGE(OFFSET($H$3,0,0,'Données projet'!$E$10+1,1))</f>
        <v>542.51810435067659</v>
      </c>
      <c r="AO7" s="59">
        <f t="shared" si="36"/>
        <v>325.7263575945085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181.37127654212841</v>
      </c>
      <c r="BI7" s="59">
        <f ca="1">AVERAGE(OFFSET($BH$3,0,0,'Données projet'!$E$11+1,1))-AVERAGE(OFFSET($H$3,0,0,'Données projet'!$E$11+1,1))</f>
        <v>492.39485179035256</v>
      </c>
      <c r="BJ7" s="59">
        <f t="shared" si="38"/>
        <v>297.32483725004124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1.6398111463039953</v>
      </c>
      <c r="CA7" s="13">
        <f t="shared" si="39"/>
        <v>0.71341772735294995</v>
      </c>
      <c r="CB7" s="20">
        <f t="shared" si="10"/>
        <v>4.0985402882858457</v>
      </c>
      <c r="CC7" s="59">
        <f t="shared" si="11"/>
        <v>180.18466235246279</v>
      </c>
      <c r="CD7" s="59">
        <f ca="1">AVERAGE(OFFSET($CC$3,0,0,'Données projet'!$E$12+1,1))-AVERAGE(OFFSET($H$3,0,0,'Données projet'!$E$12+1,1))</f>
        <v>260.51631161522039</v>
      </c>
      <c r="CE7" s="59">
        <f t="shared" si="40"/>
        <v>171.3469666102674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5.666666666666667</v>
      </c>
      <c r="N8" s="13">
        <f>IF('Données projet'!$A$36&gt;35,N7+M8-V7,IF(A8&lt;'Données projet'!$A$36,$K$205^A8,IF(A8='Données projet'!$A$36,'Données projet'!$B$36,N7+M8-V7)))</f>
        <v>2.3536478616722736</v>
      </c>
      <c r="O8" s="13">
        <f>N8*VLOOKUP('Données projet'!$B$9,Paramètres!$A$1:$I$89,3,0)*VLOOKUP('Données projet'!$B$9,Paramètres!$A$1:$I$89,5,0)</f>
        <v>1.101507199262624</v>
      </c>
      <c r="P8" s="13">
        <f t="shared" si="33"/>
        <v>0.50194031451899346</v>
      </c>
      <c r="Q8" s="20">
        <f t="shared" si="2"/>
        <v>2.7926710865029833</v>
      </c>
      <c r="R8" s="59">
        <f t="shared" si="0"/>
        <v>181.58371896295034</v>
      </c>
      <c r="S8" s="59">
        <f ca="1">AVERAGE(OFFSET($R$3,0,0,'Données projet'!$E$9+1,1))-AVERAGE(OFFSET($H$3,0,0,'Données projet'!$E$9+1,1))</f>
        <v>167.82976403567059</v>
      </c>
      <c r="T8" s="59">
        <f t="shared" si="34"/>
        <v>232.70925470547317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186.04956756228989</v>
      </c>
      <c r="AN8" s="59">
        <f ca="1">AVERAGE(OFFSET($AM$3,0,0,'Données projet'!$E$10+1,1))-AVERAGE(OFFSET($H$3,0,0,'Données projet'!$E$10+1,1))</f>
        <v>542.51810435067659</v>
      </c>
      <c r="AO8" s="59">
        <f t="shared" si="36"/>
        <v>325.7263575945085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185.29285571551281</v>
      </c>
      <c r="BI8" s="59">
        <f ca="1">AVERAGE(OFFSET($BH$3,0,0,'Données projet'!$E$11+1,1))-AVERAGE(OFFSET($H$3,0,0,'Données projet'!$E$11+1,1))</f>
        <v>492.39485179035256</v>
      </c>
      <c r="BJ8" s="59">
        <f t="shared" si="38"/>
        <v>297.32483725004124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1.878791922320415</v>
      </c>
      <c r="CA8" s="13">
        <f t="shared" si="39"/>
        <v>0.8045467231351765</v>
      </c>
      <c r="CB8" s="20">
        <f t="shared" si="10"/>
        <v>4.6734814741684882</v>
      </c>
      <c r="CC8" s="59">
        <f t="shared" si="11"/>
        <v>183.46452935061583</v>
      </c>
      <c r="CD8" s="59">
        <f ca="1">AVERAGE(OFFSET($CC$3,0,0,'Données projet'!$E$12+1,1))-AVERAGE(OFFSET($H$3,0,0,'Données projet'!$E$12+1,1))</f>
        <v>260.51631161522039</v>
      </c>
      <c r="CE8" s="59">
        <f t="shared" si="40"/>
        <v>171.3469666102674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5.666666666666667</v>
      </c>
      <c r="N9" s="13">
        <f>IF('Données projet'!$A$36&gt;35,N8+M9-V8,IF(A9&lt;'Données projet'!$A$36,$K$205^A9,IF(A9='Données projet'!$A$36,'Données projet'!$B$36,N8+M9-V8)))</f>
        <v>2.7931212200789908</v>
      </c>
      <c r="O9" s="13">
        <f>N9*VLOOKUP('Données projet'!$B$9,Paramètres!$A$1:$I$89,3,0)*VLOOKUP('Données projet'!$B$9,Paramètres!$A$1:$I$89,5,0)</f>
        <v>1.3071807309969676</v>
      </c>
      <c r="P9" s="13">
        <f t="shared" si="33"/>
        <v>0.58391043161404843</v>
      </c>
      <c r="Q9" s="20">
        <f t="shared" si="2"/>
        <v>3.2936504415475194</v>
      </c>
      <c r="R9" s="59">
        <f t="shared" si="0"/>
        <v>184.7639025378065</v>
      </c>
      <c r="S9" s="59">
        <f ca="1">AVERAGE(OFFSET($R$3,0,0,'Données projet'!$E$9+1,1))-AVERAGE(OFFSET($H$3,0,0,'Données projet'!$E$9+1,1))</f>
        <v>167.82976403567059</v>
      </c>
      <c r="T9" s="59">
        <f t="shared" si="34"/>
        <v>232.70925470547317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190.40145391140874</v>
      </c>
      <c r="AN9" s="59">
        <f ca="1">AVERAGE(OFFSET($AM$3,0,0,'Données projet'!$E$10+1,1))-AVERAGE(OFFSET($H$3,0,0,'Données projet'!$E$10+1,1))</f>
        <v>542.51810435067659</v>
      </c>
      <c r="AO9" s="59">
        <f t="shared" si="36"/>
        <v>325.7263575945085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189.46981953956174</v>
      </c>
      <c r="BI9" s="59">
        <f ca="1">AVERAGE(OFFSET($BH$3,0,0,'Données projet'!$E$11+1,1))-AVERAGE(OFFSET($H$3,0,0,'Données projet'!$E$11+1,1))</f>
        <v>492.39485179035256</v>
      </c>
      <c r="BJ9" s="59">
        <f t="shared" si="38"/>
        <v>297.32483725004124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2.1526009841636116</v>
      </c>
      <c r="CA9" s="13">
        <f t="shared" si="39"/>
        <v>0.90731615558427703</v>
      </c>
      <c r="CB9" s="20">
        <f t="shared" si="10"/>
        <v>5.3293556850609054</v>
      </c>
      <c r="CC9" s="59">
        <f t="shared" si="11"/>
        <v>186.79960778131988</v>
      </c>
      <c r="CD9" s="59">
        <f ca="1">AVERAGE(OFFSET($CC$3,0,0,'Données projet'!$E$12+1,1))-AVERAGE(OFFSET($H$3,0,0,'Données projet'!$E$12+1,1))</f>
        <v>260.51631161522039</v>
      </c>
      <c r="CE9" s="59">
        <f t="shared" si="40"/>
        <v>171.3469666102674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5.666666666666667</v>
      </c>
      <c r="N10" s="13">
        <f>IF('Données projet'!$A$36&gt;35,N9+M10-V9,IF(A10&lt;'Données projet'!$A$36,$K$205^A10,IF(A10='Données projet'!$A$36,'Données projet'!$B$36,N9+M10-V9)))</f>
        <v>3.3146530868523985</v>
      </c>
      <c r="O10" s="13">
        <f>N10*VLOOKUP('Données projet'!$B$9,Paramètres!$A$1:$I$89,3,0)*VLOOKUP('Données projet'!$B$9,Paramètres!$A$1:$I$89,5,0)</f>
        <v>1.5512576446469224</v>
      </c>
      <c r="P10" s="13">
        <f t="shared" si="33"/>
        <v>0.67926680181972632</v>
      </c>
      <c r="Q10" s="20">
        <f t="shared" si="2"/>
        <v>3.8848300775960793</v>
      </c>
      <c r="R10" s="59">
        <f t="shared" si="0"/>
        <v>188.00901101333233</v>
      </c>
      <c r="S10" s="59">
        <f ca="1">AVERAGE(OFFSET($R$3,0,0,'Données projet'!$E$9+1,1))-AVERAGE(OFFSET($H$3,0,0,'Données projet'!$E$9+1,1))</f>
        <v>167.82976403567059</v>
      </c>
      <c r="T10" s="59">
        <f t="shared" si="34"/>
        <v>232.70925470547317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195.11491694583884</v>
      </c>
      <c r="AN10" s="59">
        <f ca="1">AVERAGE(OFFSET($AM$3,0,0,'Données projet'!$E$10+1,1))-AVERAGE(OFFSET($H$3,0,0,'Données projet'!$E$10+1,1))</f>
        <v>542.51810435067659</v>
      </c>
      <c r="AO10" s="59">
        <f t="shared" si="36"/>
        <v>325.7263575945085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193.96778694515905</v>
      </c>
      <c r="BI10" s="59">
        <f ca="1">AVERAGE(OFFSET($BH$3,0,0,'Données projet'!$E$11+1,1))-AVERAGE(OFFSET($H$3,0,0,'Données projet'!$E$11+1,1))</f>
        <v>492.39485179035256</v>
      </c>
      <c r="BJ10" s="59">
        <f t="shared" si="38"/>
        <v>297.32483725004124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2.4663140936327195</v>
      </c>
      <c r="CA10" s="13">
        <f t="shared" si="39"/>
        <v>1.0232129253802424</v>
      </c>
      <c r="CB10" s="20">
        <f t="shared" si="10"/>
        <v>6.0775928914475736</v>
      </c>
      <c r="CC10" s="59">
        <f t="shared" si="11"/>
        <v>190.20177382718381</v>
      </c>
      <c r="CD10" s="59">
        <f ca="1">AVERAGE(OFFSET($CC$3,0,0,'Données projet'!$E$12+1,1))-AVERAGE(OFFSET($H$3,0,0,'Données projet'!$E$12+1,1))</f>
        <v>260.51631161522039</v>
      </c>
      <c r="CE10" s="59">
        <f t="shared" si="40"/>
        <v>171.3469666102674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5.666666666666667</v>
      </c>
      <c r="N11" s="13">
        <f>IF('Données projet'!$A$36&gt;35,N10+M11-V10,IF(A11&lt;'Données projet'!$A$36,$K$205^A11,IF(A11='Données projet'!$A$36,'Données projet'!$B$36,N10+M11-V10)))</f>
        <v>3.9335654346822158</v>
      </c>
      <c r="O11" s="13">
        <f>N11*VLOOKUP('Données projet'!$B$9,Paramètres!$A$1:$I$89,3,0)*VLOOKUP('Données projet'!$B$9,Paramètres!$A$1:$I$89,5,0)</f>
        <v>1.8409086234312768</v>
      </c>
      <c r="P11" s="13">
        <f t="shared" si="33"/>
        <v>0.79019548730956168</v>
      </c>
      <c r="Q11" s="20">
        <f t="shared" si="2"/>
        <v>4.5825063262069596</v>
      </c>
      <c r="R11" s="59">
        <f t="shared" si="0"/>
        <v>191.33577919242751</v>
      </c>
      <c r="S11" s="59">
        <f ca="1">AVERAGE(OFFSET($R$3,0,0,'Données projet'!$E$9+1,1))-AVERAGE(OFFSET($H$3,0,0,'Données projet'!$E$9+1,1))</f>
        <v>167.82976403567059</v>
      </c>
      <c r="T11" s="59">
        <f t="shared" si="34"/>
        <v>232.70925470547317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200.28016669663185</v>
      </c>
      <c r="AN11" s="59">
        <f ca="1">AVERAGE(OFFSET($AM$3,0,0,'Données projet'!$E$10+1,1))-AVERAGE(OFFSET($H$3,0,0,'Données projet'!$E$10+1,1))</f>
        <v>542.51810435067659</v>
      </c>
      <c r="AO11" s="59">
        <f t="shared" si="36"/>
        <v>325.7263575945085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198.86752730846644</v>
      </c>
      <c r="BI11" s="59">
        <f ca="1">AVERAGE(OFFSET($BH$3,0,0,'Données projet'!$E$11+1,1))-AVERAGE(OFFSET($H$3,0,0,'Données projet'!$E$11+1,1))</f>
        <v>492.39485179035256</v>
      </c>
      <c r="BJ11" s="59">
        <f t="shared" si="38"/>
        <v>297.32483725004124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2.8257467376448333</v>
      </c>
      <c r="CA11" s="13">
        <f t="shared" si="39"/>
        <v>1.1539138636752129</v>
      </c>
      <c r="CB11" s="20">
        <f t="shared" si="10"/>
        <v>6.9312422139657466</v>
      </c>
      <c r="CC11" s="59">
        <f t="shared" si="11"/>
        <v>193.68451508018632</v>
      </c>
      <c r="CD11" s="59">
        <f ca="1">AVERAGE(OFFSET($CC$3,0,0,'Données projet'!$E$12+1,1))-AVERAGE(OFFSET($H$3,0,0,'Données projet'!$E$12+1,1))</f>
        <v>260.51631161522039</v>
      </c>
      <c r="CE11" s="59">
        <f t="shared" si="40"/>
        <v>171.3469666102674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5.666666666666667</v>
      </c>
      <c r="N12" s="13">
        <f>IF('Données projet'!$A$36&gt;35,N11+M12-V11,IF(A12&lt;'Données projet'!$A$36,$K$205^A12,IF(A12='Données projet'!$A$36,'Données projet'!$B$36,N11+M12-V11)))</f>
        <v>4.6680411564939428</v>
      </c>
      <c r="O12" s="13">
        <f>N12*VLOOKUP('Données projet'!$B$9,Paramètres!$A$1:$I$89,3,0)*VLOOKUP('Données projet'!$B$9,Paramètres!$A$1:$I$89,5,0)</f>
        <v>2.1846432612391653</v>
      </c>
      <c r="P12" s="13">
        <f t="shared" si="33"/>
        <v>0.91923954842431754</v>
      </c>
      <c r="Q12" s="20">
        <f t="shared" si="2"/>
        <v>5.4059292268305654</v>
      </c>
      <c r="R12" s="59">
        <f t="shared" si="0"/>
        <v>194.76388797938665</v>
      </c>
      <c r="S12" s="59">
        <f ca="1">AVERAGE(OFFSET($R$3,0,0,'Données projet'!$E$9+1,1))-AVERAGE(OFFSET($H$3,0,0,'Données projet'!$E$9+1,1))</f>
        <v>167.82976403567059</v>
      </c>
      <c r="T12" s="59">
        <f t="shared" si="34"/>
        <v>232.70925470547317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206.00830282636755</v>
      </c>
      <c r="AN12" s="59">
        <f ca="1">AVERAGE(OFFSET($AM$3,0,0,'Données projet'!$E$10+1,1))-AVERAGE(OFFSET($H$3,0,0,'Données projet'!$E$10+1,1))</f>
        <v>542.51810435067659</v>
      </c>
      <c r="AO12" s="59">
        <f t="shared" si="36"/>
        <v>325.7263575945085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204.26849655299031</v>
      </c>
      <c r="BI12" s="59">
        <f ca="1">AVERAGE(OFFSET($BH$3,0,0,'Données projet'!$E$11+1,1))-AVERAGE(OFFSET($H$3,0,0,'Données projet'!$E$11+1,1))</f>
        <v>492.39485179035256</v>
      </c>
      <c r="BJ12" s="59">
        <f t="shared" si="38"/>
        <v>297.32483725004124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3.2375619333826471</v>
      </c>
      <c r="CA12" s="13">
        <f t="shared" si="39"/>
        <v>1.3013099930173813</v>
      </c>
      <c r="CB12" s="20">
        <f t="shared" si="10"/>
        <v>7.9052019384800483</v>
      </c>
      <c r="CC12" s="59">
        <f t="shared" si="11"/>
        <v>197.26316069103612</v>
      </c>
      <c r="CD12" s="59">
        <f ca="1">AVERAGE(OFFSET($CC$3,0,0,'Données projet'!$E$12+1,1))-AVERAGE(OFFSET($H$3,0,0,'Données projet'!$E$12+1,1))</f>
        <v>260.51631161522039</v>
      </c>
      <c r="CE12" s="59">
        <f t="shared" si="40"/>
        <v>171.3469666102674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5.666666666666667</v>
      </c>
      <c r="N13" s="13">
        <f>IF('Données projet'!$A$36&gt;35,N12+M13-V12,IF(A13&lt;'Données projet'!$A$36,$K$205^A13,IF(A13='Données projet'!$A$36,'Données projet'!$B$36,N12+M13-V12)))</f>
        <v>5.5396582567544659</v>
      </c>
      <c r="O13" s="13">
        <f>N13*VLOOKUP('Données projet'!$B$9,Paramètres!$A$1:$I$89,3,0)*VLOOKUP('Données projet'!$B$9,Paramètres!$A$1:$I$89,5,0)</f>
        <v>2.59256006416109</v>
      </c>
      <c r="P13" s="13">
        <f t="shared" si="33"/>
        <v>1.069357343793981</v>
      </c>
      <c r="Q13" s="20">
        <f t="shared" si="2"/>
        <v>6.377839485521748</v>
      </c>
      <c r="R13" s="59">
        <f t="shared" si="0"/>
        <v>198.31650147056664</v>
      </c>
      <c r="S13" s="59">
        <f ca="1">AVERAGE(OFFSET($R$3,0,0,'Données projet'!$E$9+1,1))-AVERAGE(OFFSET($H$3,0,0,'Données projet'!$E$9+1,1))</f>
        <v>167.82976403567059</v>
      </c>
      <c r="T13" s="59">
        <f t="shared" si="34"/>
        <v>232.70925470547317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212.43619329200953</v>
      </c>
      <c r="AN13" s="59">
        <f ca="1">AVERAGE(OFFSET($AM$3,0,0,'Données projet'!$E$10+1,1))-AVERAGE(OFFSET($H$3,0,0,'Données projet'!$E$10+1,1))</f>
        <v>542.51810435067659</v>
      </c>
      <c r="AO13" s="59">
        <f t="shared" si="36"/>
        <v>325.7263575945085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210.29320032238616</v>
      </c>
      <c r="BI13" s="59">
        <f ca="1">AVERAGE(OFFSET($BH$3,0,0,'Données projet'!$E$11+1,1))-AVERAGE(OFFSET($H$3,0,0,'Données projet'!$E$11+1,1))</f>
        <v>492.39485179035256</v>
      </c>
      <c r="BJ13" s="59">
        <f t="shared" si="38"/>
        <v>297.32483725004124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3.7093937446158476</v>
      </c>
      <c r="CA13" s="13">
        <f t="shared" si="39"/>
        <v>1.4675338872638184</v>
      </c>
      <c r="CB13" s="20">
        <f t="shared" si="10"/>
        <v>9.0164822921904193</v>
      </c>
      <c r="CC13" s="59">
        <f t="shared" si="11"/>
        <v>200.95514427723532</v>
      </c>
      <c r="CD13" s="59">
        <f ca="1">AVERAGE(OFFSET($CC$3,0,0,'Données projet'!$E$12+1,1))-AVERAGE(OFFSET($H$3,0,0,'Données projet'!$E$12+1,1))</f>
        <v>260.51631161522039</v>
      </c>
      <c r="CE13" s="59">
        <f t="shared" si="40"/>
        <v>171.3469666102674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5.666666666666667</v>
      </c>
      <c r="N14" s="13">
        <f>IF('Données projet'!$A$36&gt;35,N13+M14-V13,IF(A14&lt;'Données projet'!$A$36,$K$205^A14,IF(A14='Données projet'!$A$36,'Données projet'!$B$36,N13+M14-V13)))</f>
        <v>6.5740237870303684</v>
      </c>
      <c r="O14" s="13">
        <f>N14*VLOOKUP('Données projet'!$B$9,Paramètres!$A$1:$I$89,3,0)*VLOOKUP('Données projet'!$B$9,Paramètres!$A$1:$I$89,5,0)</f>
        <v>3.0766431323302124</v>
      </c>
      <c r="P14" s="13">
        <f t="shared" si="33"/>
        <v>1.24399035124876</v>
      </c>
      <c r="Q14" s="20">
        <f t="shared" si="2"/>
        <v>7.5251033172333761</v>
      </c>
      <c r="R14" s="59">
        <f t="shared" si="0"/>
        <v>202.02090192634751</v>
      </c>
      <c r="S14" s="59">
        <f ca="1">AVERAGE(OFFSET($R$3,0,0,'Données projet'!$E$9+1,1))-AVERAGE(OFFSET($H$3,0,0,'Données projet'!$E$9+1,1))</f>
        <v>167.82976403567059</v>
      </c>
      <c r="T14" s="59">
        <f t="shared" si="34"/>
        <v>232.70925470547317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219.7324949230792</v>
      </c>
      <c r="AN14" s="59">
        <f ca="1">AVERAGE(OFFSET($AM$3,0,0,'Données projet'!$E$10+1,1))-AVERAGE(OFFSET($H$3,0,0,'Données projet'!$E$10+1,1))</f>
        <v>542.51810435067659</v>
      </c>
      <c r="AO14" s="59">
        <f t="shared" si="36"/>
        <v>325.7263575945085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217.09257815700823</v>
      </c>
      <c r="BI14" s="59">
        <f ca="1">AVERAGE(OFFSET($BH$3,0,0,'Données projet'!$E$11+1,1))-AVERAGE(OFFSET($H$3,0,0,'Données projet'!$E$11+1,1))</f>
        <v>492.39485179035256</v>
      </c>
      <c r="BJ14" s="59">
        <f t="shared" si="38"/>
        <v>297.32483725004124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4.2499887988919385</v>
      </c>
      <c r="CA14" s="13">
        <f t="shared" si="39"/>
        <v>1.6549905263340952</v>
      </c>
      <c r="CB14" s="20">
        <f t="shared" si="10"/>
        <v>10.284505658102008</v>
      </c>
      <c r="CC14" s="59">
        <f t="shared" si="11"/>
        <v>204.78030426721614</v>
      </c>
      <c r="CD14" s="59">
        <f ca="1">AVERAGE(OFFSET($CC$3,0,0,'Données projet'!$E$12+1,1))-AVERAGE(OFFSET($H$3,0,0,'Données projet'!$E$12+1,1))</f>
        <v>260.51631161522039</v>
      </c>
      <c r="CE14" s="59">
        <f t="shared" si="40"/>
        <v>171.3469666102674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5.666666666666667</v>
      </c>
      <c r="N15" s="13">
        <f>IF('Données projet'!$A$36&gt;35,N14+M15-V14,IF(A15&lt;'Données projet'!$A$36,$K$205^A15,IF(A15='Données projet'!$A$36,'Données projet'!$B$36,N14+M15-V14)))</f>
        <v>7.8015261500555493</v>
      </c>
      <c r="O15" s="13">
        <f>N15*VLOOKUP('Données projet'!$B$9,Paramètres!$A$1:$I$89,3,0)*VLOOKUP('Données projet'!$B$9,Paramètres!$A$1:$I$89,5,0)</f>
        <v>3.6511142382259969</v>
      </c>
      <c r="P15" s="13">
        <f t="shared" si="33"/>
        <v>1.4471420643258348</v>
      </c>
      <c r="Q15" s="20">
        <f t="shared" si="2"/>
        <v>8.8794630602777733</v>
      </c>
      <c r="R15" s="59">
        <f t="shared" si="0"/>
        <v>205.90924051301064</v>
      </c>
      <c r="S15" s="59">
        <f ca="1">AVERAGE(OFFSET($R$3,0,0,'Données projet'!$E$9+1,1))-AVERAGE(OFFSET($H$3,0,0,'Données projet'!$E$9+1,1))</f>
        <v>167.82976403567059</v>
      </c>
      <c r="T15" s="59">
        <f t="shared" si="34"/>
        <v>232.70925470547317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228.10508384726486</v>
      </c>
      <c r="AN15" s="59">
        <f ca="1">AVERAGE(OFFSET($AM$3,0,0,'Données projet'!$E$10+1,1))-AVERAGE(OFFSET($H$3,0,0,'Données projet'!$E$10+1,1))</f>
        <v>542.51810435067659</v>
      </c>
      <c r="AO15" s="59">
        <f t="shared" si="36"/>
        <v>325.7263575945085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224.85264818290764</v>
      </c>
      <c r="BI15" s="59">
        <f ca="1">AVERAGE(OFFSET($BH$3,0,0,'Données projet'!$E$11+1,1))-AVERAGE(OFFSET($H$3,0,0,'Données projet'!$E$11+1,1))</f>
        <v>492.39485179035256</v>
      </c>
      <c r="BJ15" s="59">
        <f t="shared" si="38"/>
        <v>297.32483725004124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4.8693684289850241</v>
      </c>
      <c r="CA15" s="13">
        <f t="shared" si="39"/>
        <v>1.8663920922210482</v>
      </c>
      <c r="CB15" s="20">
        <f t="shared" si="10"/>
        <v>11.73144957443391</v>
      </c>
      <c r="CC15" s="59">
        <f t="shared" si="11"/>
        <v>208.7612270271668</v>
      </c>
      <c r="CD15" s="59">
        <f ca="1">AVERAGE(OFFSET($CC$3,0,0,'Données projet'!$E$12+1,1))-AVERAGE(OFFSET($H$3,0,0,'Données projet'!$E$12+1,1))</f>
        <v>260.51631161522039</v>
      </c>
      <c r="CE15" s="59">
        <f t="shared" si="40"/>
        <v>171.3469666102674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5.666666666666667</v>
      </c>
      <c r="N16" s="13">
        <f>IF('Données projet'!$A$36&gt;35,N15+M16-V15,IF(A16&lt;'Données projet'!$A$36,$K$205^A16,IF(A16='Données projet'!$A$36,'Données projet'!$B$36,N15+M16-V15)))</f>
        <v>9.2582278740877637</v>
      </c>
      <c r="O16" s="13">
        <f>N16*VLOOKUP('Données projet'!$B$9,Paramètres!$A$1:$I$89,3,0)*VLOOKUP('Données projet'!$B$9,Paramètres!$A$1:$I$89,5,0)</f>
        <v>4.3328506450730728</v>
      </c>
      <c r="P16" s="13">
        <f t="shared" si="33"/>
        <v>1.683469773088665</v>
      </c>
      <c r="Q16" s="20">
        <f t="shared" si="2"/>
        <v>10.478424728298359</v>
      </c>
      <c r="R16" s="59">
        <f t="shared" si="0"/>
        <v>210.01942497991718</v>
      </c>
      <c r="S16" s="59">
        <f ca="1">AVERAGE(OFFSET($R$3,0,0,'Données projet'!$E$9+1,1))-AVERAGE(OFFSET($H$3,0,0,'Données projet'!$E$9+1,1))</f>
        <v>167.82976403567059</v>
      </c>
      <c r="T16" s="59">
        <f t="shared" si="34"/>
        <v>232.70925470547317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237.81022669869324</v>
      </c>
      <c r="AN16" s="59">
        <f ca="1">AVERAGE(OFFSET($AM$3,0,0,'Données projet'!$E$10+1,1))-AVERAGE(OFFSET($H$3,0,0,'Données projet'!$E$10+1,1))</f>
        <v>542.51810435067659</v>
      </c>
      <c r="AO16" s="59">
        <f t="shared" si="36"/>
        <v>325.7263575945085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233.80270813005566</v>
      </c>
      <c r="BI16" s="59">
        <f ca="1">AVERAGE(OFFSET($BH$3,0,0,'Données projet'!$E$11+1,1))-AVERAGE(OFFSET($H$3,0,0,'Données projet'!$E$11+1,1))</f>
        <v>492.39485179035256</v>
      </c>
      <c r="BJ16" s="59">
        <f t="shared" si="38"/>
        <v>297.32483725004124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5.5790144443152343</v>
      </c>
      <c r="CA16" s="13">
        <f t="shared" si="39"/>
        <v>2.1047972096983822</v>
      </c>
      <c r="CB16" s="20">
        <f t="shared" si="10"/>
        <v>13.382638630740383</v>
      </c>
      <c r="CC16" s="59">
        <f t="shared" si="11"/>
        <v>212.9236388823592</v>
      </c>
      <c r="CD16" s="59">
        <f ca="1">AVERAGE(OFFSET($CC$3,0,0,'Données projet'!$E$12+1,1))-AVERAGE(OFFSET($H$3,0,0,'Données projet'!$E$12+1,1))</f>
        <v>260.51631161522039</v>
      </c>
      <c r="CE16" s="59">
        <f t="shared" si="40"/>
        <v>171.3469666102674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5.666666666666667</v>
      </c>
      <c r="N17" s="13">
        <f>IF('Données projet'!$A$36&gt;35,N16+M17-V16,IF(A17&lt;'Données projet'!$A$36,$K$205^A17,IF(A17='Données projet'!$A$36,'Données projet'!$B$36,N16+M17-V16)))</f>
        <v>10.986925086180136</v>
      </c>
      <c r="O17" s="13">
        <f>N17*VLOOKUP('Données projet'!$B$9,Paramètres!$A$1:$I$89,3,0)*VLOOKUP('Données projet'!$B$9,Paramètres!$A$1:$I$89,5,0)</f>
        <v>5.141880940332304</v>
      </c>
      <c r="P17" s="13">
        <f t="shared" si="33"/>
        <v>1.95839133335087</v>
      </c>
      <c r="Q17" s="20">
        <f t="shared" si="2"/>
        <v>12.366307543331528</v>
      </c>
      <c r="R17" s="59">
        <f t="shared" si="0"/>
        <v>214.39616931560471</v>
      </c>
      <c r="S17" s="59">
        <f ca="1">AVERAGE(OFFSET($R$3,0,0,'Données projet'!$E$9+1,1))-AVERAGE(OFFSET($H$3,0,0,'Données projet'!$E$9+1,1))</f>
        <v>167.82976403567059</v>
      </c>
      <c r="T17" s="59">
        <f t="shared" si="34"/>
        <v>232.70925470547317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249.16390139133293</v>
      </c>
      <c r="AN17" s="59">
        <f ca="1">AVERAGE(OFFSET($AM$3,0,0,'Données projet'!$E$10+1,1))-AVERAGE(OFFSET($H$3,0,0,'Données projet'!$E$10+1,1))</f>
        <v>542.51810435067659</v>
      </c>
      <c r="AO17" s="59">
        <f t="shared" si="36"/>
        <v>325.7263575945085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244.22545806894149</v>
      </c>
      <c r="BI17" s="59">
        <f ca="1">AVERAGE(OFFSET($BH$3,0,0,'Données projet'!$E$11+1,1))-AVERAGE(OFFSET($H$3,0,0,'Données projet'!$E$11+1,1))</f>
        <v>492.39485179035256</v>
      </c>
      <c r="BJ17" s="59">
        <f t="shared" si="38"/>
        <v>297.32483725004124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6.3920819760943495</v>
      </c>
      <c r="CA17" s="13">
        <f t="shared" si="39"/>
        <v>2.3736551994720978</v>
      </c>
      <c r="CB17" s="20">
        <f t="shared" si="10"/>
        <v>15.266992247444895</v>
      </c>
      <c r="CC17" s="59">
        <f t="shared" si="11"/>
        <v>217.2968540197181</v>
      </c>
      <c r="CD17" s="59">
        <f ca="1">AVERAGE(OFFSET($CC$3,0,0,'Données projet'!$E$12+1,1))-AVERAGE(OFFSET($H$3,0,0,'Données projet'!$E$12+1,1))</f>
        <v>260.51631161522039</v>
      </c>
      <c r="CE17" s="59">
        <f t="shared" si="40"/>
        <v>171.3469666102674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5.666666666666667</v>
      </c>
      <c r="N18" s="13">
        <f>IF('Données projet'!$A$36&gt;35,N17+M18-V17,IF(A18&lt;'Données projet'!$A$36,$K$205^A18,IF(A18='Données projet'!$A$36,'Données projet'!$B$36,N17+M18-V17)))</f>
        <v>13.038404810405304</v>
      </c>
      <c r="O18" s="13">
        <f>N18*VLOOKUP('Données projet'!$B$9,Paramètres!$A$1:$I$89,3,0)*VLOOKUP('Données projet'!$B$9,Paramètres!$A$1:$I$89,5,0)</f>
        <v>6.101973451269683</v>
      </c>
      <c r="P18" s="13">
        <f t="shared" si="33"/>
        <v>2.2782093720086061</v>
      </c>
      <c r="Q18" s="20">
        <f t="shared" si="2"/>
        <v>14.595485083876353</v>
      </c>
      <c r="R18" s="59">
        <f t="shared" si="0"/>
        <v>219.0922350167574</v>
      </c>
      <c r="S18" s="59">
        <f ca="1">AVERAGE(OFFSET($R$3,0,0,'Données projet'!$E$9+1,1))-AVERAGE(OFFSET($H$3,0,0,'Données projet'!$E$9+1,1))</f>
        <v>167.82976403567059</v>
      </c>
      <c r="T18" s="59">
        <f t="shared" si="34"/>
        <v>232.70925470547317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262.55577243500142</v>
      </c>
      <c r="AN18" s="59">
        <f ca="1">AVERAGE(OFFSET($AM$3,0,0,'Données projet'!$E$10+1,1))-AVERAGE(OFFSET($H$3,0,0,'Données projet'!$E$10+1,1))</f>
        <v>542.51810435067659</v>
      </c>
      <c r="AO18" s="59">
        <f t="shared" si="36"/>
        <v>325.7263575945085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256.46949622159559</v>
      </c>
      <c r="BI18" s="59">
        <f ca="1">AVERAGE(OFFSET($BH$3,0,0,'Données projet'!$E$11+1,1))-AVERAGE(OFFSET($H$3,0,0,'Données projet'!$E$11+1,1))</f>
        <v>492.39485179035256</v>
      </c>
      <c r="BJ18" s="59">
        <f t="shared" si="38"/>
        <v>297.32483725004124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7.3236433418349414</v>
      </c>
      <c r="CA18" s="13">
        <f t="shared" si="39"/>
        <v>2.6768559840443293</v>
      </c>
      <c r="CB18" s="20">
        <f t="shared" si="10"/>
        <v>17.417536325906397</v>
      </c>
      <c r="CC18" s="59">
        <f t="shared" si="11"/>
        <v>221.91428625878746</v>
      </c>
      <c r="CD18" s="59">
        <f ca="1">AVERAGE(OFFSET($CC$3,0,0,'Données projet'!$E$12+1,1))-AVERAGE(OFFSET($H$3,0,0,'Données projet'!$E$12+1,1))</f>
        <v>260.51631161522039</v>
      </c>
      <c r="CE18" s="59">
        <f t="shared" si="40"/>
        <v>171.3469666102674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5.666666666666667</v>
      </c>
      <c r="N19" s="13">
        <f>IF('Données projet'!$A$36&gt;35,N18+M19-V18,IF(A19&lt;'Données projet'!$A$36,$K$205^A19,IF(A19='Données projet'!$A$36,'Données projet'!$B$36,N18+M19-V18)))</f>
        <v>15.472937028926689</v>
      </c>
      <c r="O19" s="13">
        <f>N19*VLOOKUP('Données projet'!$B$9,Paramètres!$A$1:$I$89,3,0)*VLOOKUP('Données projet'!$B$9,Paramètres!$A$1:$I$89,5,0)</f>
        <v>7.2413345295376894</v>
      </c>
      <c r="P19" s="13">
        <f t="shared" si="33"/>
        <v>2.6502557759113361</v>
      </c>
      <c r="Q19" s="20">
        <f t="shared" si="2"/>
        <v>17.227853115323715</v>
      </c>
      <c r="R19" s="59">
        <f t="shared" si="0"/>
        <v>224.16989903743777</v>
      </c>
      <c r="S19" s="59">
        <f ca="1">AVERAGE(OFFSET($R$3,0,0,'Données projet'!$E$9+1,1))-AVERAGE(OFFSET($H$3,0,0,'Données projet'!$E$9+1,1))</f>
        <v>167.82976403567059</v>
      </c>
      <c r="T19" s="59">
        <f t="shared" si="34"/>
        <v>232.70925470547317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278.46644464610415</v>
      </c>
      <c r="AN19" s="59">
        <f ca="1">AVERAGE(OFFSET($AM$3,0,0,'Données projet'!$E$10+1,1))-AVERAGE(OFFSET($H$3,0,0,'Données projet'!$E$10+1,1))</f>
        <v>542.51810435067659</v>
      </c>
      <c r="AO19" s="59">
        <f t="shared" si="36"/>
        <v>325.7263575945085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270.96474543463864</v>
      </c>
      <c r="BI19" s="59">
        <f ca="1">AVERAGE(OFFSET($BH$3,0,0,'Données projet'!$E$11+1,1))-AVERAGE(OFFSET($H$3,0,0,'Données projet'!$E$11+1,1))</f>
        <v>492.39485179035256</v>
      </c>
      <c r="BJ19" s="59">
        <f t="shared" si="38"/>
        <v>297.32483725004124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8.3909674498848439</v>
      </c>
      <c r="CA19" s="13">
        <f t="shared" si="39"/>
        <v>3.0187863683434557</v>
      </c>
      <c r="CB19" s="20">
        <f t="shared" si="10"/>
        <v>19.871987900080956</v>
      </c>
      <c r="CC19" s="59">
        <f t="shared" si="11"/>
        <v>226.81403382219503</v>
      </c>
      <c r="CD19" s="59">
        <f ca="1">AVERAGE(OFFSET($CC$3,0,0,'Données projet'!$E$12+1,1))-AVERAGE(OFFSET($H$3,0,0,'Données projet'!$E$12+1,1))</f>
        <v>260.51631161522039</v>
      </c>
      <c r="CE19" s="59">
        <f t="shared" si="40"/>
        <v>171.3469666102674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5.666666666666667</v>
      </c>
      <c r="N20" s="13">
        <f>IF('Données projet'!$A$36&gt;35,N19+M20-V19,IF(A20&lt;'Données projet'!$A$36,$K$205^A20,IF(A20='Données projet'!$A$36,'Données projet'!$B$36,N19+M20-V19)))</f>
        <v>18.362045340858568</v>
      </c>
      <c r="O20" s="13">
        <f>N20*VLOOKUP('Données projet'!$B$9,Paramètres!$A$1:$I$89,3,0)*VLOOKUP('Données projet'!$B$9,Paramètres!$A$1:$I$89,5,0)</f>
        <v>8.5934372195218103</v>
      </c>
      <c r="P20" s="13">
        <f t="shared" si="33"/>
        <v>3.0830597767046952</v>
      </c>
      <c r="Q20" s="20">
        <f t="shared" si="2"/>
        <v>20.336565601761166</v>
      </c>
      <c r="R20" s="59">
        <f t="shared" si="0"/>
        <v>229.7026899176339</v>
      </c>
      <c r="S20" s="59">
        <f ca="1">AVERAGE(OFFSET($R$3,0,0,'Données projet'!$E$9+1,1))-AVERAGE(OFFSET($H$3,0,0,'Données projet'!$E$9+1,1))</f>
        <v>167.82976403567059</v>
      </c>
      <c r="T20" s="59">
        <f t="shared" si="34"/>
        <v>232.70925470547317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297.48876601578291</v>
      </c>
      <c r="AN20" s="59">
        <f ca="1">AVERAGE(OFFSET($AM$3,0,0,'Données projet'!$E$10+1,1))-AVERAGE(OFFSET($H$3,0,0,'Données projet'!$E$10+1,1))</f>
        <v>542.51810435067659</v>
      </c>
      <c r="AO20" s="59">
        <f t="shared" si="36"/>
        <v>325.7263575945085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288.24149918328646</v>
      </c>
      <c r="BI20" s="59">
        <f ca="1">AVERAGE(OFFSET($BH$3,0,0,'Données projet'!$E$11+1,1))-AVERAGE(OFFSET($H$3,0,0,'Données projet'!$E$11+1,1))</f>
        <v>492.39485179035256</v>
      </c>
      <c r="BJ20" s="59">
        <f t="shared" si="38"/>
        <v>297.32483725004124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9.6138399234753162</v>
      </c>
      <c r="CA20" s="13">
        <f t="shared" si="39"/>
        <v>3.404393509406427</v>
      </c>
      <c r="CB20" s="20">
        <f t="shared" si="10"/>
        <v>22.6734232289357</v>
      </c>
      <c r="CC20" s="59">
        <f t="shared" si="11"/>
        <v>232.03954754480841</v>
      </c>
      <c r="CD20" s="59">
        <f ca="1">AVERAGE(OFFSET($CC$3,0,0,'Données projet'!$E$12+1,1))-AVERAGE(OFFSET($H$3,0,0,'Données projet'!$E$12+1,1))</f>
        <v>260.51631161522039</v>
      </c>
      <c r="CE20" s="59">
        <f t="shared" si="40"/>
        <v>171.3469666102674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5.666666666666667</v>
      </c>
      <c r="N21" s="13">
        <f>IF('Données projet'!$A$36&gt;35,N20+M21-V20,IF(A21&lt;'Données projet'!$A$36,$K$205^A21,IF(A21='Données projet'!$A$36,'Données projet'!$B$36,N20+M21-V20)))</f>
        <v>21.790608238721305</v>
      </c>
      <c r="O21" s="13">
        <f>N21*VLOOKUP('Données projet'!$B$9,Paramètres!$A$1:$I$89,3,0)*VLOOKUP('Données projet'!$B$9,Paramètres!$A$1:$I$89,5,0)</f>
        <v>10.19800465572157</v>
      </c>
      <c r="P21" s="13">
        <f t="shared" si="33"/>
        <v>3.5865434850211249</v>
      </c>
      <c r="Q21" s="20">
        <f t="shared" si="2"/>
        <v>24.008088011793529</v>
      </c>
      <c r="R21" s="59">
        <f t="shared" si="0"/>
        <v>235.77744120379663</v>
      </c>
      <c r="S21" s="59">
        <f ca="1">AVERAGE(OFFSET($R$3,0,0,'Données projet'!$E$9+1,1))-AVERAGE(OFFSET($H$3,0,0,'Données projet'!$E$9+1,1))</f>
        <v>167.82976403567059</v>
      </c>
      <c r="T21" s="59">
        <f t="shared" si="34"/>
        <v>232.70925470547317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320.35413206775308</v>
      </c>
      <c r="AN21" s="59">
        <f ca="1">AVERAGE(OFFSET($AM$3,0,0,'Données projet'!$E$10+1,1))-AVERAGE(OFFSET($H$3,0,0,'Données projet'!$E$10+1,1))</f>
        <v>542.51810435067659</v>
      </c>
      <c r="AO21" s="59">
        <f t="shared" si="36"/>
        <v>325.7263575945085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308.95393822316214</v>
      </c>
      <c r="BI21" s="59">
        <f ca="1">AVERAGE(OFFSET($BH$3,0,0,'Données projet'!$E$11+1,1))-AVERAGE(OFFSET($H$3,0,0,'Données projet'!$E$11+1,1))</f>
        <v>492.39485179035256</v>
      </c>
      <c r="BJ21" s="59">
        <f t="shared" si="38"/>
        <v>297.32483725004124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11.014929878613264</v>
      </c>
      <c r="CA21" s="13">
        <f t="shared" si="39"/>
        <v>3.8392564934127869</v>
      </c>
      <c r="CB21" s="20">
        <f t="shared" si="10"/>
        <v>25.871041264612035</v>
      </c>
      <c r="CC21" s="59">
        <f t="shared" si="11"/>
        <v>237.64039445661516</v>
      </c>
      <c r="CD21" s="59">
        <f ca="1">AVERAGE(OFFSET($CC$3,0,0,'Données projet'!$E$12+1,1))-AVERAGE(OFFSET($H$3,0,0,'Données projet'!$E$12+1,1))</f>
        <v>260.51631161522039</v>
      </c>
      <c r="CE21" s="59">
        <f t="shared" si="40"/>
        <v>171.3469666102674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5.666666666666667</v>
      </c>
      <c r="N22" s="13">
        <f>IF('Données projet'!$A$36&gt;35,N21+M22-V21,IF(A22&lt;'Données projet'!$A$36,$K$205^A22,IF(A22='Données projet'!$A$36,'Données projet'!$B$36,N21+M22-V21)))</f>
        <v>25.859352735441334</v>
      </c>
      <c r="O22" s="13">
        <f>N22*VLOOKUP('Données projet'!$B$9,Paramètres!$A$1:$I$89,3,0)*VLOOKUP('Données projet'!$B$9,Paramètres!$A$1:$I$89,5,0)</f>
        <v>12.102177080186545</v>
      </c>
      <c r="P22" s="13">
        <f t="shared" si="33"/>
        <v>4.1722493566752403</v>
      </c>
      <c r="Q22" s="20">
        <f t="shared" si="2"/>
        <v>28.34462604420094</v>
      </c>
      <c r="R22" s="59">
        <f t="shared" si="0"/>
        <v>242.49672028722446</v>
      </c>
      <c r="S22" s="59">
        <f ca="1">AVERAGE(OFFSET($R$3,0,0,'Données projet'!$E$9+1,1))-AVERAGE(OFFSET($H$3,0,0,'Données projet'!$E$9+1,1))</f>
        <v>167.82976403567059</v>
      </c>
      <c r="T22" s="59">
        <f t="shared" si="34"/>
        <v>232.70925470547317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347.96496845689671</v>
      </c>
      <c r="AN22" s="59">
        <f ca="1">AVERAGE(OFFSET($AM$3,0,0,'Données projet'!$E$10+1,1))-AVERAGE(OFFSET($H$3,0,0,'Données projet'!$E$10+1,1))</f>
        <v>542.51810435067659</v>
      </c>
      <c r="AO22" s="59">
        <f t="shared" si="36"/>
        <v>325.7263575945085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333.90916953776684</v>
      </c>
      <c r="BI22" s="59">
        <f ca="1">AVERAGE(OFFSET($BH$3,0,0,'Données projet'!$E$11+1,1))-AVERAGE(OFFSET($H$3,0,0,'Données projet'!$E$11+1,1))</f>
        <v>492.39485179035256</v>
      </c>
      <c r="BJ22" s="59">
        <f t="shared" si="38"/>
        <v>297.32483725004124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12.620210154997878</v>
      </c>
      <c r="CA22" s="13">
        <f t="shared" si="39"/>
        <v>4.329667055669546</v>
      </c>
      <c r="CB22" s="20">
        <f t="shared" si="10"/>
        <v>29.521036141912429</v>
      </c>
      <c r="CC22" s="59">
        <f t="shared" si="11"/>
        <v>243.67313038493594</v>
      </c>
      <c r="CD22" s="59">
        <f ca="1">AVERAGE(OFFSET($CC$3,0,0,'Données projet'!$E$12+1,1))-AVERAGE(OFFSET($H$3,0,0,'Données projet'!$E$12+1,1))</f>
        <v>260.51631161522039</v>
      </c>
      <c r="CE22" s="59">
        <f t="shared" si="40"/>
        <v>171.3469666102674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5.666666666666667</v>
      </c>
      <c r="N23" s="13">
        <f>IF('Données projet'!$A$36&gt;35,N22+M23-V22,IF(A23&lt;'Données projet'!$A$36,$K$205^A23,IF(A23='Données projet'!$A$36,'Données projet'!$B$36,N22+M23-V22)))</f>
        <v>30.68781360162793</v>
      </c>
      <c r="O23" s="13">
        <f>N23*VLOOKUP('Données projet'!$B$9,Paramètres!$A$1:$I$89,3,0)*VLOOKUP('Données projet'!$B$9,Paramètres!$A$1:$I$89,5,0)</f>
        <v>14.361896765561871</v>
      </c>
      <c r="P23" s="13">
        <f t="shared" si="33"/>
        <v>4.8536048055679508</v>
      </c>
      <c r="Q23" s="20">
        <f t="shared" si="2"/>
        <v>33.466998569717767</v>
      </c>
      <c r="R23" s="59">
        <f t="shared" si="0"/>
        <v>249.98170145661348</v>
      </c>
      <c r="S23" s="59">
        <f ca="1">AVERAGE(OFFSET($R$3,0,0,'Données projet'!$E$9+1,1))-AVERAGE(OFFSET($H$3,0,0,'Données projet'!$E$9+1,1))</f>
        <v>167.82976403567059</v>
      </c>
      <c r="T23" s="59">
        <f t="shared" si="34"/>
        <v>232.70925470547317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381.43484595601308</v>
      </c>
      <c r="AN23" s="59">
        <f ca="1">AVERAGE(OFFSET($AM$3,0,0,'Données projet'!$E$10+1,1))-AVERAGE(OFFSET($H$3,0,0,'Données projet'!$E$10+1,1))</f>
        <v>542.51810435067659</v>
      </c>
      <c r="AO23" s="59">
        <f t="shared" si="36"/>
        <v>325.7263575945085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364.10308709124286</v>
      </c>
      <c r="BI23" s="59">
        <f ca="1">AVERAGE(OFFSET($BH$3,0,0,'Données projet'!$E$11+1,1))-AVERAGE(OFFSET($H$3,0,0,'Données projet'!$E$11+1,1))</f>
        <v>492.39485179035256</v>
      </c>
      <c r="BJ23" s="59">
        <f t="shared" si="38"/>
        <v>297.32483725004124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14.459438790032763</v>
      </c>
      <c r="CA23" s="13">
        <f t="shared" si="39"/>
        <v>4.8827206114292476</v>
      </c>
      <c r="CB23" s="20">
        <f t="shared" si="10"/>
        <v>33.687594290879673</v>
      </c>
      <c r="CC23" s="59">
        <f t="shared" si="11"/>
        <v>250.20229717777539</v>
      </c>
      <c r="CD23" s="59">
        <f ca="1">AVERAGE(OFFSET($CC$3,0,0,'Données projet'!$E$12+1,1))-AVERAGE(OFFSET($H$3,0,0,'Données projet'!$E$12+1,1))</f>
        <v>260.51631161522039</v>
      </c>
      <c r="CE23" s="59">
        <f t="shared" si="40"/>
        <v>171.3469666102674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5.666666666666667</v>
      </c>
      <c r="N24" s="13">
        <f>IF('Données projet'!$A$36&gt;35,N23+M24-V23,IF(A24&lt;'Données projet'!$A$36,$K$205^A24,IF(A24='Données projet'!$A$36,'Données projet'!$B$36,N23+M24-V23)))</f>
        <v>36.417845151923039</v>
      </c>
      <c r="O24" s="13">
        <f>N24*VLOOKUP('Données projet'!$B$9,Paramètres!$A$1:$I$89,3,0)*VLOOKUP('Données projet'!$B$9,Paramètres!$A$1:$I$89,5,0)</f>
        <v>17.043551531099983</v>
      </c>
      <c r="P24" s="13">
        <f t="shared" si="33"/>
        <v>5.6462300295983905</v>
      </c>
      <c r="Q24" s="20">
        <f t="shared" si="2"/>
        <v>39.518036218216324</v>
      </c>
      <c r="R24" s="59">
        <f t="shared" si="0"/>
        <v>258.37556459409069</v>
      </c>
      <c r="S24" s="59">
        <f ca="1">AVERAGE(OFFSET($R$3,0,0,'Données projet'!$E$9+1,1))-AVERAGE(OFFSET($H$3,0,0,'Données projet'!$E$9+1,1))</f>
        <v>167.82976403567059</v>
      </c>
      <c r="T24" s="59">
        <f t="shared" si="34"/>
        <v>232.70925470547317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</v>
      </c>
      <c r="AI24" s="13">
        <f>IF('Données projet'!$A$62&gt;35,AI23+AH24-AQ23,IF(A24&lt;'Données projet'!$A$62,$AF$205^A24,IF(A24='Données projet'!$A$62,'Données projet'!$B$62,AI23+AH24-AQ23)))</f>
        <v>79</v>
      </c>
      <c r="AJ24" s="13">
        <f>AI24*VLOOKUP('Données projet'!$B$10,Paramètres!$A$1:$I$89,3,0)*VLOOKUP('Données projet'!$B$10,Paramètres!$A$1:$I$89,5,0)</f>
        <v>80.106000000000009</v>
      </c>
      <c r="AK24" s="13">
        <f t="shared" si="35"/>
        <v>22.163099682076496</v>
      </c>
      <c r="AL24" s="20">
        <f t="shared" si="4"/>
        <v>178.11868194628323</v>
      </c>
      <c r="AM24" s="59">
        <f t="shared" si="5"/>
        <v>396.97621032215761</v>
      </c>
      <c r="AN24" s="59">
        <f ca="1">AVERAGE(OFFSET($AM$3,0,0,'Données projet'!$E$10+1,1))-AVERAGE(OFFSET($H$3,0,0,'Données projet'!$E$10+1,1))</f>
        <v>542.51810435067659</v>
      </c>
      <c r="AO24" s="59">
        <f t="shared" si="36"/>
        <v>325.7263575945085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</v>
      </c>
      <c r="BD24" s="12">
        <f>IF('Données projet'!$A$88&gt;35,BD23+BC24-BL23,IF(A24&lt;'Données projet'!$A$88,$BA$205^A24,IF(A24='Données projet'!$A$88,'Données projet'!$B$88,BD23+BC24-BL23)))</f>
        <v>79</v>
      </c>
      <c r="BE24" s="13">
        <f>BD24*VLOOKUP('Données projet'!$B$11,Paramètres!$A$1:$I$89,3,0)*VLOOKUP('Données projet'!$B$11,Paramètres!$A$1:$I$89,5,0)</f>
        <v>71.479200000000006</v>
      </c>
      <c r="BF24" s="13">
        <f t="shared" si="37"/>
        <v>20.040346808618612</v>
      </c>
      <c r="BG24" s="20">
        <f t="shared" si="7"/>
        <v>159.39654402501074</v>
      </c>
      <c r="BH24" s="59">
        <f t="shared" si="8"/>
        <v>378.25407240088509</v>
      </c>
      <c r="BI24" s="59">
        <f ca="1">AVERAGE(OFFSET($BH$3,0,0,'Données projet'!$E$11+1,1))-AVERAGE(OFFSET($H$3,0,0,'Données projet'!$E$11+1,1))</f>
        <v>492.39485179035256</v>
      </c>
      <c r="BJ24" s="59">
        <f t="shared" si="38"/>
        <v>297.32483725004124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16.566710661304302</v>
      </c>
      <c r="CA24" s="13">
        <f t="shared" si="39"/>
        <v>5.5064189146038656</v>
      </c>
      <c r="CB24" s="20">
        <f t="shared" si="10"/>
        <v>38.444034011373397</v>
      </c>
      <c r="CC24" s="59">
        <f t="shared" si="11"/>
        <v>257.30156238724777</v>
      </c>
      <c r="CD24" s="59">
        <f ca="1">AVERAGE(OFFSET($CC$3,0,0,'Données projet'!$E$12+1,1))-AVERAGE(OFFSET($H$3,0,0,'Données projet'!$E$12+1,1))</f>
        <v>260.51631161522039</v>
      </c>
      <c r="CE24" s="59">
        <f t="shared" si="40"/>
        <v>171.3469666102674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5.666666666666667</v>
      </c>
      <c r="N25" s="13">
        <f>IF('Données projet'!$A$36&gt;35,N24+M25-V24,IF(A25&lt;'Données projet'!$A$36,$K$205^A25,IF(A25='Données projet'!$A$36,'Données projet'!$B$36,N24+M25-V24)))</f>
        <v>43.217788752441109</v>
      </c>
      <c r="O25" s="13">
        <f>N25*VLOOKUP('Données projet'!$B$9,Paramètres!$A$1:$I$89,3,0)*VLOOKUP('Données projet'!$B$9,Paramètres!$A$1:$I$89,5,0)</f>
        <v>20.22592513614244</v>
      </c>
      <c r="P25" s="13">
        <f t="shared" si="33"/>
        <v>6.5682961065488277</v>
      </c>
      <c r="Q25" s="20">
        <f t="shared" si="2"/>
        <v>46.666601997687287</v>
      </c>
      <c r="R25" s="59">
        <f t="shared" si="0"/>
        <v>267.8475159011557</v>
      </c>
      <c r="S25" s="59">
        <f ca="1">AVERAGE(OFFSET($R$3,0,0,'Données projet'!$E$9+1,1))-AVERAGE(OFFSET($H$3,0,0,'Données projet'!$E$9+1,1))</f>
        <v>167.82976403567059</v>
      </c>
      <c r="T25" s="59">
        <f t="shared" si="34"/>
        <v>232.70925470547317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</v>
      </c>
      <c r="AI25" s="13">
        <f>IF('Données projet'!$A$62&gt;35,AI24+AH25-AQ24,IF(A25&lt;'Données projet'!$A$62,$AF$205^A25,IF(A25='Données projet'!$A$62,'Données projet'!$B$62,AI24+AH25-AQ24)))</f>
        <v>85</v>
      </c>
      <c r="AJ25" s="13">
        <f>AI25*VLOOKUP('Données projet'!$B$10,Paramètres!$A$1:$I$89,3,0)*VLOOKUP('Données projet'!$B$10,Paramètres!$A$1:$I$89,5,0)</f>
        <v>86.19</v>
      </c>
      <c r="AK25" s="13">
        <f t="shared" si="35"/>
        <v>23.644044315518833</v>
      </c>
      <c r="AL25" s="20">
        <f t="shared" si="4"/>
        <v>191.29429384952866</v>
      </c>
      <c r="AM25" s="59">
        <f t="shared" si="5"/>
        <v>412.47520775299705</v>
      </c>
      <c r="AN25" s="59">
        <f ca="1">AVERAGE(OFFSET($AM$3,0,0,'Données projet'!$E$10+1,1))-AVERAGE(OFFSET($H$3,0,0,'Données projet'!$E$10+1,1))</f>
        <v>542.51810435067659</v>
      </c>
      <c r="AO25" s="59">
        <f t="shared" si="36"/>
        <v>325.7263575945085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</v>
      </c>
      <c r="BD25" s="12">
        <f>IF('Données projet'!$A$88&gt;35,BD24+BC25-BL24,IF(A25&lt;'Données projet'!$A$88,$BA$205^A25,IF(A25='Données projet'!$A$88,'Données projet'!$B$88,BD24+BC25-BL24)))</f>
        <v>85</v>
      </c>
      <c r="BE25" s="13">
        <f>BD25*VLOOKUP('Données projet'!$B$11,Paramètres!$A$1:$I$89,3,0)*VLOOKUP('Données projet'!$B$11,Paramètres!$A$1:$I$89,5,0)</f>
        <v>76.908000000000001</v>
      </c>
      <c r="BF25" s="13">
        <f t="shared" si="37"/>
        <v>21.379448490435635</v>
      </c>
      <c r="BG25" s="20">
        <f t="shared" si="7"/>
        <v>171.18397278750874</v>
      </c>
      <c r="BH25" s="59">
        <f t="shared" si="8"/>
        <v>392.36488669097713</v>
      </c>
      <c r="BI25" s="59">
        <f ca="1">AVERAGE(OFFSET($BH$3,0,0,'Données projet'!$E$11+1,1))-AVERAGE(OFFSET($H$3,0,0,'Données projet'!$E$11+1,1))</f>
        <v>492.39485179035256</v>
      </c>
      <c r="BJ25" s="59">
        <f t="shared" si="38"/>
        <v>297.32483725004124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18.981089523651683</v>
      </c>
      <c r="CA25" s="13">
        <f t="shared" si="39"/>
        <v>6.2097858296733257</v>
      </c>
      <c r="CB25" s="20">
        <f t="shared" si="10"/>
        <v>43.874107907041058</v>
      </c>
      <c r="CC25" s="59">
        <f t="shared" si="11"/>
        <v>265.05502181050946</v>
      </c>
      <c r="CD25" s="59">
        <f ca="1">AVERAGE(OFFSET($CC$3,0,0,'Données projet'!$E$12+1,1))-AVERAGE(OFFSET($H$3,0,0,'Données projet'!$E$12+1,1))</f>
        <v>260.51631161522039</v>
      </c>
      <c r="CE25" s="59">
        <f t="shared" si="40"/>
        <v>171.3469666102674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5.666666666666667</v>
      </c>
      <c r="N26" s="13">
        <f>IF('Données projet'!$A$36&gt;35,N25+M26-V25,IF(A26&lt;'Données projet'!$A$36,$K$205^A26,IF(A26='Données projet'!$A$36,'Données projet'!$B$36,N25+M26-V25)))</f>
        <v>51.287418485604626</v>
      </c>
      <c r="O26" s="13">
        <f>N26*VLOOKUP('Données projet'!$B$9,Paramètres!$A$1:$I$89,3,0)*VLOOKUP('Données projet'!$B$9,Paramètres!$A$1:$I$89,5,0)</f>
        <v>24.002511851262966</v>
      </c>
      <c r="P26" s="13">
        <f t="shared" si="33"/>
        <v>7.6409415693559897</v>
      </c>
      <c r="Q26" s="20">
        <f t="shared" si="2"/>
        <v>55.112348040911343</v>
      </c>
      <c r="R26" s="59">
        <f t="shared" si="0"/>
        <v>278.59754475045781</v>
      </c>
      <c r="S26" s="59">
        <f ca="1">AVERAGE(OFFSET($R$3,0,0,'Données projet'!$E$9+1,1))-AVERAGE(OFFSET($H$3,0,0,'Données projet'!$E$9+1,1))</f>
        <v>167.82976403567059</v>
      </c>
      <c r="T26" s="59">
        <f t="shared" si="34"/>
        <v>232.70925470547317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</v>
      </c>
      <c r="AI26" s="13">
        <f>IF('Données projet'!$A$62&gt;35,AI25+AH26-AQ25,IF(A26&lt;'Données projet'!$A$62,$AF$205^A26,IF(A26='Données projet'!$A$62,'Données projet'!$B$62,AI25+AH26-AQ25)))</f>
        <v>91</v>
      </c>
      <c r="AJ26" s="13">
        <f>AI26*VLOOKUP('Données projet'!$B$10,Paramètres!$A$1:$I$89,3,0)*VLOOKUP('Données projet'!$B$10,Paramètres!$A$1:$I$89,5,0)</f>
        <v>92.274000000000001</v>
      </c>
      <c r="AK26" s="13">
        <f t="shared" si="35"/>
        <v>25.112860036087575</v>
      </c>
      <c r="AL26" s="20">
        <f t="shared" si="4"/>
        <v>204.4487812295192</v>
      </c>
      <c r="AM26" s="59">
        <f t="shared" si="5"/>
        <v>427.9339779390657</v>
      </c>
      <c r="AN26" s="59">
        <f ca="1">AVERAGE(OFFSET($AM$3,0,0,'Données projet'!$E$10+1,1))-AVERAGE(OFFSET($H$3,0,0,'Données projet'!$E$10+1,1))</f>
        <v>542.51810435067659</v>
      </c>
      <c r="AO26" s="59">
        <f t="shared" si="36"/>
        <v>325.7263575945085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</v>
      </c>
      <c r="BD26" s="12">
        <f>IF('Données projet'!$A$88&gt;35,BD25+BC26-BL25,IF(A26&lt;'Données projet'!$A$88,$BA$205^A26,IF(A26='Données projet'!$A$88,'Données projet'!$B$88,BD25+BC26-BL25)))</f>
        <v>91</v>
      </c>
      <c r="BE26" s="13">
        <f>BD26*VLOOKUP('Données projet'!$B$11,Paramètres!$A$1:$I$89,3,0)*VLOOKUP('Données projet'!$B$11,Paramètres!$A$1:$I$89,5,0)</f>
        <v>82.336799999999997</v>
      </c>
      <c r="BF26" s="13">
        <f t="shared" si="37"/>
        <v>22.707582950885364</v>
      </c>
      <c r="BG26" s="20">
        <f t="shared" si="7"/>
        <v>182.95230030612535</v>
      </c>
      <c r="BH26" s="59">
        <f t="shared" si="8"/>
        <v>406.43749701567185</v>
      </c>
      <c r="BI26" s="59">
        <f ca="1">AVERAGE(OFFSET($BH$3,0,0,'Données projet'!$E$11+1,1))-AVERAGE(OFFSET($H$3,0,0,'Données projet'!$E$11+1,1))</f>
        <v>492.39485179035256</v>
      </c>
      <c r="BJ26" s="59">
        <f t="shared" si="38"/>
        <v>297.32483725004124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21.747332157276574</v>
      </c>
      <c r="CA26" s="13">
        <f t="shared" si="39"/>
        <v>7.002997891813278</v>
      </c>
      <c r="CB26" s="20">
        <f t="shared" si="10"/>
        <v>50.073491502164835</v>
      </c>
      <c r="CC26" s="59">
        <f t="shared" si="11"/>
        <v>273.55868821171134</v>
      </c>
      <c r="CD26" s="59">
        <f ca="1">AVERAGE(OFFSET($CC$3,0,0,'Données projet'!$E$12+1,1))-AVERAGE(OFFSET($H$3,0,0,'Données projet'!$E$12+1,1))</f>
        <v>260.51631161522039</v>
      </c>
      <c r="CE26" s="59">
        <f t="shared" si="40"/>
        <v>171.3469666102674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5.666666666666667</v>
      </c>
      <c r="N27" s="13">
        <f>IF('Données projet'!$A$36&gt;35,N26+M27-V26,IF(A27&lt;'Données projet'!$A$36,$K$205^A27,IF(A27='Données projet'!$A$36,'Données projet'!$B$36,N26+M27-V26)))</f>
        <v>60.863810270000563</v>
      </c>
      <c r="O27" s="13">
        <f>N27*VLOOKUP('Données projet'!$B$9,Paramètres!$A$1:$I$89,3,0)*VLOOKUP('Données projet'!$B$9,Paramètres!$A$1:$I$89,5,0)</f>
        <v>28.484263206360264</v>
      </c>
      <c r="P27" s="13">
        <f t="shared" si="33"/>
        <v>8.8887570108329133</v>
      </c>
      <c r="Q27" s="20">
        <f t="shared" si="2"/>
        <v>65.091343544944792</v>
      </c>
      <c r="R27" s="59">
        <f t="shared" si="0"/>
        <v>290.86205172856461</v>
      </c>
      <c r="S27" s="59">
        <f ca="1">AVERAGE(OFFSET($R$3,0,0,'Données projet'!$E$9+1,1))-AVERAGE(OFFSET($H$3,0,0,'Données projet'!$E$9+1,1))</f>
        <v>167.82976403567059</v>
      </c>
      <c r="T27" s="59">
        <f t="shared" si="34"/>
        <v>232.70925470547317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</v>
      </c>
      <c r="AI27" s="13">
        <f>IF('Données projet'!$A$62&gt;35,AI26+AH27-AQ26,IF(A27&lt;'Données projet'!$A$62,$AF$205^A27,IF(A27='Données projet'!$A$62,'Données projet'!$B$62,AI26+AH27-AQ26)))</f>
        <v>97</v>
      </c>
      <c r="AJ27" s="13">
        <f>AI27*VLOOKUP('Données projet'!$B$10,Paramètres!$A$1:$I$89,3,0)*VLOOKUP('Données projet'!$B$10,Paramètres!$A$1:$I$89,5,0)</f>
        <v>98.358000000000004</v>
      </c>
      <c r="AK27" s="13">
        <f t="shared" si="35"/>
        <v>26.570437554143126</v>
      </c>
      <c r="AL27" s="20">
        <f t="shared" si="4"/>
        <v>217.58369540679928</v>
      </c>
      <c r="AM27" s="59">
        <f t="shared" si="5"/>
        <v>443.35440359041911</v>
      </c>
      <c r="AN27" s="59">
        <f ca="1">AVERAGE(OFFSET($AM$3,0,0,'Données projet'!$E$10+1,1))-AVERAGE(OFFSET($H$3,0,0,'Données projet'!$E$10+1,1))</f>
        <v>542.51810435067659</v>
      </c>
      <c r="AO27" s="59">
        <f t="shared" si="36"/>
        <v>325.7263575945085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</v>
      </c>
      <c r="BD27" s="12">
        <f>IF('Données projet'!$A$88&gt;35,BD26+BC27-BL26,IF(A27&lt;'Données projet'!$A$88,$BA$205^A27,IF(A27='Données projet'!$A$88,'Données projet'!$B$88,BD26+BC27-BL26)))</f>
        <v>97</v>
      </c>
      <c r="BE27" s="13">
        <f>BD27*VLOOKUP('Données projet'!$B$11,Paramètres!$A$1:$I$89,3,0)*VLOOKUP('Données projet'!$B$11,Paramètres!$A$1:$I$89,5,0)</f>
        <v>87.765600000000006</v>
      </c>
      <c r="BF27" s="13">
        <f t="shared" si="37"/>
        <v>24.025555589247954</v>
      </c>
      <c r="BG27" s="20">
        <f t="shared" si="7"/>
        <v>194.7029293179402</v>
      </c>
      <c r="BH27" s="59">
        <f t="shared" si="8"/>
        <v>420.47363750156001</v>
      </c>
      <c r="BI27" s="59">
        <f ca="1">AVERAGE(OFFSET($BH$3,0,0,'Données projet'!$E$11+1,1))-AVERAGE(OFFSET($H$3,0,0,'Données projet'!$E$11+1,1))</f>
        <v>492.39485179035256</v>
      </c>
      <c r="BJ27" s="59">
        <f t="shared" si="38"/>
        <v>297.32483725004124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24.91671805085759</v>
      </c>
      <c r="CA27" s="13">
        <f t="shared" si="39"/>
        <v>7.8975315442273644</v>
      </c>
      <c r="CB27" s="20">
        <f t="shared" si="10"/>
        <v>57.151484711439622</v>
      </c>
      <c r="CC27" s="59">
        <f t="shared" si="11"/>
        <v>282.92219289505942</v>
      </c>
      <c r="CD27" s="59">
        <f ca="1">AVERAGE(OFFSET($CC$3,0,0,'Données projet'!$E$12+1,1))-AVERAGE(OFFSET($H$3,0,0,'Données projet'!$E$12+1,1))</f>
        <v>260.51631161522039</v>
      </c>
      <c r="CE27" s="59">
        <f t="shared" si="40"/>
        <v>171.3469666102674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5.666666666666667</v>
      </c>
      <c r="N28" s="13">
        <f>IF('Données projet'!$A$36&gt;35,N27+M28-V27,IF(A28&lt;'Données projet'!$A$36,$K$205^A28,IF(A28='Données projet'!$A$36,'Données projet'!$B$36,N27+M28-V27)))</f>
        <v>72.228306862868891</v>
      </c>
      <c r="O28" s="13">
        <f>N28*VLOOKUP('Données projet'!$B$9,Paramètres!$A$1:$I$89,3,0)*VLOOKUP('Données projet'!$B$9,Paramètres!$A$1:$I$89,5,0)</f>
        <v>33.802847611822642</v>
      </c>
      <c r="P28" s="13">
        <f t="shared" si="33"/>
        <v>10.340348827492802</v>
      </c>
      <c r="Q28" s="20">
        <f t="shared" si="2"/>
        <v>76.882733798474405</v>
      </c>
      <c r="R28" s="59">
        <f t="shared" si="0"/>
        <v>304.92050776480653</v>
      </c>
      <c r="S28" s="59">
        <f ca="1">AVERAGE(OFFSET($R$3,0,0,'Données projet'!$E$9+1,1))-AVERAGE(OFFSET($H$3,0,0,'Données projet'!$E$9+1,1))</f>
        <v>167.82976403567059</v>
      </c>
      <c r="T28" s="59">
        <f t="shared" si="34"/>
        <v>232.70925470547317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6</v>
      </c>
      <c r="AH28" s="12">
        <f t="array" ref="AH28">INDEX(AG:AG,MIN(IF(ISNUMBER(AG28:AG224),ROW(AG28:AG224),"")))</f>
        <v>6</v>
      </c>
      <c r="AI28" s="13">
        <f>IF('Données projet'!$A$62&gt;35,AI27+AH28-AQ27,IF(A28&lt;'Données projet'!$A$62,$AF$205^A28,IF(A28='Données projet'!$A$62,'Données projet'!$B$62,AI27+AH28-AQ27)))</f>
        <v>103</v>
      </c>
      <c r="AJ28" s="13">
        <f>AI28*VLOOKUP('Données projet'!$B$10,Paramètres!$A$1:$I$89,3,0)*VLOOKUP('Données projet'!$B$10,Paramètres!$A$1:$I$89,5,0)</f>
        <v>104.44200000000001</v>
      </c>
      <c r="AK28" s="13">
        <f t="shared" si="35"/>
        <v>28.017551161766285</v>
      </c>
      <c r="AL28" s="20">
        <f t="shared" si="4"/>
        <v>230.70038494007625</v>
      </c>
      <c r="AM28" s="59">
        <f t="shared" si="5"/>
        <v>458.73815890640833</v>
      </c>
      <c r="AN28" s="59">
        <f ca="1">AVERAGE(OFFSET($AM$3,0,0,'Données projet'!$E$10+1,1))-AVERAGE(OFFSET($H$3,0,0,'Données projet'!$E$10+1,1))</f>
        <v>542.51810435067659</v>
      </c>
      <c r="AO28" s="59">
        <f t="shared" si="36"/>
        <v>325.7263575945085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6</v>
      </c>
      <c r="BC28" s="12">
        <f t="array" ref="BC28">INDEX(BB:BB,MIN(IF(ISNUMBER(BB28:BB224),ROW(BB28:BB224),"")))</f>
        <v>6</v>
      </c>
      <c r="BD28" s="12">
        <f>IF('Données projet'!$A$88&gt;35,BD27+BC28-BL27,IF(A28&lt;'Données projet'!$A$88,$BA$205^A28,IF(A28='Données projet'!$A$88,'Données projet'!$B$88,BD27+BC28-BL27)))</f>
        <v>103</v>
      </c>
      <c r="BE28" s="13">
        <f>BD28*VLOOKUP('Données projet'!$B$11,Paramètres!$A$1:$I$89,3,0)*VLOOKUP('Données projet'!$B$11,Paramètres!$A$1:$I$89,5,0)</f>
        <v>93.194400000000002</v>
      </c>
      <c r="BF28" s="13">
        <f t="shared" si="37"/>
        <v>25.33406653691528</v>
      </c>
      <c r="BG28" s="20">
        <f t="shared" si="7"/>
        <v>206.43707921846078</v>
      </c>
      <c r="BH28" s="59">
        <f t="shared" si="8"/>
        <v>434.47485318479289</v>
      </c>
      <c r="BI28" s="59">
        <f ca="1">AVERAGE(OFFSET($BH$3,0,0,'Données projet'!$E$11+1,1))-AVERAGE(OFFSET($H$3,0,0,'Données projet'!$E$11+1,1))</f>
        <v>492.39485179035256</v>
      </c>
      <c r="BJ28" s="59">
        <f t="shared" si="38"/>
        <v>297.32483725004124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28.548000000000002</v>
      </c>
      <c r="CA28" s="13">
        <f t="shared" si="39"/>
        <v>8.9063291829603273</v>
      </c>
      <c r="CB28" s="20">
        <f t="shared" si="10"/>
        <v>65.232956660322571</v>
      </c>
      <c r="CC28" s="59">
        <f t="shared" si="11"/>
        <v>293.27073062665465</v>
      </c>
      <c r="CD28" s="59">
        <f ca="1">AVERAGE(OFFSET($CC$3,0,0,'Données projet'!$E$12+1,1))-AVERAGE(OFFSET($H$3,0,0,'Données projet'!$E$12+1,1))</f>
        <v>260.51631161522039</v>
      </c>
      <c r="CE28" s="59">
        <f t="shared" si="40"/>
        <v>171.3469666102674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5.666666666666667</v>
      </c>
      <c r="N29" s="13">
        <f>IF('Données projet'!$A$36&gt;35,N28+M29-V28,IF(A29&lt;'Données projet'!$A$36,$K$205^A29,IF(A29='Données projet'!$A$36,'Données projet'!$B$36,N28+M29-V28)))</f>
        <v>85.714783368535649</v>
      </c>
      <c r="O29" s="13">
        <f>N29*VLOOKUP('Données projet'!$B$9,Paramètres!$A$1:$I$89,3,0)*VLOOKUP('Données projet'!$B$9,Paramètres!$A$1:$I$89,5,0)</f>
        <v>40.114518616474683</v>
      </c>
      <c r="P29" s="13">
        <f t="shared" si="33"/>
        <v>12.028995026405015</v>
      </c>
      <c r="Q29" s="20">
        <f t="shared" si="2"/>
        <v>90.816619594682138</v>
      </c>
      <c r="R29" s="59">
        <f t="shared" si="0"/>
        <v>321.1033336438723</v>
      </c>
      <c r="S29" s="59">
        <f ca="1">AVERAGE(OFFSET($R$3,0,0,'Données projet'!$E$9+1,1))-AVERAGE(OFFSET($H$3,0,0,'Données projet'!$E$9+1,1))</f>
        <v>167.82976403567059</v>
      </c>
      <c r="T29" s="59">
        <f t="shared" si="34"/>
        <v>232.70925470547317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</v>
      </c>
      <c r="AI29" s="13">
        <f>IF('Données projet'!$A$62&gt;35,AI28+AH29-AQ28,IF(A29&lt;'Données projet'!$A$62,$AF$205^A29,IF(A29='Données projet'!$A$62,'Données projet'!$B$62,AI28+AH29-AQ28)))</f>
        <v>106.6</v>
      </c>
      <c r="AJ29" s="13">
        <f>AI29*VLOOKUP('Données projet'!$B$10,Paramètres!$A$1:$I$89,3,0)*VLOOKUP('Données projet'!$B$10,Paramètres!$A$1:$I$89,5,0)</f>
        <v>108.0924</v>
      </c>
      <c r="AK29" s="13">
        <f t="shared" si="35"/>
        <v>28.881082556732348</v>
      </c>
      <c r="AL29" s="20">
        <f t="shared" si="4"/>
        <v>238.56214878630877</v>
      </c>
      <c r="AM29" s="59">
        <f t="shared" si="5"/>
        <v>468.84886283549895</v>
      </c>
      <c r="AN29" s="59">
        <f ca="1">AVERAGE(OFFSET($AM$3,0,0,'Données projet'!$E$10+1,1))-AVERAGE(OFFSET($H$3,0,0,'Données projet'!$E$10+1,1))</f>
        <v>542.51810435067659</v>
      </c>
      <c r="AO29" s="59">
        <f t="shared" si="36"/>
        <v>325.7263575945085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</v>
      </c>
      <c r="BD29" s="12">
        <f>IF('Données projet'!$A$88&gt;35,BD28+BC29-BL28,IF(A29&lt;'Données projet'!$A$88,$BA$205^A29,IF(A29='Données projet'!$A$88,'Données projet'!$B$88,BD28+BC29-BL28)))</f>
        <v>106.6</v>
      </c>
      <c r="BE29" s="13">
        <f>BD29*VLOOKUP('Données projet'!$B$11,Paramètres!$A$1:$I$89,3,0)*VLOOKUP('Données projet'!$B$11,Paramètres!$A$1:$I$89,5,0)</f>
        <v>96.451679999999996</v>
      </c>
      <c r="BF29" s="13">
        <f t="shared" si="37"/>
        <v>26.114890017542621</v>
      </c>
      <c r="BG29" s="20">
        <f t="shared" si="7"/>
        <v>213.47010944722004</v>
      </c>
      <c r="BH29" s="59">
        <f t="shared" si="8"/>
        <v>443.75682349641022</v>
      </c>
      <c r="BI29" s="59">
        <f ca="1">AVERAGE(OFFSET($BH$3,0,0,'Données projet'!$E$11+1,1))-AVERAGE(OFFSET($H$3,0,0,'Données projet'!$E$11+1,1))</f>
        <v>492.39485179035256</v>
      </c>
      <c r="BJ29" s="59">
        <f t="shared" si="38"/>
        <v>297.32483725004124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33.115679999999998</v>
      </c>
      <c r="CA29" s="13">
        <f t="shared" si="39"/>
        <v>10.154389597618938</v>
      </c>
      <c r="CB29" s="20">
        <f t="shared" si="10"/>
        <v>75.36203788251963</v>
      </c>
      <c r="CC29" s="59">
        <f t="shared" si="11"/>
        <v>305.6487519317098</v>
      </c>
      <c r="CD29" s="59">
        <f ca="1">AVERAGE(OFFSET($CC$3,0,0,'Données projet'!$E$12+1,1))-AVERAGE(OFFSET($H$3,0,0,'Données projet'!$E$12+1,1))</f>
        <v>260.51631161522039</v>
      </c>
      <c r="CE29" s="59">
        <f t="shared" si="40"/>
        <v>171.3469666102674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5.666666666666667</v>
      </c>
      <c r="N30" s="13">
        <f>IF('Données projet'!$A$36&gt;35,N29+M30-V29,IF(A30&lt;'Données projet'!$A$36,$K$205^A30,IF(A30='Données projet'!$A$36,'Données projet'!$B$36,N29+M30-V29)))</f>
        <v>101.71945608338704</v>
      </c>
      <c r="O30" s="13">
        <f>N30*VLOOKUP('Données projet'!$B$9,Paramètres!$A$1:$I$89,3,0)*VLOOKUP('Données projet'!$B$9,Paramètres!$A$1:$I$89,5,0)</f>
        <v>47.604705447025133</v>
      </c>
      <c r="P30" s="13">
        <f t="shared" si="33"/>
        <v>13.993408129574757</v>
      </c>
      <c r="Q30" s="20">
        <f t="shared" si="2"/>
        <v>107.28338114591146</v>
      </c>
      <c r="R30" s="59">
        <f t="shared" si="0"/>
        <v>339.80122401847495</v>
      </c>
      <c r="S30" s="59">
        <f ca="1">AVERAGE(OFFSET($R$3,0,0,'Données projet'!$E$9+1,1))-AVERAGE(OFFSET($H$3,0,0,'Données projet'!$E$9+1,1))</f>
        <v>167.82976403567059</v>
      </c>
      <c r="T30" s="59">
        <f t="shared" si="34"/>
        <v>232.70925470547317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</v>
      </c>
      <c r="AI30" s="13">
        <f>IF('Données projet'!$A$62&gt;35,AI29+AH30-AQ29,IF(A30&lt;'Données projet'!$A$62,$AF$205^A30,IF(A30='Données projet'!$A$62,'Données projet'!$B$62,AI29+AH30-AQ29)))</f>
        <v>110.19999999999999</v>
      </c>
      <c r="AJ30" s="13">
        <f>AI30*VLOOKUP('Données projet'!$B$10,Paramètres!$A$1:$I$89,3,0)*VLOOKUP('Données projet'!$B$10,Paramètres!$A$1:$I$89,5,0)</f>
        <v>111.7428</v>
      </c>
      <c r="AK30" s="13">
        <f t="shared" si="35"/>
        <v>29.741225429709573</v>
      </c>
      <c r="AL30" s="20">
        <f t="shared" si="4"/>
        <v>246.4180109567441</v>
      </c>
      <c r="AM30" s="59">
        <f t="shared" si="5"/>
        <v>478.93585382930758</v>
      </c>
      <c r="AN30" s="59">
        <f ca="1">AVERAGE(OFFSET($AM$3,0,0,'Données projet'!$E$10+1,1))-AVERAGE(OFFSET($H$3,0,0,'Données projet'!$E$10+1,1))</f>
        <v>542.51810435067659</v>
      </c>
      <c r="AO30" s="59">
        <f t="shared" si="36"/>
        <v>325.7263575945085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</v>
      </c>
      <c r="BD30" s="12">
        <f>IF('Données projet'!$A$88&gt;35,BD29+BC30-BL29,IF(A30&lt;'Données projet'!$A$88,$BA$205^A30,IF(A30='Données projet'!$A$88,'Données projet'!$B$88,BD29+BC30-BL29)))</f>
        <v>110.19999999999999</v>
      </c>
      <c r="BE30" s="13">
        <f>BD30*VLOOKUP('Données projet'!$B$11,Paramètres!$A$1:$I$89,3,0)*VLOOKUP('Données projet'!$B$11,Paramètres!$A$1:$I$89,5,0)</f>
        <v>99.70895999999999</v>
      </c>
      <c r="BF30" s="13">
        <f t="shared" si="37"/>
        <v>26.892649524411862</v>
      </c>
      <c r="BG30" s="20">
        <f t="shared" si="7"/>
        <v>220.49780325501729</v>
      </c>
      <c r="BH30" s="59">
        <f t="shared" si="8"/>
        <v>453.01564612758079</v>
      </c>
      <c r="BI30" s="59">
        <f ca="1">AVERAGE(OFFSET($BH$3,0,0,'Données projet'!$E$11+1,1))-AVERAGE(OFFSET($H$3,0,0,'Données projet'!$E$11+1,1))</f>
        <v>492.39485179035256</v>
      </c>
      <c r="BJ30" s="59">
        <f t="shared" si="38"/>
        <v>297.32483725004124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37.683359999999993</v>
      </c>
      <c r="CA30" s="13">
        <f t="shared" si="39"/>
        <v>11.382505490682499</v>
      </c>
      <c r="CB30" s="20">
        <f t="shared" si="10"/>
        <v>85.456382396271991</v>
      </c>
      <c r="CC30" s="59">
        <f t="shared" si="11"/>
        <v>317.97422526883548</v>
      </c>
      <c r="CD30" s="59">
        <f ca="1">AVERAGE(OFFSET($CC$3,0,0,'Données projet'!$E$12+1,1))-AVERAGE(OFFSET($H$3,0,0,'Données projet'!$E$12+1,1))</f>
        <v>260.51631161522039</v>
      </c>
      <c r="CE30" s="59">
        <f t="shared" si="40"/>
        <v>171.3469666102674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5.666666666666667</v>
      </c>
      <c r="N31" s="13">
        <f>IF('Données projet'!$A$36&gt;35,N30+M31-V30,IF(A31&lt;'Données projet'!$A$36,$K$205^A31,IF(A31='Données projet'!$A$36,'Données projet'!$B$36,N30+M31-V30)))</f>
        <v>120.71252284933438</v>
      </c>
      <c r="O31" s="13">
        <f>N31*VLOOKUP('Données projet'!$B$9,Paramètres!$A$1:$I$89,3,0)*VLOOKUP('Données projet'!$B$9,Paramètres!$A$1:$I$89,5,0)</f>
        <v>56.493460693488487</v>
      </c>
      <c r="P31" s="13">
        <f t="shared" si="33"/>
        <v>16.278622665568623</v>
      </c>
      <c r="Q31" s="20">
        <f t="shared" si="2"/>
        <v>126.74471185035777</v>
      </c>
      <c r="R31" s="59">
        <f t="shared" si="0"/>
        <v>361.47618127234188</v>
      </c>
      <c r="S31" s="59">
        <f ca="1">AVERAGE(OFFSET($R$3,0,0,'Données projet'!$E$9+1,1))-AVERAGE(OFFSET($H$3,0,0,'Données projet'!$E$9+1,1))</f>
        <v>167.82976403567059</v>
      </c>
      <c r="T31" s="59">
        <f t="shared" si="34"/>
        <v>232.70925470547317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</v>
      </c>
      <c r="AI31" s="13">
        <f>IF('Données projet'!$A$62&gt;35,AI30+AH31-AQ30,IF(A31&lt;'Données projet'!$A$62,$AF$205^A31,IF(A31='Données projet'!$A$62,'Données projet'!$B$62,AI30+AH31-AQ30)))</f>
        <v>113.79999999999998</v>
      </c>
      <c r="AJ31" s="13">
        <f>AI31*VLOOKUP('Données projet'!$B$10,Paramètres!$A$1:$I$89,3,0)*VLOOKUP('Données projet'!$B$10,Paramètres!$A$1:$I$89,5,0)</f>
        <v>115.39319999999998</v>
      </c>
      <c r="AK31" s="13">
        <f t="shared" si="35"/>
        <v>30.598103171409555</v>
      </c>
      <c r="AL31" s="20">
        <f t="shared" si="4"/>
        <v>254.26818635687155</v>
      </c>
      <c r="AM31" s="59">
        <f t="shared" si="5"/>
        <v>488.99965577885564</v>
      </c>
      <c r="AN31" s="59">
        <f ca="1">AVERAGE(OFFSET($AM$3,0,0,'Données projet'!$E$10+1,1))-AVERAGE(OFFSET($H$3,0,0,'Données projet'!$E$10+1,1))</f>
        <v>542.51810435067659</v>
      </c>
      <c r="AO31" s="59">
        <f t="shared" si="36"/>
        <v>325.7263575945085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</v>
      </c>
      <c r="BD31" s="12">
        <f>IF('Données projet'!$A$88&gt;35,BD30+BC31-BL30,IF(A31&lt;'Données projet'!$A$88,$BA$205^A31,IF(A31='Données projet'!$A$88,'Données projet'!$B$88,BD30+BC31-BL30)))</f>
        <v>113.79999999999998</v>
      </c>
      <c r="BE31" s="13">
        <f>BD31*VLOOKUP('Données projet'!$B$11,Paramètres!$A$1:$I$89,3,0)*VLOOKUP('Données projet'!$B$11,Paramètres!$A$1:$I$89,5,0)</f>
        <v>102.96623999999998</v>
      </c>
      <c r="BF31" s="13">
        <f t="shared" si="37"/>
        <v>27.6674566300326</v>
      </c>
      <c r="BG31" s="20">
        <f t="shared" si="7"/>
        <v>227.5203549639734</v>
      </c>
      <c r="BH31" s="59">
        <f t="shared" si="8"/>
        <v>462.25182438595749</v>
      </c>
      <c r="BI31" s="59">
        <f ca="1">AVERAGE(OFFSET($BH$3,0,0,'Données projet'!$E$11+1,1))-AVERAGE(OFFSET($H$3,0,0,'Données projet'!$E$11+1,1))</f>
        <v>492.39485179035256</v>
      </c>
      <c r="BJ31" s="59">
        <f t="shared" si="38"/>
        <v>297.32483725004124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42.251039999999989</v>
      </c>
      <c r="CA31" s="13">
        <f t="shared" si="39"/>
        <v>12.593370905616945</v>
      </c>
      <c r="CB31" s="20">
        <f t="shared" si="10"/>
        <v>95.520682327282813</v>
      </c>
      <c r="CC31" s="59">
        <f t="shared" si="11"/>
        <v>330.25215174926689</v>
      </c>
      <c r="CD31" s="59">
        <f ca="1">AVERAGE(OFFSET($CC$3,0,0,'Données projet'!$E$12+1,1))-AVERAGE(OFFSET($H$3,0,0,'Données projet'!$E$12+1,1))</f>
        <v>260.51631161522039</v>
      </c>
      <c r="CE31" s="59">
        <f t="shared" si="40"/>
        <v>171.3469666102674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5.666666666666667</v>
      </c>
      <c r="N32" s="13">
        <f>IF('Données projet'!$A$36&gt;35,N31+M32-V31,IF(A32&lt;'Données projet'!$A$36,$K$205^A32,IF(A32='Données projet'!$A$36,'Données projet'!$B$36,N31+M32-V31)))</f>
        <v>143.25197689521377</v>
      </c>
      <c r="O32" s="13">
        <f>N32*VLOOKUP('Données projet'!$B$9,Paramètres!$A$1:$I$89,3,0)*VLOOKUP('Données projet'!$B$9,Paramètres!$A$1:$I$89,5,0)</f>
        <v>67.041925186960043</v>
      </c>
      <c r="P32" s="13">
        <f t="shared" si="33"/>
        <v>18.93702759429323</v>
      </c>
      <c r="Q32" s="20">
        <f t="shared" si="2"/>
        <v>149.74667609401612</v>
      </c>
      <c r="R32" s="59">
        <f t="shared" si="0"/>
        <v>386.67457341679199</v>
      </c>
      <c r="S32" s="59">
        <f ca="1">AVERAGE(OFFSET($R$3,0,0,'Données projet'!$E$9+1,1))-AVERAGE(OFFSET($H$3,0,0,'Données projet'!$E$9+1,1))</f>
        <v>167.82976403567059</v>
      </c>
      <c r="T32" s="59">
        <f t="shared" si="34"/>
        <v>232.70925470547317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</v>
      </c>
      <c r="AI32" s="13">
        <f>IF('Données projet'!$A$62&gt;35,AI31+AH32-AQ31,IF(A32&lt;'Données projet'!$A$62,$AF$205^A32,IF(A32='Données projet'!$A$62,'Données projet'!$B$62,AI31+AH32-AQ31)))</f>
        <v>117.39999999999998</v>
      </c>
      <c r="AJ32" s="13">
        <f>AI32*VLOOKUP('Données projet'!$B$10,Paramètres!$A$1:$I$89,3,0)*VLOOKUP('Données projet'!$B$10,Paramètres!$A$1:$I$89,5,0)</f>
        <v>119.04359999999998</v>
      </c>
      <c r="AK32" s="13">
        <f t="shared" si="35"/>
        <v>31.451830922409044</v>
      </c>
      <c r="AL32" s="20">
        <f t="shared" si="4"/>
        <v>262.11287552319567</v>
      </c>
      <c r="AM32" s="59">
        <f t="shared" si="5"/>
        <v>499.0407728459715</v>
      </c>
      <c r="AN32" s="59">
        <f ca="1">AVERAGE(OFFSET($AM$3,0,0,'Données projet'!$E$10+1,1))-AVERAGE(OFFSET($H$3,0,0,'Données projet'!$E$10+1,1))</f>
        <v>542.51810435067659</v>
      </c>
      <c r="AO32" s="59">
        <f t="shared" si="36"/>
        <v>325.7263575945085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</v>
      </c>
      <c r="BD32" s="12">
        <f>IF('Données projet'!$A$88&gt;35,BD31+BC32-BL31,IF(A32&lt;'Données projet'!$A$88,$BA$205^A32,IF(A32='Données projet'!$A$88,'Données projet'!$B$88,BD31+BC32-BL31)))</f>
        <v>117.39999999999998</v>
      </c>
      <c r="BE32" s="13">
        <f>BD32*VLOOKUP('Données projet'!$B$11,Paramètres!$A$1:$I$89,3,0)*VLOOKUP('Données projet'!$B$11,Paramètres!$A$1:$I$89,5,0)</f>
        <v>106.22351999999998</v>
      </c>
      <c r="BF32" s="13">
        <f t="shared" si="37"/>
        <v>28.439415446966855</v>
      </c>
      <c r="BG32" s="20">
        <f t="shared" si="7"/>
        <v>234.5379459034672</v>
      </c>
      <c r="BH32" s="59">
        <f t="shared" si="8"/>
        <v>471.46584322624301</v>
      </c>
      <c r="BI32" s="59">
        <f ca="1">AVERAGE(OFFSET($BH$3,0,0,'Données projet'!$E$11+1,1))-AVERAGE(OFFSET($H$3,0,0,'Données projet'!$E$11+1,1))</f>
        <v>492.39485179035256</v>
      </c>
      <c r="BJ32" s="59">
        <f t="shared" si="38"/>
        <v>297.32483725004124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46.818719999999992</v>
      </c>
      <c r="CA32" s="13">
        <f t="shared" si="39"/>
        <v>13.789063354733791</v>
      </c>
      <c r="CB32" s="20">
        <f t="shared" si="10"/>
        <v>105.55855600949467</v>
      </c>
      <c r="CC32" s="59">
        <f t="shared" si="11"/>
        <v>342.48645333227051</v>
      </c>
      <c r="CD32" s="59">
        <f ca="1">AVERAGE(OFFSET($CC$3,0,0,'Données projet'!$E$12+1,1))-AVERAGE(OFFSET($H$3,0,0,'Données projet'!$E$12+1,1))</f>
        <v>260.51631161522039</v>
      </c>
      <c r="CE32" s="59">
        <f t="shared" si="40"/>
        <v>171.3469666102674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170</v>
      </c>
      <c r="L33" s="12">
        <f>VLOOKUP(A33,'Données projet'!$A$35:$I$55,9,0)</f>
        <v>5.666666666666667</v>
      </c>
      <c r="M33" s="12">
        <f t="array" ref="M33">INDEX(L:L,MIN(IF(ISNUMBER(L33:L229),ROW(L33:L229),"")))</f>
        <v>5.666666666666667</v>
      </c>
      <c r="N33" s="13">
        <f>IF('Données projet'!$A$36&gt;35,N32+M33-V32,IF(A33&lt;'Données projet'!$A$36,$K$205^A33,IF(A33='Données projet'!$A$36,'Données projet'!$B$36,N32+M33-V32)))</f>
        <v>170</v>
      </c>
      <c r="O33" s="13">
        <f>N33*VLOOKUP('Données projet'!$B$9,Paramètres!$A$1:$I$89,3,0)*VLOOKUP('Données projet'!$B$9,Paramètres!$A$1:$I$89,5,0)</f>
        <v>79.56</v>
      </c>
      <c r="P33" s="13">
        <f t="shared" si="33"/>
        <v>22.029567333453311</v>
      </c>
      <c r="Q33" s="20">
        <f t="shared" si="2"/>
        <v>176.93516310576453</v>
      </c>
      <c r="R33" s="59">
        <f t="shared" si="0"/>
        <v>416.04258803880651</v>
      </c>
      <c r="S33" s="59">
        <f ca="1">AVERAGE(OFFSET($R$3,0,0,'Données projet'!$E$9+1,1))-AVERAGE(OFFSET($H$3,0,0,'Données projet'!$E$9+1,1))</f>
        <v>167.82976403567059</v>
      </c>
      <c r="T33" s="59">
        <f t="shared" si="34"/>
        <v>232.70925470547317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70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0.35</v>
      </c>
      <c r="Z33" s="21">
        <f>EXP(-LN(2)/35)*Z32+(1-EXP(-LN(2)/35))/(LN(2)/35)*V33*W33*VLOOKUP('Données projet'!$B$9,Paramètres!$A$1:$I$89,3,0)*0.475*44/12</f>
        <v>4.7804076716219273</v>
      </c>
      <c r="AA33" s="21">
        <f>EXP(-LN(2)/25)*AA32+(1-EXP(-LN(2)/25))/(LN(2)/25)*Calculateur!V33*Calculateur!X33*VLOOKUP('Données projet'!$B$9,Paramètres!$A$1:$I$89,3,0)*0.475*44/12</f>
        <v>10.713567116566411</v>
      </c>
      <c r="AB33" s="21">
        <f>EXP(-LN(2)/2)*AB32+(1-EXP(-LN(2)/2))/(LN(2)/2)*V33*Y33*VLOOKUP('Données projet'!$B$9,Paramètres!$A$1:$I$89,3,0)*0.475*44/12</f>
        <v>12.982175523438457</v>
      </c>
      <c r="AC33" s="22">
        <f t="shared" si="3"/>
        <v>28.476150311626796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3.6</v>
      </c>
      <c r="AH33" s="12">
        <f t="array" ref="AH33">INDEX(AG:AG,MIN(IF(ISNUMBER(AG33:AG229),ROW(AG33:AG229),"")))</f>
        <v>3.6</v>
      </c>
      <c r="AI33" s="13">
        <f>IF('Données projet'!$A$62&gt;35,AI32+AH33-AQ32,IF(A33&lt;'Données projet'!$A$62,$AF$205^A33,IF(A33='Données projet'!$A$62,'Données projet'!$B$62,AI32+AH33-AQ32)))</f>
        <v>120.99999999999997</v>
      </c>
      <c r="AJ33" s="13">
        <f>AI33*VLOOKUP('Données projet'!$B$10,Paramètres!$A$1:$I$89,3,0)*VLOOKUP('Données projet'!$B$10,Paramètres!$A$1:$I$89,5,0)</f>
        <v>122.69399999999997</v>
      </c>
      <c r="AK33" s="13">
        <f t="shared" si="35"/>
        <v>32.302516360650685</v>
      </c>
      <c r="AL33" s="20">
        <f t="shared" si="4"/>
        <v>269.95226599479992</v>
      </c>
      <c r="AM33" s="59">
        <f t="shared" si="5"/>
        <v>509.05969092784187</v>
      </c>
      <c r="AN33" s="59">
        <f ca="1">AVERAGE(OFFSET($AM$3,0,0,'Données projet'!$E$10+1,1))-AVERAGE(OFFSET($H$3,0,0,'Données projet'!$E$10+1,1))</f>
        <v>542.51810435067659</v>
      </c>
      <c r="AO33" s="59">
        <f t="shared" si="36"/>
        <v>325.7263575945085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3.6</v>
      </c>
      <c r="BC33" s="12">
        <f t="array" ref="BC33">INDEX(BB:BB,MIN(IF(ISNUMBER(BB33:BB229),ROW(BB33:BB229),"")))</f>
        <v>3.6</v>
      </c>
      <c r="BD33" s="12">
        <f>IF('Données projet'!$A$88&gt;35,BD32+BC33-BL32,IF(A33&lt;'Données projet'!$A$88,$BA$205^A33,IF(A33='Données projet'!$A$88,'Données projet'!$B$88,BD32+BC33-BL32)))</f>
        <v>120.99999999999997</v>
      </c>
      <c r="BE33" s="13">
        <f>BD33*VLOOKUP('Données projet'!$B$11,Paramètres!$A$1:$I$89,3,0)*VLOOKUP('Données projet'!$B$11,Paramètres!$A$1:$I$89,5,0)</f>
        <v>109.48079999999997</v>
      </c>
      <c r="BF33" s="13">
        <f t="shared" si="37"/>
        <v>29.208623339903898</v>
      </c>
      <c r="BG33" s="20">
        <f t="shared" si="7"/>
        <v>241.55074565033257</v>
      </c>
      <c r="BH33" s="59">
        <f t="shared" si="8"/>
        <v>480.65817058337456</v>
      </c>
      <c r="BI33" s="59">
        <f ca="1">AVERAGE(OFFSET($BH$3,0,0,'Données projet'!$E$11+1,1))-AVERAGE(OFFSET($H$3,0,0,'Données projet'!$E$11+1,1))</f>
        <v>492.39485179035256</v>
      </c>
      <c r="BJ33" s="59">
        <f t="shared" si="38"/>
        <v>297.32483725004124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51.386399999999988</v>
      </c>
      <c r="CA33" s="13">
        <f t="shared" si="39"/>
        <v>14.971231585009825</v>
      </c>
      <c r="CB33" s="20">
        <f t="shared" si="10"/>
        <v>115.57287501055875</v>
      </c>
      <c r="CC33" s="59">
        <f t="shared" si="11"/>
        <v>354.68029994360074</v>
      </c>
      <c r="CD33" s="59">
        <f ca="1">AVERAGE(OFFSET($CC$3,0,0,'Données projet'!$E$12+1,1))-AVERAGE(OFFSET($H$3,0,0,'Données projet'!$E$12+1,1))</f>
        <v>260.51631161522039</v>
      </c>
      <c r="CE33" s="59">
        <f t="shared" si="40"/>
        <v>171.3469666102674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110</v>
      </c>
      <c r="O34" s="13">
        <f>N34*VLOOKUP('Données projet'!$B$9,Paramètres!$A$1:$I$89,3,0)*VLOOKUP('Données projet'!$B$9,Paramètres!$A$1:$I$89,5,0)</f>
        <v>51.480000000000004</v>
      </c>
      <c r="P34" s="13">
        <f t="shared" si="33"/>
        <v>14.995324806875232</v>
      </c>
      <c r="Q34" s="20">
        <f t="shared" si="2"/>
        <v>115.77785737197435</v>
      </c>
      <c r="R34" s="59">
        <f t="shared" si="0"/>
        <v>355.82598058479192</v>
      </c>
      <c r="S34" s="59">
        <f ca="1">AVERAGE(OFFSET($R$3,0,0,'Données projet'!$E$9+1,1))-AVERAGE(OFFSET($H$3,0,0,'Données projet'!$E$9+1,1))</f>
        <v>167.82976403567059</v>
      </c>
      <c r="T34" s="59">
        <f t="shared" si="34"/>
        <v>232.70925470547317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4.6866667929421935</v>
      </c>
      <c r="AA34" s="21">
        <f>EXP(-LN(2)/25)*AA33+(1-EXP(-LN(2)/25))/(LN(2)/25)*Calculateur!V34*Calculateur!X34*VLOOKUP('Données projet'!$B$9,Paramètres!$A$1:$I$89,3,0)*0.475*44/12</f>
        <v>10.420604060361894</v>
      </c>
      <c r="AB34" s="21">
        <f>EXP(-LN(2)/2)*AB33+(1-EXP(-LN(2)/2))/(LN(2)/2)*V34*Y34*VLOOKUP('Données projet'!$B$9,Paramètres!$A$1:$I$89,3,0)*0.475*44/12</f>
        <v>9.1797843471773497</v>
      </c>
      <c r="AC34" s="22">
        <f t="shared" si="3"/>
        <v>24.287055200481436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103.79999999999998</v>
      </c>
      <c r="AJ34" s="13">
        <f>AI34*VLOOKUP('Données projet'!$B$10,Paramètres!$A$1:$I$89,3,0)*VLOOKUP('Données projet'!$B$10,Paramètres!$A$1:$I$89,5,0)</f>
        <v>105.25319999999998</v>
      </c>
      <c r="AK34" s="13">
        <f t="shared" si="35"/>
        <v>28.209746498519397</v>
      </c>
      <c r="AL34" s="20">
        <f t="shared" si="4"/>
        <v>232.44796515158791</v>
      </c>
      <c r="AM34" s="59">
        <f t="shared" si="5"/>
        <v>472.49608836440547</v>
      </c>
      <c r="AN34" s="59">
        <f ca="1">AVERAGE(OFFSET($AM$3,0,0,'Données projet'!$E$10+1,1))-AVERAGE(OFFSET($H$3,0,0,'Données projet'!$E$10+1,1))</f>
        <v>542.51810435067659</v>
      </c>
      <c r="AO34" s="59">
        <f t="shared" si="36"/>
        <v>325.7263575945085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103.79999999999998</v>
      </c>
      <c r="BE34" s="13">
        <f>BD34*VLOOKUP('Données projet'!$B$11,Paramètres!$A$1:$I$89,3,0)*VLOOKUP('Données projet'!$B$11,Paramètres!$A$1:$I$89,5,0)</f>
        <v>93.918239999999983</v>
      </c>
      <c r="BF34" s="13">
        <f t="shared" si="37"/>
        <v>25.507853654185997</v>
      </c>
      <c r="BG34" s="20">
        <f t="shared" si="7"/>
        <v>208.00044644770722</v>
      </c>
      <c r="BH34" s="59">
        <f t="shared" si="8"/>
        <v>448.04856966052478</v>
      </c>
      <c r="BI34" s="59">
        <f ca="1">AVERAGE(OFFSET($BH$3,0,0,'Données projet'!$E$11+1,1))-AVERAGE(OFFSET($H$3,0,0,'Données projet'!$E$11+1,1))</f>
        <v>492.39485179035256</v>
      </c>
      <c r="BJ34" s="59">
        <f t="shared" si="38"/>
        <v>297.32483725004124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</v>
      </c>
      <c r="BY34" s="12">
        <f>IF('Données projet'!$A$114&gt;35,BY33+BX34-CG33,IF(A34&lt;'Données projet'!$A$114,$BV$205^A34,IF(A34='Données projet'!$A$114,'Données projet'!$B$114,BY33+BX34-CG33)))</f>
        <v>58.999999999999986</v>
      </c>
      <c r="BZ34" s="13">
        <f>BY34*VLOOKUP('Données projet'!$B$12,Paramètres!$A$1:$I$89,3,0)*VLOOKUP('Données projet'!$B$12,Paramètres!$A$1:$I$89,5,0)</f>
        <v>56.144399999999983</v>
      </c>
      <c r="CA34" s="13">
        <f t="shared" si="39"/>
        <v>16.189716344887636</v>
      </c>
      <c r="CB34" s="20">
        <f t="shared" si="10"/>
        <v>125.98191930067928</v>
      </c>
      <c r="CC34" s="59">
        <f t="shared" si="11"/>
        <v>366.03004251349682</v>
      </c>
      <c r="CD34" s="59">
        <f ca="1">AVERAGE(OFFSET($CC$3,0,0,'Données projet'!$E$12+1,1))-AVERAGE(OFFSET($H$3,0,0,'Données projet'!$E$12+1,1))</f>
        <v>260.51631161522039</v>
      </c>
      <c r="CE34" s="59">
        <f t="shared" si="40"/>
        <v>171.3469666102674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120</v>
      </c>
      <c r="O35" s="13">
        <f>N35*VLOOKUP('Données projet'!$B$9,Paramètres!$A$1:$I$89,3,0)*VLOOKUP('Données projet'!$B$9,Paramètres!$A$1:$I$89,5,0)</f>
        <v>56.16</v>
      </c>
      <c r="P35" s="13">
        <f t="shared" si="33"/>
        <v>16.193691060657031</v>
      </c>
      <c r="Q35" s="20">
        <f t="shared" ref="Q35:Q66" si="53">(O35+P35)*0.475*44/12</f>
        <v>126.01601193064431</v>
      </c>
      <c r="R35" s="59">
        <f t="shared" si="0"/>
        <v>366.9885144111696</v>
      </c>
      <c r="S35" s="59">
        <f ca="1">AVERAGE(OFFSET($R$3,0,0,'Données projet'!$E$9+1,1))-AVERAGE(OFFSET($H$3,0,0,'Données projet'!$E$9+1,1))</f>
        <v>167.82976403567059</v>
      </c>
      <c r="T35" s="59">
        <f t="shared" si="34"/>
        <v>232.70925470547317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4.5947641157170791</v>
      </c>
      <c r="AA35" s="21">
        <f>EXP(-LN(2)/25)*AA34+(1-EXP(-LN(2)/25))/(LN(2)/25)*Calculateur!V35*Calculateur!X35*VLOOKUP('Données projet'!$B$9,Paramètres!$A$1:$I$89,3,0)*0.475*44/12</f>
        <v>10.135652094335548</v>
      </c>
      <c r="AB35" s="21">
        <f>EXP(-LN(2)/2)*AB34+(1-EXP(-LN(2)/2))/(LN(2)/2)*V35*Y35*VLOOKUP('Données projet'!$B$9,Paramètres!$A$1:$I$89,3,0)*0.475*44/12</f>
        <v>6.4910877617192284</v>
      </c>
      <c r="AC35" s="22">
        <f t="shared" si="3"/>
        <v>21.221503971771856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114.59999999999998</v>
      </c>
      <c r="AJ35" s="13">
        <f>AI35*VLOOKUP('Données projet'!$B$10,Paramètres!$A$1:$I$89,3,0)*VLOOKUP('Données projet'!$B$10,Paramètres!$A$1:$I$89,5,0)</f>
        <v>116.20439999999999</v>
      </c>
      <c r="AK35" s="13">
        <f t="shared" si="35"/>
        <v>30.788088768016376</v>
      </c>
      <c r="AL35" s="20">
        <f t="shared" si="4"/>
        <v>256.01191793762843</v>
      </c>
      <c r="AM35" s="59">
        <f t="shared" si="5"/>
        <v>496.98442041815372</v>
      </c>
      <c r="AN35" s="59">
        <f ca="1">AVERAGE(OFFSET($AM$3,0,0,'Données projet'!$E$10+1,1))-AVERAGE(OFFSET($H$3,0,0,'Données projet'!$E$10+1,1))</f>
        <v>542.51810435067659</v>
      </c>
      <c r="AO35" s="59">
        <f t="shared" si="36"/>
        <v>325.7263575945085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114.59999999999998</v>
      </c>
      <c r="BE35" s="13">
        <f>BD35*VLOOKUP('Données projet'!$B$11,Paramètres!$A$1:$I$89,3,0)*VLOOKUP('Données projet'!$B$11,Paramètres!$A$1:$I$89,5,0)</f>
        <v>103.69007999999998</v>
      </c>
      <c r="BF35" s="13">
        <f t="shared" si="37"/>
        <v>27.83924565319537</v>
      </c>
      <c r="BG35" s="20">
        <f t="shared" si="7"/>
        <v>229.08024217931521</v>
      </c>
      <c r="BH35" s="59">
        <f t="shared" si="8"/>
        <v>470.05274465984053</v>
      </c>
      <c r="BI35" s="59">
        <f ca="1">AVERAGE(OFFSET($BH$3,0,0,'Données projet'!$E$11+1,1))-AVERAGE(OFFSET($H$3,0,0,'Données projet'!$E$11+1,1))</f>
        <v>492.39485179035256</v>
      </c>
      <c r="BJ35" s="59">
        <f t="shared" si="38"/>
        <v>297.32483725004124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</v>
      </c>
      <c r="BY35" s="12">
        <f>IF('Données projet'!$A$114&gt;35,BY34+BX35-CG34,IF(A35&lt;'Données projet'!$A$114,$BV$205^A35,IF(A35='Données projet'!$A$114,'Données projet'!$B$114,BY34+BX35-CG34)))</f>
        <v>63.999999999999986</v>
      </c>
      <c r="BZ35" s="13">
        <f>BY35*VLOOKUP('Données projet'!$B$12,Paramètres!$A$1:$I$89,3,0)*VLOOKUP('Données projet'!$B$12,Paramètres!$A$1:$I$89,5,0)</f>
        <v>60.902399999999993</v>
      </c>
      <c r="CA35" s="13">
        <f t="shared" si="39"/>
        <v>17.396225443744882</v>
      </c>
      <c r="CB35" s="20">
        <f t="shared" si="10"/>
        <v>136.37010598118897</v>
      </c>
      <c r="CC35" s="59">
        <f t="shared" si="11"/>
        <v>377.34260846171429</v>
      </c>
      <c r="CD35" s="59">
        <f ca="1">AVERAGE(OFFSET($CC$3,0,0,'Données projet'!$E$12+1,1))-AVERAGE(OFFSET($H$3,0,0,'Données projet'!$E$12+1,1))</f>
        <v>260.51631161522039</v>
      </c>
      <c r="CE35" s="59">
        <f t="shared" si="40"/>
        <v>171.3469666102674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130</v>
      </c>
      <c r="O36" s="13">
        <f>N36*VLOOKUP('Données projet'!$B$9,Paramètres!$A$1:$I$89,3,0)*VLOOKUP('Données projet'!$B$9,Paramètres!$A$1:$I$89,5,0)</f>
        <v>60.839999999999996</v>
      </c>
      <c r="P36" s="13">
        <f t="shared" si="33"/>
        <v>17.380475216531455</v>
      </c>
      <c r="Q36" s="20">
        <f t="shared" si="53"/>
        <v>136.23399433545893</v>
      </c>
      <c r="R36" s="59">
        <f t="shared" si="0"/>
        <v>378.11484016999964</v>
      </c>
      <c r="S36" s="59">
        <f ca="1">AVERAGE(OFFSET($R$3,0,0,'Données projet'!$E$9+1,1))-AVERAGE(OFFSET($H$3,0,0,'Données projet'!$E$9+1,1))</f>
        <v>167.82976403567059</v>
      </c>
      <c r="T36" s="59">
        <f t="shared" si="34"/>
        <v>232.70925470547317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4.5046635939372512</v>
      </c>
      <c r="AA36" s="21">
        <f>EXP(-LN(2)/25)*AA35+(1-EXP(-LN(2)/25))/(LN(2)/25)*Calculateur!V36*Calculateur!X36*VLOOKUP('Données projet'!$B$9,Paramètres!$A$1:$I$89,3,0)*0.475*44/12</f>
        <v>9.8584921548051643</v>
      </c>
      <c r="AB36" s="21">
        <f>EXP(-LN(2)/2)*AB35+(1-EXP(-LN(2)/2))/(LN(2)/2)*V36*Y36*VLOOKUP('Données projet'!$B$9,Paramètres!$A$1:$I$89,3,0)*0.475*44/12</f>
        <v>4.5898921735886749</v>
      </c>
      <c r="AC36" s="22">
        <f t="shared" si="3"/>
        <v>18.953047922331088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125.39999999999998</v>
      </c>
      <c r="AJ36" s="13">
        <f>AI36*VLOOKUP('Données projet'!$B$10,Paramètres!$A$1:$I$89,3,0)*VLOOKUP('Données projet'!$B$10,Paramètres!$A$1:$I$89,5,0)</f>
        <v>127.15559999999999</v>
      </c>
      <c r="AK36" s="13">
        <f t="shared" si="35"/>
        <v>33.338258149231912</v>
      </c>
      <c r="AL36" s="20">
        <f t="shared" si="4"/>
        <v>279.52680294324551</v>
      </c>
      <c r="AM36" s="59">
        <f t="shared" si="5"/>
        <v>521.40764877778622</v>
      </c>
      <c r="AN36" s="59">
        <f ca="1">AVERAGE(OFFSET($AM$3,0,0,'Données projet'!$E$10+1,1))-AVERAGE(OFFSET($H$3,0,0,'Données projet'!$E$10+1,1))</f>
        <v>542.51810435067659</v>
      </c>
      <c r="AO36" s="59">
        <f t="shared" si="36"/>
        <v>325.7263575945085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125.39999999999998</v>
      </c>
      <c r="BE36" s="13">
        <f>BD36*VLOOKUP('Données projet'!$B$11,Paramètres!$A$1:$I$89,3,0)*VLOOKUP('Données projet'!$B$11,Paramètres!$A$1:$I$89,5,0)</f>
        <v>113.46191999999998</v>
      </c>
      <c r="BF36" s="13">
        <f t="shared" si="37"/>
        <v>30.145163126535493</v>
      </c>
      <c r="BG36" s="20">
        <f t="shared" si="7"/>
        <v>250.11566977871595</v>
      </c>
      <c r="BH36" s="59">
        <f t="shared" si="8"/>
        <v>491.99651561325669</v>
      </c>
      <c r="BI36" s="59">
        <f ca="1">AVERAGE(OFFSET($BH$3,0,0,'Données projet'!$E$11+1,1))-AVERAGE(OFFSET($H$3,0,0,'Données projet'!$E$11+1,1))</f>
        <v>492.39485179035256</v>
      </c>
      <c r="BJ36" s="59">
        <f t="shared" si="38"/>
        <v>297.32483725004124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</v>
      </c>
      <c r="BY36" s="12">
        <f>IF('Données projet'!$A$114&gt;35,BY35+BX36-CG35,IF(A36&lt;'Données projet'!$A$114,$BV$205^A36,IF(A36='Données projet'!$A$114,'Données projet'!$B$114,BY35+BX36-CG35)))</f>
        <v>68.999999999999986</v>
      </c>
      <c r="BZ36" s="13">
        <f>BY36*VLOOKUP('Données projet'!$B$12,Paramètres!$A$1:$I$89,3,0)*VLOOKUP('Données projet'!$B$12,Paramètres!$A$1:$I$89,5,0)</f>
        <v>65.660399999999981</v>
      </c>
      <c r="CA36" s="13">
        <f t="shared" si="39"/>
        <v>18.591800852927584</v>
      </c>
      <c r="CB36" s="20">
        <f t="shared" si="10"/>
        <v>146.73924981884883</v>
      </c>
      <c r="CC36" s="59">
        <f t="shared" si="11"/>
        <v>388.62009565338957</v>
      </c>
      <c r="CD36" s="59">
        <f ca="1">AVERAGE(OFFSET($CC$3,0,0,'Données projet'!$E$12+1,1))-AVERAGE(OFFSET($H$3,0,0,'Données projet'!$E$12+1,1))</f>
        <v>260.51631161522039</v>
      </c>
      <c r="CE36" s="59">
        <f t="shared" si="40"/>
        <v>171.3469666102674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140</v>
      </c>
      <c r="O37" s="13">
        <f>N37*VLOOKUP('Données projet'!$B$9,Paramètres!$A$1:$I$89,3,0)*VLOOKUP('Données projet'!$B$9,Paramètres!$A$1:$I$89,5,0)</f>
        <v>65.52</v>
      </c>
      <c r="P37" s="13">
        <f t="shared" si="33"/>
        <v>18.556669503136725</v>
      </c>
      <c r="Q37" s="20">
        <f t="shared" si="53"/>
        <v>146.43353271796309</v>
      </c>
      <c r="R37" s="59">
        <f t="shared" si="0"/>
        <v>389.20696418007867</v>
      </c>
      <c r="S37" s="59">
        <f ca="1">AVERAGE(OFFSET($R$3,0,0,'Données projet'!$E$9+1,1))-AVERAGE(OFFSET($H$3,0,0,'Données projet'!$E$9+1,1))</f>
        <v>167.82976403567059</v>
      </c>
      <c r="T37" s="59">
        <f t="shared" si="34"/>
        <v>232.70925470547317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4.4163298884336335</v>
      </c>
      <c r="AA37" s="21">
        <f>EXP(-LN(2)/25)*AA36+(1-EXP(-LN(2)/25))/(LN(2)/25)*Calculateur!V37*Calculateur!X37*VLOOKUP('Données projet'!$B$9,Paramètres!$A$1:$I$89,3,0)*0.475*44/12</f>
        <v>9.5889111683964465</v>
      </c>
      <c r="AB37" s="21">
        <f>EXP(-LN(2)/2)*AB36+(1-EXP(-LN(2)/2))/(LN(2)/2)*V37*Y37*VLOOKUP('Données projet'!$B$9,Paramètres!$A$1:$I$89,3,0)*0.475*44/12</f>
        <v>3.2455438808596142</v>
      </c>
      <c r="AC37" s="22">
        <f t="shared" si="3"/>
        <v>17.250784937689694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136.19999999999999</v>
      </c>
      <c r="AJ37" s="13">
        <f>AI37*VLOOKUP('Données projet'!$B$10,Paramètres!$A$1:$I$89,3,0)*VLOOKUP('Données projet'!$B$10,Paramètres!$A$1:$I$89,5,0)</f>
        <v>138.10679999999999</v>
      </c>
      <c r="AK37" s="13">
        <f t="shared" si="35"/>
        <v>35.862956890686135</v>
      </c>
      <c r="AL37" s="20">
        <f t="shared" si="4"/>
        <v>302.9973265846117</v>
      </c>
      <c r="AM37" s="59">
        <f t="shared" si="5"/>
        <v>545.77075804672722</v>
      </c>
      <c r="AN37" s="59">
        <f ca="1">AVERAGE(OFFSET($AM$3,0,0,'Données projet'!$E$10+1,1))-AVERAGE(OFFSET($H$3,0,0,'Données projet'!$E$10+1,1))</f>
        <v>542.51810435067659</v>
      </c>
      <c r="AO37" s="59">
        <f t="shared" si="36"/>
        <v>325.7263575945085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136.19999999999999</v>
      </c>
      <c r="BE37" s="13">
        <f>BD37*VLOOKUP('Données projet'!$B$11,Paramètres!$A$1:$I$89,3,0)*VLOOKUP('Données projet'!$B$11,Paramètres!$A$1:$I$89,5,0)</f>
        <v>123.23375999999998</v>
      </c>
      <c r="BF37" s="13">
        <f t="shared" si="37"/>
        <v>32.428049504876462</v>
      </c>
      <c r="BG37" s="20">
        <f t="shared" si="7"/>
        <v>271.11098488765975</v>
      </c>
      <c r="BH37" s="59">
        <f t="shared" si="8"/>
        <v>513.88441634977539</v>
      </c>
      <c r="BI37" s="59">
        <f ca="1">AVERAGE(OFFSET($BH$3,0,0,'Données projet'!$E$11+1,1))-AVERAGE(OFFSET($H$3,0,0,'Données projet'!$E$11+1,1))</f>
        <v>492.39485179035256</v>
      </c>
      <c r="BJ37" s="59">
        <f t="shared" si="38"/>
        <v>297.32483725004124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</v>
      </c>
      <c r="BY37" s="12">
        <f>IF('Données projet'!$A$114&gt;35,BY36+BX37-CG36,IF(A37&lt;'Données projet'!$A$114,$BV$205^A37,IF(A37='Données projet'!$A$114,'Données projet'!$B$114,BY36+BX37-CG36)))</f>
        <v>73.999999999999986</v>
      </c>
      <c r="BZ37" s="13">
        <f>BY37*VLOOKUP('Données projet'!$B$12,Paramètres!$A$1:$I$89,3,0)*VLOOKUP('Données projet'!$B$12,Paramètres!$A$1:$I$89,5,0)</f>
        <v>70.418399999999991</v>
      </c>
      <c r="CA37" s="13">
        <f t="shared" si="39"/>
        <v>19.777324972922738</v>
      </c>
      <c r="CB37" s="20">
        <f t="shared" si="10"/>
        <v>157.09088766117375</v>
      </c>
      <c r="CC37" s="59">
        <f t="shared" si="11"/>
        <v>399.86431912328931</v>
      </c>
      <c r="CD37" s="59">
        <f ca="1">AVERAGE(OFFSET($CC$3,0,0,'Données projet'!$E$12+1,1))-AVERAGE(OFFSET($H$3,0,0,'Données projet'!$E$12+1,1))</f>
        <v>260.51631161522039</v>
      </c>
      <c r="CE37" s="59">
        <f t="shared" si="40"/>
        <v>171.3469666102674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150</v>
      </c>
      <c r="O38" s="13">
        <f>N38*VLOOKUP('Données projet'!$B$9,Paramètres!$A$1:$I$89,3,0)*VLOOKUP('Données projet'!$B$9,Paramètres!$A$1:$I$89,5,0)</f>
        <v>70.2</v>
      </c>
      <c r="P38" s="13">
        <f t="shared" si="33"/>
        <v>19.723116370112194</v>
      </c>
      <c r="Q38" s="20">
        <f t="shared" si="53"/>
        <v>156.61609434461207</v>
      </c>
      <c r="R38" s="59">
        <f t="shared" si="0"/>
        <v>400.2666270691866</v>
      </c>
      <c r="S38" s="59">
        <f ca="1">AVERAGE(OFFSET($R$3,0,0,'Données projet'!$E$9+1,1))-AVERAGE(OFFSET($H$3,0,0,'Données projet'!$E$9+1,1))</f>
        <v>167.82976403567059</v>
      </c>
      <c r="T38" s="59">
        <f t="shared" si="34"/>
        <v>232.70925470547317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4.3297283530167014</v>
      </c>
      <c r="AA38" s="21">
        <f>EXP(-LN(2)/25)*AA37+(1-EXP(-LN(2)/25))/(LN(2)/25)*Calculateur!V38*Calculateur!X38*VLOOKUP('Données projet'!$B$9,Paramètres!$A$1:$I$89,3,0)*0.475*44/12</f>
        <v>9.3267018882377233</v>
      </c>
      <c r="AB38" s="21">
        <f>EXP(-LN(2)/2)*AB37+(1-EXP(-LN(2)/2))/(LN(2)/2)*V38*Y38*VLOOKUP('Données projet'!$B$9,Paramètres!$A$1:$I$89,3,0)*0.475*44/12</f>
        <v>2.2949460867943374</v>
      </c>
      <c r="AC38" s="22">
        <f t="shared" si="3"/>
        <v>15.951376328048763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</v>
      </c>
      <c r="AJ38" s="13">
        <f>AI38*VLOOKUP('Données projet'!$B$10,Paramètres!$A$1:$I$89,3,0)*VLOOKUP('Données projet'!$B$10,Paramètres!$A$1:$I$89,5,0)</f>
        <v>149.05799999999999</v>
      </c>
      <c r="AK38" s="13">
        <f t="shared" si="35"/>
        <v>38.364434314370335</v>
      </c>
      <c r="AL38" s="20">
        <f t="shared" si="4"/>
        <v>326.42740643086165</v>
      </c>
      <c r="AM38" s="59">
        <f t="shared" si="5"/>
        <v>570.07793915543618</v>
      </c>
      <c r="AN38" s="59">
        <f ca="1">AVERAGE(OFFSET($AM$3,0,0,'Données projet'!$E$10+1,1))-AVERAGE(OFFSET($H$3,0,0,'Données projet'!$E$10+1,1))</f>
        <v>542.51810435067659</v>
      </c>
      <c r="AO38" s="59">
        <f t="shared" si="36"/>
        <v>325.7263575945085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</v>
      </c>
      <c r="BE38" s="13">
        <f>BD38*VLOOKUP('Données projet'!$B$11,Paramètres!$A$1:$I$89,3,0)*VLOOKUP('Données projet'!$B$11,Paramètres!$A$1:$I$89,5,0)</f>
        <v>133.00559999999999</v>
      </c>
      <c r="BF38" s="13">
        <f t="shared" si="37"/>
        <v>34.689938673073549</v>
      </c>
      <c r="BG38" s="20">
        <f t="shared" si="7"/>
        <v>292.06972985560304</v>
      </c>
      <c r="BH38" s="59">
        <f t="shared" si="8"/>
        <v>535.72026258017752</v>
      </c>
      <c r="BI38" s="59">
        <f ca="1">AVERAGE(OFFSET($BH$3,0,0,'Données projet'!$E$11+1,1))-AVERAGE(OFFSET($H$3,0,0,'Données projet'!$E$11+1,1))</f>
        <v>492.39485179035256</v>
      </c>
      <c r="BJ38" s="59">
        <f t="shared" si="38"/>
        <v>297.32483725004124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79</v>
      </c>
      <c r="BW38" s="12">
        <f>VLOOKUP(A38,'Données projet'!$A$113:$I$133,9,0)</f>
        <v>5</v>
      </c>
      <c r="BX38" s="12">
        <f t="array" ref="BX38">INDEX(BW:BW,MIN(IF(ISNUMBER(BW38:BW234),ROW(BW38:BW234),"")))</f>
        <v>5</v>
      </c>
      <c r="BY38" s="12">
        <f>IF('Données projet'!$A$114&gt;35,BY37+BX38-CG37,IF(A38&lt;'Données projet'!$A$114,$BV$205^A38,IF(A38='Données projet'!$A$114,'Données projet'!$B$114,BY37+BX38-CG37)))</f>
        <v>78.999999999999986</v>
      </c>
      <c r="BZ38" s="13">
        <f>BY38*VLOOKUP('Données projet'!$B$12,Paramètres!$A$1:$I$89,3,0)*VLOOKUP('Données projet'!$B$12,Paramètres!$A$1:$I$89,5,0)</f>
        <v>75.176399999999987</v>
      </c>
      <c r="CA38" s="13">
        <f t="shared" si="39"/>
        <v>20.95355421300528</v>
      </c>
      <c r="CB38" s="20">
        <f t="shared" si="10"/>
        <v>167.42633692098417</v>
      </c>
      <c r="CC38" s="59">
        <f t="shared" si="11"/>
        <v>411.07686964555865</v>
      </c>
      <c r="CD38" s="59">
        <f ca="1">AVERAGE(OFFSET($CC$3,0,0,'Données projet'!$E$12+1,1))-AVERAGE(OFFSET($H$3,0,0,'Données projet'!$E$12+1,1))</f>
        <v>260.51631161522039</v>
      </c>
      <c r="CE38" s="59">
        <f t="shared" si="40"/>
        <v>171.3469666102674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13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160</v>
      </c>
      <c r="O39" s="13">
        <f>N39*VLOOKUP('Données projet'!$B$9,Paramètres!$A$1:$I$89,3,0)*VLOOKUP('Données projet'!$B$9,Paramètres!$A$1:$I$89,5,0)</f>
        <v>74.88</v>
      </c>
      <c r="P39" s="13">
        <f t="shared" si="33"/>
        <v>20.880539585643231</v>
      </c>
      <c r="Q39" s="20">
        <f t="shared" si="53"/>
        <v>166.78293977832863</v>
      </c>
      <c r="R39" s="59">
        <f t="shared" si="0"/>
        <v>411.29535801936305</v>
      </c>
      <c r="S39" s="59">
        <f ca="1">AVERAGE(OFFSET($R$3,0,0,'Données projet'!$E$9+1,1))-AVERAGE(OFFSET($H$3,0,0,'Données projet'!$E$9+1,1))</f>
        <v>167.82976403567059</v>
      </c>
      <c r="T39" s="59">
        <f t="shared" si="34"/>
        <v>232.70925470547317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4.2448250208875749</v>
      </c>
      <c r="AA39" s="21">
        <f>EXP(-LN(2)/25)*AA38+(1-EXP(-LN(2)/25))/(LN(2)/25)*Calculateur!V39*Calculateur!X39*VLOOKUP('Données projet'!$B$9,Paramètres!$A$1:$I$89,3,0)*0.475*44/12</f>
        <v>9.0716627346339269</v>
      </c>
      <c r="AB39" s="21">
        <f>EXP(-LN(2)/2)*AB38+(1-EXP(-LN(2)/2))/(LN(2)/2)*V39*Y39*VLOOKUP('Données projet'!$B$9,Paramètres!$A$1:$I$89,3,0)*0.475*44/12</f>
        <v>1.6227719404298071</v>
      </c>
      <c r="AC39" s="22">
        <f t="shared" si="3"/>
        <v>14.939259695951309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130.19999999999999</v>
      </c>
      <c r="AJ39" s="13">
        <f>AI39*VLOOKUP('Données projet'!$B$10,Paramètres!$A$1:$I$89,3,0)*VLOOKUP('Données projet'!$B$10,Paramètres!$A$1:$I$89,5,0)</f>
        <v>132.02279999999999</v>
      </c>
      <c r="AK39" s="13">
        <f t="shared" si="35"/>
        <v>34.463348169992798</v>
      </c>
      <c r="AL39" s="20">
        <f t="shared" si="4"/>
        <v>289.96337472940411</v>
      </c>
      <c r="AM39" s="59">
        <f t="shared" si="5"/>
        <v>534.47579297043853</v>
      </c>
      <c r="AN39" s="59">
        <f ca="1">AVERAGE(OFFSET($AM$3,0,0,'Données projet'!$E$10+1,1))-AVERAGE(OFFSET($H$3,0,0,'Données projet'!$E$10+1,1))</f>
        <v>542.51810435067659</v>
      </c>
      <c r="AO39" s="59">
        <f t="shared" si="36"/>
        <v>325.7263575945085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130.19999999999999</v>
      </c>
      <c r="BE39" s="13">
        <f>BD39*VLOOKUP('Données projet'!$B$11,Paramètres!$A$1:$I$89,3,0)*VLOOKUP('Données projet'!$B$11,Paramètres!$A$1:$I$89,5,0)</f>
        <v>117.80495999999999</v>
      </c>
      <c r="BF39" s="13">
        <f t="shared" si="37"/>
        <v>31.162493487829593</v>
      </c>
      <c r="BG39" s="20">
        <f t="shared" si="7"/>
        <v>259.45164815796983</v>
      </c>
      <c r="BH39" s="59">
        <f t="shared" si="8"/>
        <v>503.96406639900425</v>
      </c>
      <c r="BI39" s="59">
        <f ca="1">AVERAGE(OFFSET($BH$3,0,0,'Données projet'!$E$11+1,1))-AVERAGE(OFFSET($H$3,0,0,'Données projet'!$E$11+1,1))</f>
        <v>492.39485179035256</v>
      </c>
      <c r="BJ39" s="59">
        <f t="shared" si="38"/>
        <v>297.32483725004124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5.4</v>
      </c>
      <c r="BY39" s="12">
        <f>IF('Données projet'!$A$114&gt;35,BY38+BX39-CG38,IF(A39&lt;'Données projet'!$A$114,$BV$205^A39,IF(A39='Données projet'!$A$114,'Données projet'!$B$114,BY38+BX39-CG38)))</f>
        <v>71.399999999999991</v>
      </c>
      <c r="BZ39" s="13">
        <f>BY39*VLOOKUP('Données projet'!$B$12,Paramètres!$A$1:$I$89,3,0)*VLOOKUP('Données projet'!$B$12,Paramètres!$A$1:$I$89,5,0)</f>
        <v>67.944239999999994</v>
      </c>
      <c r="CA39" s="13">
        <f t="shared" si="39"/>
        <v>19.162057636242221</v>
      </c>
      <c r="CB39" s="20">
        <f t="shared" si="10"/>
        <v>151.71013504978851</v>
      </c>
      <c r="CC39" s="59">
        <f t="shared" si="11"/>
        <v>396.22255329082293</v>
      </c>
      <c r="CD39" s="59">
        <f ca="1">AVERAGE(OFFSET($CC$3,0,0,'Données projet'!$E$12+1,1))-AVERAGE(OFFSET($H$3,0,0,'Données projet'!$E$12+1,1))</f>
        <v>260.51631161522039</v>
      </c>
      <c r="CE39" s="59">
        <f t="shared" si="40"/>
        <v>171.3469666102674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79.56</v>
      </c>
      <c r="P40" s="13">
        <f t="shared" si="33"/>
        <v>22.029567333453311</v>
      </c>
      <c r="Q40" s="20">
        <f t="shared" si="53"/>
        <v>176.93516310576453</v>
      </c>
      <c r="R40" s="59">
        <f t="shared" si="0"/>
        <v>422.29451507643563</v>
      </c>
      <c r="S40" s="59">
        <f ca="1">AVERAGE(OFFSET($R$3,0,0,'Données projet'!$E$9+1,1))-AVERAGE(OFFSET($H$3,0,0,'Données projet'!$E$9+1,1))</f>
        <v>167.82976403567059</v>
      </c>
      <c r="T40" s="59">
        <f t="shared" si="34"/>
        <v>232.70925470547317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4.1615865913155812</v>
      </c>
      <c r="AA40" s="21">
        <f>EXP(-LN(2)/25)*AA39+(1-EXP(-LN(2)/25))/(LN(2)/25)*Calculateur!V40*Calculateur!X40*VLOOKUP('Données projet'!$B$9,Paramètres!$A$1:$I$89,3,0)*0.475*44/12</f>
        <v>8.8235976400973524</v>
      </c>
      <c r="AB40" s="21">
        <f>EXP(-LN(2)/2)*AB39+(1-EXP(-LN(2)/2))/(LN(2)/2)*V40*Y40*VLOOKUP('Données projet'!$B$9,Paramètres!$A$1:$I$89,3,0)*0.475*44/12</f>
        <v>1.1474730433971687</v>
      </c>
      <c r="AC40" s="22">
        <f t="shared" si="3"/>
        <v>14.132657274810102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141.39999999999998</v>
      </c>
      <c r="AJ40" s="13">
        <f>AI40*VLOOKUP('Données projet'!$B$10,Paramètres!$A$1:$I$89,3,0)*VLOOKUP('Données projet'!$B$10,Paramètres!$A$1:$I$89,5,0)</f>
        <v>143.37959999999998</v>
      </c>
      <c r="AK40" s="13">
        <f t="shared" si="35"/>
        <v>37.070146308317469</v>
      </c>
      <c r="AL40" s="20">
        <f t="shared" si="4"/>
        <v>314.28330815365291</v>
      </c>
      <c r="AM40" s="59">
        <f t="shared" si="5"/>
        <v>559.64266012432404</v>
      </c>
      <c r="AN40" s="59">
        <f ca="1">AVERAGE(OFFSET($AM$3,0,0,'Données projet'!$E$10+1,1))-AVERAGE(OFFSET($H$3,0,0,'Données projet'!$E$10+1,1))</f>
        <v>542.51810435067659</v>
      </c>
      <c r="AO40" s="59">
        <f t="shared" si="36"/>
        <v>325.7263575945085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141.39999999999998</v>
      </c>
      <c r="BE40" s="13">
        <f>BD40*VLOOKUP('Données projet'!$B$11,Paramètres!$A$1:$I$89,3,0)*VLOOKUP('Données projet'!$B$11,Paramètres!$A$1:$I$89,5,0)</f>
        <v>127.93871999999999</v>
      </c>
      <c r="BF40" s="13">
        <f t="shared" si="37"/>
        <v>33.519615889545641</v>
      </c>
      <c r="BG40" s="20">
        <f t="shared" si="7"/>
        <v>281.2066016742919</v>
      </c>
      <c r="BH40" s="59">
        <f t="shared" si="8"/>
        <v>526.56595364496297</v>
      </c>
      <c r="BI40" s="59">
        <f ca="1">AVERAGE(OFFSET($BH$3,0,0,'Données projet'!$E$11+1,1))-AVERAGE(OFFSET($H$3,0,0,'Données projet'!$E$11+1,1))</f>
        <v>492.39485179035256</v>
      </c>
      <c r="BJ40" s="59">
        <f t="shared" si="38"/>
        <v>297.32483725004124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5.4</v>
      </c>
      <c r="BY40" s="12">
        <f>IF('Données projet'!$A$114&gt;35,BY39+BX40-CG39,IF(A40&lt;'Données projet'!$A$114,$BV$205^A40,IF(A40='Données projet'!$A$114,'Données projet'!$B$114,BY39+BX40-CG39)))</f>
        <v>76.8</v>
      </c>
      <c r="BZ40" s="13">
        <f>BY40*VLOOKUP('Données projet'!$B$12,Paramètres!$A$1:$I$89,3,0)*VLOOKUP('Données projet'!$B$12,Paramètres!$A$1:$I$89,5,0)</f>
        <v>73.082880000000003</v>
      </c>
      <c r="CA40" s="13">
        <f t="shared" si="39"/>
        <v>20.437114411232702</v>
      </c>
      <c r="CB40" s="20">
        <f t="shared" si="10"/>
        <v>162.88065693289695</v>
      </c>
      <c r="CC40" s="59">
        <f t="shared" si="11"/>
        <v>408.24000890356808</v>
      </c>
      <c r="CD40" s="59">
        <f ca="1">AVERAGE(OFFSET($CC$3,0,0,'Données projet'!$E$12+1,1))-AVERAGE(OFFSET($H$3,0,0,'Données projet'!$E$12+1,1))</f>
        <v>260.51631161522039</v>
      </c>
      <c r="CE40" s="59">
        <f t="shared" si="40"/>
        <v>171.3469666102674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180</v>
      </c>
      <c r="O41" s="13">
        <f>N41*VLOOKUP('Données projet'!$B$9,Paramètres!$A$1:$I$89,3,0)*VLOOKUP('Données projet'!$B$9,Paramètres!$A$1:$I$89,5,0)</f>
        <v>84.24</v>
      </c>
      <c r="P41" s="13">
        <f t="shared" si="33"/>
        <v>23.170749718409468</v>
      </c>
      <c r="Q41" s="20">
        <f t="shared" si="53"/>
        <v>187.07372242622981</v>
      </c>
      <c r="R41" s="59">
        <f t="shared" si="0"/>
        <v>433.26531571978853</v>
      </c>
      <c r="S41" s="59">
        <f ca="1">AVERAGE(OFFSET($R$3,0,0,'Données projet'!$E$9+1,1))-AVERAGE(OFFSET($H$3,0,0,'Données projet'!$E$9+1,1))</f>
        <v>167.82976403567059</v>
      </c>
      <c r="T41" s="59">
        <f t="shared" si="34"/>
        <v>232.70925470547317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4.0799804165770652</v>
      </c>
      <c r="AA41" s="21">
        <f>EXP(-LN(2)/25)*AA40+(1-EXP(-LN(2)/25))/(LN(2)/25)*Calculateur!V41*Calculateur!X41*VLOOKUP('Données projet'!$B$9,Paramètres!$A$1:$I$89,3,0)*0.475*44/12</f>
        <v>8.5823158986160575</v>
      </c>
      <c r="AB41" s="21">
        <f>EXP(-LN(2)/2)*AB40+(1-EXP(-LN(2)/2))/(LN(2)/2)*V41*Y41*VLOOKUP('Données projet'!$B$9,Paramètres!$A$1:$I$89,3,0)*0.475*44/12</f>
        <v>0.81138597021490355</v>
      </c>
      <c r="AC41" s="22">
        <f t="shared" si="3"/>
        <v>13.473682285408026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152.59999999999997</v>
      </c>
      <c r="AJ41" s="13">
        <f>AI41*VLOOKUP('Données projet'!$B$10,Paramètres!$A$1:$I$89,3,0)*VLOOKUP('Données projet'!$B$10,Paramètres!$A$1:$I$89,5,0)</f>
        <v>154.73639999999997</v>
      </c>
      <c r="AK41" s="13">
        <f t="shared" si="35"/>
        <v>39.652994320183666</v>
      </c>
      <c r="AL41" s="20">
        <f t="shared" si="4"/>
        <v>338.56152844098648</v>
      </c>
      <c r="AM41" s="59">
        <f t="shared" si="5"/>
        <v>584.75312173454518</v>
      </c>
      <c r="AN41" s="59">
        <f ca="1">AVERAGE(OFFSET($AM$3,0,0,'Données projet'!$E$10+1,1))-AVERAGE(OFFSET($H$3,0,0,'Données projet'!$E$10+1,1))</f>
        <v>542.51810435067659</v>
      </c>
      <c r="AO41" s="59">
        <f t="shared" si="36"/>
        <v>325.7263575945085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152.59999999999997</v>
      </c>
      <c r="BE41" s="13">
        <f>BD41*VLOOKUP('Données projet'!$B$11,Paramètres!$A$1:$I$89,3,0)*VLOOKUP('Données projet'!$B$11,Paramètres!$A$1:$I$89,5,0)</f>
        <v>138.07247999999996</v>
      </c>
      <c r="BF41" s="13">
        <f t="shared" si="37"/>
        <v>35.855082076777961</v>
      </c>
      <c r="BG41" s="20">
        <f t="shared" si="7"/>
        <v>302.92383728372153</v>
      </c>
      <c r="BH41" s="59">
        <f t="shared" si="8"/>
        <v>549.11543057728022</v>
      </c>
      <c r="BI41" s="59">
        <f ca="1">AVERAGE(OFFSET($BH$3,0,0,'Données projet'!$E$11+1,1))-AVERAGE(OFFSET($H$3,0,0,'Données projet'!$E$11+1,1))</f>
        <v>492.39485179035256</v>
      </c>
      <c r="BJ41" s="59">
        <f t="shared" si="38"/>
        <v>297.32483725004124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5.4</v>
      </c>
      <c r="BY41" s="12">
        <f>IF('Données projet'!$A$114&gt;35,BY40+BX41-CG40,IF(A41&lt;'Données projet'!$A$114,$BV$205^A41,IF(A41='Données projet'!$A$114,'Données projet'!$B$114,BY40+BX41-CG40)))</f>
        <v>82.2</v>
      </c>
      <c r="BZ41" s="13">
        <f>BY41*VLOOKUP('Données projet'!$B$12,Paramètres!$A$1:$I$89,3,0)*VLOOKUP('Données projet'!$B$12,Paramètres!$A$1:$I$89,5,0)</f>
        <v>78.221520000000012</v>
      </c>
      <c r="CA41" s="13">
        <f t="shared" si="39"/>
        <v>21.701769187765223</v>
      </c>
      <c r="CB41" s="20">
        <f t="shared" si="10"/>
        <v>174.03306200202442</v>
      </c>
      <c r="CC41" s="59">
        <f t="shared" si="11"/>
        <v>420.22465529558315</v>
      </c>
      <c r="CD41" s="59">
        <f ca="1">AVERAGE(OFFSET($CC$3,0,0,'Données projet'!$E$12+1,1))-AVERAGE(OFFSET($H$3,0,0,'Données projet'!$E$12+1,1))</f>
        <v>260.51631161522039</v>
      </c>
      <c r="CE41" s="59">
        <f t="shared" si="40"/>
        <v>171.3469666102674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190</v>
      </c>
      <c r="O42" s="13">
        <f>N42*VLOOKUP('Données projet'!$B$9,Paramètres!$A$1:$I$89,3,0)*VLOOKUP('Données projet'!$B$9,Paramètres!$A$1:$I$89,5,0)</f>
        <v>88.919999999999987</v>
      </c>
      <c r="P42" s="13">
        <f t="shared" si="33"/>
        <v>24.30457227046648</v>
      </c>
      <c r="Q42" s="20">
        <f t="shared" si="53"/>
        <v>197.19946337106239</v>
      </c>
      <c r="R42" s="59">
        <f t="shared" si="0"/>
        <v>444.20886046116948</v>
      </c>
      <c r="S42" s="59">
        <f ca="1">AVERAGE(OFFSET($R$3,0,0,'Données projet'!$E$9+1,1))-AVERAGE(OFFSET($H$3,0,0,'Données projet'!$E$9+1,1))</f>
        <v>167.82976403567059</v>
      </c>
      <c r="T42" s="59">
        <f t="shared" si="34"/>
        <v>232.70925470547317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3.9999744891503197</v>
      </c>
      <c r="AA42" s="21">
        <f>EXP(-LN(2)/25)*AA41+(1-EXP(-LN(2)/25))/(LN(2)/25)*Calculateur!V42*Calculateur!X42*VLOOKUP('Données projet'!$B$9,Paramètres!$A$1:$I$89,3,0)*0.475*44/12</f>
        <v>8.3476320190440241</v>
      </c>
      <c r="AB42" s="21">
        <f>EXP(-LN(2)/2)*AB41+(1-EXP(-LN(2)/2))/(LN(2)/2)*V42*Y42*VLOOKUP('Données projet'!$B$9,Paramètres!$A$1:$I$89,3,0)*0.475*44/12</f>
        <v>0.57373652169858436</v>
      </c>
      <c r="AC42" s="22">
        <f t="shared" si="3"/>
        <v>12.921343029892929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163.79999999999995</v>
      </c>
      <c r="AJ42" s="13">
        <f>AI42*VLOOKUP('Données projet'!$B$10,Paramètres!$A$1:$I$89,3,0)*VLOOKUP('Données projet'!$B$10,Paramètres!$A$1:$I$89,5,0)</f>
        <v>166.09319999999997</v>
      </c>
      <c r="AK42" s="13">
        <f t="shared" si="35"/>
        <v>42.213849908165905</v>
      </c>
      <c r="AL42" s="20">
        <f t="shared" si="4"/>
        <v>362.80144525672222</v>
      </c>
      <c r="AM42" s="59">
        <f t="shared" si="5"/>
        <v>609.8108423468293</v>
      </c>
      <c r="AN42" s="59">
        <f ca="1">AVERAGE(OFFSET($AM$3,0,0,'Données projet'!$E$10+1,1))-AVERAGE(OFFSET($H$3,0,0,'Données projet'!$E$10+1,1))</f>
        <v>542.51810435067659</v>
      </c>
      <c r="AO42" s="59">
        <f t="shared" si="36"/>
        <v>325.7263575945085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163.79999999999995</v>
      </c>
      <c r="BE42" s="13">
        <f>BD42*VLOOKUP('Données projet'!$B$11,Paramètres!$A$1:$I$89,3,0)*VLOOKUP('Données projet'!$B$11,Paramètres!$A$1:$I$89,5,0)</f>
        <v>148.20623999999995</v>
      </c>
      <c r="BF42" s="13">
        <f t="shared" si="37"/>
        <v>38.170662245893794</v>
      </c>
      <c r="BG42" s="20">
        <f t="shared" si="7"/>
        <v>324.60643807826494</v>
      </c>
      <c r="BH42" s="59">
        <f t="shared" si="8"/>
        <v>571.61583516837209</v>
      </c>
      <c r="BI42" s="59">
        <f ca="1">AVERAGE(OFFSET($BH$3,0,0,'Données projet'!$E$11+1,1))-AVERAGE(OFFSET($H$3,0,0,'Données projet'!$E$11+1,1))</f>
        <v>492.39485179035256</v>
      </c>
      <c r="BJ42" s="59">
        <f t="shared" si="38"/>
        <v>297.32483725004124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5.4</v>
      </c>
      <c r="BY42" s="12">
        <f>IF('Données projet'!$A$114&gt;35,BY41+BX42-CG41,IF(A42&lt;'Données projet'!$A$114,$BV$205^A42,IF(A42='Données projet'!$A$114,'Données projet'!$B$114,BY41+BX42-CG41)))</f>
        <v>87.600000000000009</v>
      </c>
      <c r="BZ42" s="13">
        <f>BY42*VLOOKUP('Données projet'!$B$12,Paramètres!$A$1:$I$89,3,0)*VLOOKUP('Données projet'!$B$12,Paramètres!$A$1:$I$89,5,0)</f>
        <v>83.360160000000008</v>
      </c>
      <c r="CA42" s="13">
        <f t="shared" si="39"/>
        <v>22.956783071137561</v>
      </c>
      <c r="CB42" s="20">
        <f t="shared" si="10"/>
        <v>185.16867584889792</v>
      </c>
      <c r="CC42" s="59">
        <f t="shared" si="11"/>
        <v>432.17807293900501</v>
      </c>
      <c r="CD42" s="59">
        <f ca="1">AVERAGE(OFFSET($CC$3,0,0,'Données projet'!$E$12+1,1))-AVERAGE(OFFSET($H$3,0,0,'Données projet'!$E$12+1,1))</f>
        <v>260.51631161522039</v>
      </c>
      <c r="CE42" s="59">
        <f t="shared" si="40"/>
        <v>171.3469666102674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200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200</v>
      </c>
      <c r="O43" s="13">
        <f>N43*VLOOKUP('Données projet'!$B$9,Paramètres!$A$1:$I$89,3,0)*VLOOKUP('Données projet'!$B$9,Paramètres!$A$1:$I$89,5,0)</f>
        <v>93.600000000000009</v>
      </c>
      <c r="P43" s="13">
        <f t="shared" si="33"/>
        <v>25.431466524572937</v>
      </c>
      <c r="Q43" s="20">
        <f t="shared" si="53"/>
        <v>207.31313753029789</v>
      </c>
      <c r="R43" s="59">
        <f t="shared" si="0"/>
        <v>455.12615134941871</v>
      </c>
      <c r="S43" s="59">
        <f ca="1">AVERAGE(OFFSET($R$3,0,0,'Données projet'!$E$9+1,1))-AVERAGE(OFFSET($H$3,0,0,'Données projet'!$E$9+1,1))</f>
        <v>167.82976403567059</v>
      </c>
      <c r="T43" s="59">
        <f t="shared" si="34"/>
        <v>232.70925470547317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50</v>
      </c>
      <c r="W43" s="16">
        <f>IF(ISNA(VLOOKUP(A43,'Données projet'!$A$35:$I$55,5,0)),0%,VLOOKUP(A43,'Données projet'!$A$35:$I$55,5,0)*VLOOKUP('Données projet'!$B$9,Paramètres!$A$1:$I$89,7,0))</f>
        <v>0.16500000000000001</v>
      </c>
      <c r="X43" s="16">
        <f>IF(ISNA(VLOOKUP(A43,'Données projet'!$A$35:$I$55,6,0)),0%,VLOOKUP(A43,'Données projet'!$A$35:$I$55,6,0)*VLOOKUP('Données projet'!$B$9,Paramètres!$A$1:$I$89,7,0))</f>
        <v>0.21450000000000002</v>
      </c>
      <c r="Y43" s="16">
        <f>IF(ISNA(VLOOKUP(A43,'Données projet'!$A$35:$I$55,7,0)),0%,VLOOKUP(A43,'Données projet'!$A$35:$I$55,7,0))</f>
        <v>0.31</v>
      </c>
      <c r="Z43" s="21">
        <f>EXP(-LN(2)/35)*Z42+(1-EXP(-LN(2)/35))/(LN(2)/35)*V43*W43*VLOOKUP('Données projet'!$B$9,Paramètres!$A$1:$I$89,3,0)*0.475*44/12</f>
        <v>9.0434027916136817</v>
      </c>
      <c r="AA43" s="21">
        <f>EXP(-LN(2)/25)*AA42+(1-EXP(-LN(2)/25))/(LN(2)/25)*Calculateur!V43*Calculateur!X43*VLOOKUP('Données projet'!$B$9,Paramètres!$A$1:$I$89,3,0)*0.475*44/12</f>
        <v>14.751573797517679</v>
      </c>
      <c r="AB43" s="21">
        <f>EXP(-LN(2)/2)*AB42+(1-EXP(-LN(2)/2))/(LN(2)/2)*V43*Y43*VLOOKUP('Données projet'!$B$9,Paramètres!$A$1:$I$89,3,0)*0.475*44/12</f>
        <v>8.6189060713644317</v>
      </c>
      <c r="AC43" s="22">
        <f t="shared" si="3"/>
        <v>32.413882660495787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174.99999999999994</v>
      </c>
      <c r="AJ43" s="13">
        <f>AI43*VLOOKUP('Données projet'!$B$10,Paramètres!$A$1:$I$89,3,0)*VLOOKUP('Données projet'!$B$10,Paramètres!$A$1:$I$89,5,0)</f>
        <v>177.44999999999996</v>
      </c>
      <c r="AK43" s="13">
        <f t="shared" si="35"/>
        <v>44.754387900936791</v>
      </c>
      <c r="AL43" s="20">
        <f t="shared" si="4"/>
        <v>387.00597559413154</v>
      </c>
      <c r="AM43" s="59">
        <f t="shared" si="5"/>
        <v>634.81898941325232</v>
      </c>
      <c r="AN43" s="59">
        <f ca="1">AVERAGE(OFFSET($AM$3,0,0,'Données projet'!$E$10+1,1))-AVERAGE(OFFSET($H$3,0,0,'Données projet'!$E$10+1,1))</f>
        <v>542.51810435067659</v>
      </c>
      <c r="AO43" s="59">
        <f t="shared" si="36"/>
        <v>325.7263575945085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2.6992402913501592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2.6992402913501592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174.99999999999994</v>
      </c>
      <c r="BE43" s="13">
        <f>BD43*VLOOKUP('Données projet'!$B$11,Paramètres!$A$1:$I$89,3,0)*VLOOKUP('Données projet'!$B$11,Paramètres!$A$1:$I$89,5,0)</f>
        <v>158.33999999999995</v>
      </c>
      <c r="BF43" s="13">
        <f t="shared" si="37"/>
        <v>40.467870812652784</v>
      </c>
      <c r="BG43" s="20">
        <f t="shared" si="7"/>
        <v>346.2570416653702</v>
      </c>
      <c r="BH43" s="59">
        <f t="shared" si="8"/>
        <v>594.07005548449104</v>
      </c>
      <c r="BI43" s="59">
        <f ca="1">AVERAGE(OFFSET($BH$3,0,0,'Données projet'!$E$11+1,1))-AVERAGE(OFFSET($H$3,0,0,'Données projet'!$E$11+1,1))</f>
        <v>492.39485179035256</v>
      </c>
      <c r="BJ43" s="59">
        <f t="shared" si="38"/>
        <v>297.32483725004124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2.4085528753586032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2.4085528753586032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93</v>
      </c>
      <c r="BW43" s="12">
        <f>VLOOKUP(A43,'Données projet'!$A$113:$I$133,9,0)</f>
        <v>5.4</v>
      </c>
      <c r="BX43" s="12">
        <f t="array" ref="BX43">INDEX(BW:BW,MIN(IF(ISNUMBER(BW43:BW239),ROW(BW43:BW239),"")))</f>
        <v>5.4</v>
      </c>
      <c r="BY43" s="12">
        <f>IF('Données projet'!$A$114&gt;35,BY42+BX43-CG42,IF(A43&lt;'Données projet'!$A$114,$BV$205^A43,IF(A43='Données projet'!$A$114,'Données projet'!$B$114,BY42+BX43-CG42)))</f>
        <v>93.000000000000014</v>
      </c>
      <c r="BZ43" s="13">
        <f>BY43*VLOOKUP('Données projet'!$B$12,Paramètres!$A$1:$I$89,3,0)*VLOOKUP('Données projet'!$B$12,Paramètres!$A$1:$I$89,5,0)</f>
        <v>88.498800000000003</v>
      </c>
      <c r="CA43" s="13">
        <f t="shared" si="39"/>
        <v>24.202818028970764</v>
      </c>
      <c r="CB43" s="20">
        <f t="shared" si="10"/>
        <v>196.28865140045741</v>
      </c>
      <c r="CC43" s="59">
        <f t="shared" si="11"/>
        <v>444.10166521957819</v>
      </c>
      <c r="CD43" s="59">
        <f ca="1">AVERAGE(OFFSET($CC$3,0,0,'Données projet'!$E$12+1,1))-AVERAGE(OFFSET($H$3,0,0,'Données projet'!$E$12+1,1))</f>
        <v>260.51631161522039</v>
      </c>
      <c r="CE43" s="59">
        <f t="shared" si="40"/>
        <v>171.3469666102674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14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1.2665665982489209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1.2665665982489209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10.5</v>
      </c>
      <c r="N44" s="13">
        <f>IF('Données projet'!$A$36&gt;35,N43+M44-V43,IF(A44&lt;'Données projet'!$A$36,$K$205^A44,IF(A44='Données projet'!$A$36,'Données projet'!$B$36,N43+M44-V43)))</f>
        <v>160.5</v>
      </c>
      <c r="O44" s="13">
        <f>N44*VLOOKUP('Données projet'!$B$9,Paramètres!$A$1:$I$89,3,0)*VLOOKUP('Données projet'!$B$9,Paramètres!$A$1:$I$89,5,0)</f>
        <v>75.114000000000004</v>
      </c>
      <c r="P44" s="13">
        <f t="shared" si="33"/>
        <v>20.938185501492693</v>
      </c>
      <c r="Q44" s="20">
        <f t="shared" si="53"/>
        <v>167.2908897484331</v>
      </c>
      <c r="R44" s="59">
        <f t="shared" si="0"/>
        <v>415.89357934293707</v>
      </c>
      <c r="S44" s="59">
        <f ca="1">AVERAGE(OFFSET($R$3,0,0,'Données projet'!$E$9+1,1))-AVERAGE(OFFSET($H$3,0,0,'Données projet'!$E$9+1,1))</f>
        <v>167.82976403567059</v>
      </c>
      <c r="T44" s="59">
        <f t="shared" si="34"/>
        <v>232.70925470547317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8.8660671788011864</v>
      </c>
      <c r="AA44" s="21">
        <f>EXP(-LN(2)/25)*AA43+(1-EXP(-LN(2)/25))/(LN(2)/25)*Calculateur!V44*Calculateur!X44*VLOOKUP('Données projet'!$B$9,Paramètres!$A$1:$I$89,3,0)*0.475*44/12</f>
        <v>14.348191236273006</v>
      </c>
      <c r="AB44" s="21">
        <f>EXP(-LN(2)/2)*AB43+(1-EXP(-LN(2)/2))/(LN(2)/2)*V44*Y44*VLOOKUP('Données projet'!$B$9,Paramètres!$A$1:$I$89,3,0)*0.475*44/12</f>
        <v>6.0944869294716959</v>
      </c>
      <c r="AC44" s="22">
        <f t="shared" si="3"/>
        <v>29.308745344545887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158.39999999999995</v>
      </c>
      <c r="AJ44" s="13">
        <f>AI44*VLOOKUP('Données projet'!$B$10,Paramètres!$A$1:$I$89,3,0)*VLOOKUP('Données projet'!$B$10,Paramètres!$A$1:$I$89,5,0)</f>
        <v>160.61759999999995</v>
      </c>
      <c r="AK44" s="13">
        <f t="shared" si="35"/>
        <v>40.981785561145074</v>
      </c>
      <c r="AL44" s="20">
        <f t="shared" si="4"/>
        <v>351.11892985232754</v>
      </c>
      <c r="AM44" s="59">
        <f t="shared" si="5"/>
        <v>599.72161944683148</v>
      </c>
      <c r="AN44" s="59">
        <f ca="1">AVERAGE(OFFSET($AM$3,0,0,'Données projet'!$E$10+1,1))-AVERAGE(OFFSET($H$3,0,0,'Données projet'!$E$10+1,1))</f>
        <v>542.51810435067659</v>
      </c>
      <c r="AO44" s="59">
        <f t="shared" si="36"/>
        <v>325.7263575945085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2.6463098356107944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2.6463098356107944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158.39999999999995</v>
      </c>
      <c r="BE44" s="13">
        <f>BD44*VLOOKUP('Données projet'!$B$11,Paramètres!$A$1:$I$89,3,0)*VLOOKUP('Données projet'!$B$11,Paramètres!$A$1:$I$89,5,0)</f>
        <v>143.32031999999992</v>
      </c>
      <c r="BF44" s="13">
        <f t="shared" si="37"/>
        <v>37.056603420232349</v>
      </c>
      <c r="BG44" s="20">
        <f t="shared" si="7"/>
        <v>314.15647495690456</v>
      </c>
      <c r="BH44" s="59">
        <f t="shared" si="8"/>
        <v>562.7591645514085</v>
      </c>
      <c r="BI44" s="59">
        <f ca="1">AVERAGE(OFFSET($BH$3,0,0,'Données projet'!$E$11+1,1))-AVERAGE(OFFSET($H$3,0,0,'Données projet'!$E$11+1,1))</f>
        <v>492.39485179035256</v>
      </c>
      <c r="BJ44" s="59">
        <f t="shared" si="38"/>
        <v>297.32483725004124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2.3613226225450159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2.3613226225450159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80.50536000000001</v>
      </c>
      <c r="CA44" s="13">
        <f t="shared" si="39"/>
        <v>22.260701954394872</v>
      </c>
      <c r="CB44" s="20">
        <f t="shared" si="10"/>
        <v>178.98422457057109</v>
      </c>
      <c r="CC44" s="59">
        <f t="shared" si="11"/>
        <v>427.58691416507509</v>
      </c>
      <c r="CD44" s="59">
        <f ca="1">AVERAGE(OFFSET($CC$3,0,0,'Données projet'!$E$12+1,1))-AVERAGE(OFFSET($H$3,0,0,'Données projet'!$E$12+1,1))</f>
        <v>260.51631161522039</v>
      </c>
      <c r="CE44" s="59">
        <f t="shared" si="40"/>
        <v>171.3469666102674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1.2417299997866036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1.2417299997866036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10.5</v>
      </c>
      <c r="N45" s="13">
        <f>IF('Données projet'!$A$36&gt;35,N44+M45-V44,IF(A45&lt;'Données projet'!$A$36,$K$205^A45,IF(A45='Données projet'!$A$36,'Données projet'!$B$36,N44+M45-V44)))</f>
        <v>171</v>
      </c>
      <c r="O45" s="13">
        <f>N45*VLOOKUP('Données projet'!$B$9,Paramètres!$A$1:$I$89,3,0)*VLOOKUP('Données projet'!$B$9,Paramètres!$A$1:$I$89,5,0)</f>
        <v>80.027999999999992</v>
      </c>
      <c r="P45" s="13">
        <f t="shared" si="33"/>
        <v>22.144030134787155</v>
      </c>
      <c r="Q45" s="20">
        <f t="shared" si="53"/>
        <v>177.94961915142096</v>
      </c>
      <c r="R45" s="59">
        <f t="shared" si="0"/>
        <v>427.32828541205572</v>
      </c>
      <c r="S45" s="59">
        <f ca="1">AVERAGE(OFFSET($R$3,0,0,'Données projet'!$E$9+1,1))-AVERAGE(OFFSET($H$3,0,0,'Données projet'!$E$9+1,1))</f>
        <v>167.82976403567059</v>
      </c>
      <c r="T45" s="59">
        <f t="shared" si="34"/>
        <v>232.70925470547317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8.6922090091919024</v>
      </c>
      <c r="AA45" s="21">
        <f>EXP(-LN(2)/25)*AA44+(1-EXP(-LN(2)/25))/(LN(2)/25)*Calculateur!V45*Calculateur!X45*VLOOKUP('Données projet'!$B$9,Paramètres!$A$1:$I$89,3,0)*0.475*44/12</f>
        <v>13.955839192378537</v>
      </c>
      <c r="AB45" s="21">
        <f>EXP(-LN(2)/2)*AB44+(1-EXP(-LN(2)/2))/(LN(2)/2)*V45*Y45*VLOOKUP('Données projet'!$B$9,Paramètres!$A$1:$I$89,3,0)*0.475*44/12</f>
        <v>4.3094530356822167</v>
      </c>
      <c r="AC45" s="22">
        <f t="shared" si="3"/>
        <v>26.957501237252657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169.79999999999995</v>
      </c>
      <c r="AJ45" s="13">
        <f>AI45*VLOOKUP('Données projet'!$B$10,Paramètres!$A$1:$I$89,3,0)*VLOOKUP('Données projet'!$B$10,Paramètres!$A$1:$I$89,5,0)</f>
        <v>172.17719999999997</v>
      </c>
      <c r="AK45" s="13">
        <f t="shared" si="35"/>
        <v>43.577282221917017</v>
      </c>
      <c r="AL45" s="20">
        <f t="shared" si="4"/>
        <v>375.77238986983872</v>
      </c>
      <c r="AM45" s="59">
        <f t="shared" si="5"/>
        <v>625.15105613047342</v>
      </c>
      <c r="AN45" s="59">
        <f ca="1">AVERAGE(OFFSET($AM$3,0,0,'Données projet'!$E$10+1,1))-AVERAGE(OFFSET($H$3,0,0,'Données projet'!$E$10+1,1))</f>
        <v>542.51810435067659</v>
      </c>
      <c r="AO45" s="59">
        <f t="shared" si="36"/>
        <v>325.7263575945085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2.5944173138240885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2.5944173138240885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169.79999999999995</v>
      </c>
      <c r="BE45" s="13">
        <f>BD45*VLOOKUP('Données projet'!$B$11,Paramètres!$A$1:$I$89,3,0)*VLOOKUP('Données projet'!$B$11,Paramètres!$A$1:$I$89,5,0)</f>
        <v>153.63503999999995</v>
      </c>
      <c r="BF45" s="13">
        <f t="shared" si="37"/>
        <v>39.403506785222667</v>
      </c>
      <c r="BG45" s="20">
        <f t="shared" si="7"/>
        <v>336.20880231759605</v>
      </c>
      <c r="BH45" s="59">
        <f t="shared" si="8"/>
        <v>585.58746857823076</v>
      </c>
      <c r="BI45" s="59">
        <f ca="1">AVERAGE(OFFSET($BH$3,0,0,'Données projet'!$E$11+1,1))-AVERAGE(OFFSET($H$3,0,0,'Données projet'!$E$11+1,1))</f>
        <v>492.39485179035256</v>
      </c>
      <c r="BJ45" s="59">
        <f t="shared" si="38"/>
        <v>297.32483725004124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2.3150185261814937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2.3150185261814937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85.834320000000005</v>
      </c>
      <c r="CA45" s="13">
        <f t="shared" si="39"/>
        <v>23.557809132261784</v>
      </c>
      <c r="CB45" s="20">
        <f t="shared" si="10"/>
        <v>190.52462490535595</v>
      </c>
      <c r="CC45" s="59">
        <f t="shared" si="11"/>
        <v>439.90329116599071</v>
      </c>
      <c r="CD45" s="59">
        <f ca="1">AVERAGE(OFFSET($CC$3,0,0,'Données projet'!$E$12+1,1))-AVERAGE(OFFSET($H$3,0,0,'Données projet'!$E$12+1,1))</f>
        <v>260.51631161522039</v>
      </c>
      <c r="CE45" s="59">
        <f t="shared" si="40"/>
        <v>171.3469666102674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1.2173804318713031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1.2173804318713031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10.5</v>
      </c>
      <c r="N46" s="13">
        <f>IF('Données projet'!$A$36&gt;35,N45+M46-V45,IF(A46&lt;'Données projet'!$A$36,$K$205^A46,IF(A46='Données projet'!$A$36,'Données projet'!$B$36,N45+M46-V45)))</f>
        <v>181.5</v>
      </c>
      <c r="O46" s="13">
        <f>N46*VLOOKUP('Données projet'!$B$9,Paramètres!$A$1:$I$89,3,0)*VLOOKUP('Données projet'!$B$9,Paramètres!$A$1:$I$89,5,0)</f>
        <v>84.942000000000007</v>
      </c>
      <c r="P46" s="13">
        <f t="shared" si="33"/>
        <v>23.34128117988622</v>
      </c>
      <c r="Q46" s="20">
        <f t="shared" si="53"/>
        <v>188.59338138830185</v>
      </c>
      <c r="R46" s="59">
        <f t="shared" si="0"/>
        <v>438.73456285473389</v>
      </c>
      <c r="S46" s="59">
        <f ca="1">AVERAGE(OFFSET($R$3,0,0,'Données projet'!$E$9+1,1))-AVERAGE(OFFSET($H$3,0,0,'Données projet'!$E$9+1,1))</f>
        <v>167.82976403567059</v>
      </c>
      <c r="T46" s="59">
        <f t="shared" si="34"/>
        <v>232.70925470547317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8.5217600922456427</v>
      </c>
      <c r="AA46" s="21">
        <f>EXP(-LN(2)/25)*AA45+(1-EXP(-LN(2)/25))/(LN(2)/25)*Calculateur!V46*Calculateur!X46*VLOOKUP('Données projet'!$B$9,Paramètres!$A$1:$I$89,3,0)*0.475*44/12</f>
        <v>13.57421603575726</v>
      </c>
      <c r="AB46" s="21">
        <f>EXP(-LN(2)/2)*AB45+(1-EXP(-LN(2)/2))/(LN(2)/2)*V46*Y46*VLOOKUP('Données projet'!$B$9,Paramètres!$A$1:$I$89,3,0)*0.475*44/12</f>
        <v>3.0472434647358484</v>
      </c>
      <c r="AC46" s="22">
        <f t="shared" si="3"/>
        <v>25.143219592738753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181.19999999999996</v>
      </c>
      <c r="AJ46" s="13">
        <f>AI46*VLOOKUP('Données projet'!$B$10,Paramètres!$A$1:$I$89,3,0)*VLOOKUP('Données projet'!$B$10,Paramètres!$A$1:$I$89,5,0)</f>
        <v>183.73679999999996</v>
      </c>
      <c r="AK46" s="13">
        <f t="shared" si="35"/>
        <v>46.152558509293854</v>
      </c>
      <c r="AL46" s="20">
        <f t="shared" si="4"/>
        <v>400.39063273702004</v>
      </c>
      <c r="AM46" s="59">
        <f t="shared" si="5"/>
        <v>650.53181420345209</v>
      </c>
      <c r="AN46" s="59">
        <f ca="1">AVERAGE(OFFSET($AM$3,0,0,'Données projet'!$E$10+1,1))-AVERAGE(OFFSET($H$3,0,0,'Données projet'!$E$10+1,1))</f>
        <v>542.51810435067659</v>
      </c>
      <c r="AO46" s="59">
        <f t="shared" si="36"/>
        <v>325.7263575945085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2.5435423727383069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2.5435423727383069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181.19999999999996</v>
      </c>
      <c r="BE46" s="13">
        <f>BD46*VLOOKUP('Données projet'!$B$11,Paramètres!$A$1:$I$89,3,0)*VLOOKUP('Données projet'!$B$11,Paramètres!$A$1:$I$89,5,0)</f>
        <v>163.94975999999997</v>
      </c>
      <c r="BF46" s="13">
        <f t="shared" si="37"/>
        <v>41.732126457893308</v>
      </c>
      <c r="BG46" s="20">
        <f t="shared" si="7"/>
        <v>358.22928558083078</v>
      </c>
      <c r="BH46" s="59">
        <f t="shared" si="8"/>
        <v>608.37046704726276</v>
      </c>
      <c r="BI46" s="59">
        <f ca="1">AVERAGE(OFFSET($BH$3,0,0,'Données projet'!$E$11+1,1))-AVERAGE(OFFSET($H$3,0,0,'Données projet'!$E$11+1,1))</f>
        <v>492.39485179035256</v>
      </c>
      <c r="BJ46" s="59">
        <f t="shared" si="38"/>
        <v>297.32483725004124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2.2696224249049499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2.2696224249049499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91.16328</v>
      </c>
      <c r="CA46" s="13">
        <f t="shared" si="39"/>
        <v>24.84557007760694</v>
      </c>
      <c r="CB46" s="20">
        <f t="shared" si="10"/>
        <v>202.04874721849876</v>
      </c>
      <c r="CC46" s="59">
        <f t="shared" si="11"/>
        <v>452.18992868493081</v>
      </c>
      <c r="CD46" s="59">
        <f ca="1">AVERAGE(OFFSET($CC$3,0,0,'Données projet'!$E$12+1,1))-AVERAGE(OFFSET($H$3,0,0,'Données projet'!$E$12+1,1))</f>
        <v>260.51631161522039</v>
      </c>
      <c r="CE46" s="59">
        <f t="shared" si="40"/>
        <v>171.3469666102674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1.1935083441310517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1.1935083441310517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10.5</v>
      </c>
      <c r="N47" s="13">
        <f>IF('Données projet'!$A$36&gt;35,N46+M47-V46,IF(A47&lt;'Données projet'!$A$36,$K$205^A47,IF(A47='Données projet'!$A$36,'Données projet'!$B$36,N46+M47-V46)))</f>
        <v>192</v>
      </c>
      <c r="O47" s="13">
        <f>N47*VLOOKUP('Données projet'!$B$9,Paramètres!$A$1:$I$89,3,0)*VLOOKUP('Données projet'!$B$9,Paramètres!$A$1:$I$89,5,0)</f>
        <v>89.856000000000009</v>
      </c>
      <c r="P47" s="13">
        <f t="shared" si="33"/>
        <v>24.5304924254994</v>
      </c>
      <c r="Q47" s="20">
        <f t="shared" si="53"/>
        <v>199.22314097441145</v>
      </c>
      <c r="R47" s="59">
        <f t="shared" si="0"/>
        <v>450.11360971254885</v>
      </c>
      <c r="S47" s="59">
        <f ca="1">AVERAGE(OFFSET($R$3,0,0,'Données projet'!$E$9+1,1))-AVERAGE(OFFSET($H$3,0,0,'Données projet'!$E$9+1,1))</f>
        <v>167.82976403567059</v>
      </c>
      <c r="T47" s="59">
        <f t="shared" si="34"/>
        <v>232.70925470547317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8.3546535745971262</v>
      </c>
      <c r="AA47" s="21">
        <f>EXP(-LN(2)/25)*AA46+(1-EXP(-LN(2)/25))/(LN(2)/25)*Calculateur!V47*Calculateur!X47*VLOOKUP('Données projet'!$B$9,Paramètres!$A$1:$I$89,3,0)*0.475*44/12</f>
        <v>13.203028384422481</v>
      </c>
      <c r="AB47" s="21">
        <f>EXP(-LN(2)/2)*AB46+(1-EXP(-LN(2)/2))/(LN(2)/2)*V47*Y47*VLOOKUP('Données projet'!$B$9,Paramètres!$A$1:$I$89,3,0)*0.475*44/12</f>
        <v>2.1547265178411088</v>
      </c>
      <c r="AC47" s="22">
        <f t="shared" si="3"/>
        <v>23.712408476860716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192.59999999999997</v>
      </c>
      <c r="AJ47" s="13">
        <f>AI47*VLOOKUP('Données projet'!$B$10,Paramètres!$A$1:$I$89,3,0)*VLOOKUP('Données projet'!$B$10,Paramètres!$A$1:$I$89,5,0)</f>
        <v>195.29639999999998</v>
      </c>
      <c r="AK47" s="13">
        <f t="shared" si="35"/>
        <v>48.709031383366153</v>
      </c>
      <c r="AL47" s="20">
        <f t="shared" si="4"/>
        <v>424.97612632602932</v>
      </c>
      <c r="AM47" s="59">
        <f t="shared" si="5"/>
        <v>675.86659506416675</v>
      </c>
      <c r="AN47" s="59">
        <f ca="1">AVERAGE(OFFSET($AM$3,0,0,'Données projet'!$E$10+1,1))-AVERAGE(OFFSET($H$3,0,0,'Données projet'!$E$10+1,1))</f>
        <v>542.51810435067659</v>
      </c>
      <c r="AO47" s="59">
        <f t="shared" si="36"/>
        <v>325.7263575945085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2.4936650582165671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2.4936650582165671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192.59999999999997</v>
      </c>
      <c r="BE47" s="13">
        <f>BD47*VLOOKUP('Données projet'!$B$11,Paramètres!$A$1:$I$89,3,0)*VLOOKUP('Données projet'!$B$11,Paramètres!$A$1:$I$89,5,0)</f>
        <v>174.26447999999996</v>
      </c>
      <c r="BF47" s="13">
        <f t="shared" si="37"/>
        <v>44.043743683739521</v>
      </c>
      <c r="BG47" s="20">
        <f t="shared" si="7"/>
        <v>380.22015624917958</v>
      </c>
      <c r="BH47" s="59">
        <f t="shared" si="8"/>
        <v>631.11062498731701</v>
      </c>
      <c r="BI47" s="59">
        <f ca="1">AVERAGE(OFFSET($BH$3,0,0,'Données projet'!$E$11+1,1))-AVERAGE(OFFSET($H$3,0,0,'Données projet'!$E$11+1,1))</f>
        <v>492.39485179035256</v>
      </c>
      <c r="BJ47" s="59">
        <f t="shared" si="38"/>
        <v>297.32483725004124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2.2251165134855517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2.2251165134855517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96.492239999999995</v>
      </c>
      <c r="CA47" s="13">
        <f t="shared" si="39"/>
        <v>26.124593361596208</v>
      </c>
      <c r="CB47" s="20">
        <f t="shared" si="10"/>
        <v>213.55765143811337</v>
      </c>
      <c r="CC47" s="59">
        <f t="shared" si="11"/>
        <v>464.44812017625077</v>
      </c>
      <c r="CD47" s="59">
        <f ca="1">AVERAGE(OFFSET($CC$3,0,0,'Données projet'!$E$12+1,1))-AVERAGE(OFFSET($H$3,0,0,'Données projet'!$E$12+1,1))</f>
        <v>260.51631161522039</v>
      </c>
      <c r="CE47" s="59">
        <f t="shared" si="40"/>
        <v>171.3469666102674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1.1701043734708507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1.1701043734708507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10.5</v>
      </c>
      <c r="N48" s="13">
        <f>IF('Données projet'!$A$36&gt;35,N47+M48-V47,IF(A48&lt;'Données projet'!$A$36,$K$205^A48,IF(A48='Données projet'!$A$36,'Données projet'!$B$36,N47+M48-V47)))</f>
        <v>202.5</v>
      </c>
      <c r="O48" s="13">
        <f>N48*VLOOKUP('Données projet'!$B$9,Paramètres!$A$1:$I$89,3,0)*VLOOKUP('Données projet'!$B$9,Paramètres!$A$1:$I$89,5,0)</f>
        <v>94.77</v>
      </c>
      <c r="P48" s="13">
        <f t="shared" si="33"/>
        <v>25.712153668783351</v>
      </c>
      <c r="Q48" s="20">
        <f t="shared" si="53"/>
        <v>209.839750973131</v>
      </c>
      <c r="R48" s="59">
        <f t="shared" si="0"/>
        <v>461.4665085239651</v>
      </c>
      <c r="S48" s="59">
        <f ca="1">AVERAGE(OFFSET($R$3,0,0,'Données projet'!$E$9+1,1))-AVERAGE(OFFSET($H$3,0,0,'Données projet'!$E$9+1,1))</f>
        <v>167.82976403567059</v>
      </c>
      <c r="T48" s="59">
        <f t="shared" si="34"/>
        <v>232.70925470547317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8.1908239138347856</v>
      </c>
      <c r="AA48" s="21">
        <f>EXP(-LN(2)/25)*AA47+(1-EXP(-LN(2)/25))/(LN(2)/25)*Calculateur!V48*Calculateur!X48*VLOOKUP('Données projet'!$B$9,Paramètres!$A$1:$I$89,3,0)*0.475*44/12</f>
        <v>12.841990878933361</v>
      </c>
      <c r="AB48" s="21">
        <f>EXP(-LN(2)/2)*AB47+(1-EXP(-LN(2)/2))/(LN(2)/2)*V48*Y48*VLOOKUP('Données projet'!$B$9,Paramètres!$A$1:$I$89,3,0)*0.475*44/12</f>
        <v>1.5236217323679244</v>
      </c>
      <c r="AC48" s="22">
        <f t="shared" si="3"/>
        <v>22.556436525136071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203.99999999999997</v>
      </c>
      <c r="AJ48" s="13">
        <f>AI48*VLOOKUP('Données projet'!$B$10,Paramètres!$A$1:$I$89,3,0)*VLOOKUP('Données projet'!$B$10,Paramètres!$A$1:$I$89,5,0)</f>
        <v>206.85599999999999</v>
      </c>
      <c r="AK48" s="13">
        <f t="shared" si="35"/>
        <v>51.247940588293027</v>
      </c>
      <c r="AL48" s="20">
        <f t="shared" si="4"/>
        <v>449.53102985794368</v>
      </c>
      <c r="AM48" s="59">
        <f t="shared" si="5"/>
        <v>701.15778740877784</v>
      </c>
      <c r="AN48" s="59">
        <f ca="1">AVERAGE(OFFSET($AM$3,0,0,'Données projet'!$E$10+1,1))-AVERAGE(OFFSET($H$3,0,0,'Données projet'!$E$10+1,1))</f>
        <v>542.51810435067659</v>
      </c>
      <c r="AO48" s="59">
        <f t="shared" si="36"/>
        <v>325.7263575945085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5.1440060987606007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5.1440060987606007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203.99999999999997</v>
      </c>
      <c r="BE48" s="13">
        <f>BD48*VLOOKUP('Données projet'!$B$11,Paramètres!$A$1:$I$89,3,0)*VLOOKUP('Données projet'!$B$11,Paramètres!$A$1:$I$89,5,0)</f>
        <v>184.57919999999999</v>
      </c>
      <c r="BF48" s="13">
        <f t="shared" si="37"/>
        <v>46.339479465836618</v>
      </c>
      <c r="BG48" s="20">
        <f t="shared" si="7"/>
        <v>402.18336673633206</v>
      </c>
      <c r="BH48" s="59">
        <f t="shared" si="8"/>
        <v>653.81012428716622</v>
      </c>
      <c r="BI48" s="59">
        <f ca="1">AVERAGE(OFFSET($BH$3,0,0,'Données projet'!$E$11+1,1))-AVERAGE(OFFSET($H$3,0,0,'Données projet'!$E$11+1,1))</f>
        <v>492.39485179035256</v>
      </c>
      <c r="BJ48" s="59">
        <f t="shared" si="38"/>
        <v>297.32483725004124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4.590036211201765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4.590036211201765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107</v>
      </c>
      <c r="BW48" s="12">
        <f>VLOOKUP(A48,'Données projet'!$A$113:$I$133,9,0)</f>
        <v>5.6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101.82119999999999</v>
      </c>
      <c r="CA48" s="13">
        <f t="shared" si="39"/>
        <v>27.395416540066275</v>
      </c>
      <c r="CB48" s="20">
        <f t="shared" si="10"/>
        <v>225.05227380728206</v>
      </c>
      <c r="CC48" s="59">
        <f t="shared" si="11"/>
        <v>476.67903135811616</v>
      </c>
      <c r="CD48" s="59">
        <f ca="1">AVERAGE(OFFSET($CC$3,0,0,'Données projet'!$E$12+1,1))-AVERAGE(OFFSET($H$3,0,0,'Données projet'!$E$12+1,1))</f>
        <v>260.51631161522039</v>
      </c>
      <c r="CE48" s="59">
        <f t="shared" si="40"/>
        <v>171.3469666102674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14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2.4137259386492049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2.4137259386492049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10.5</v>
      </c>
      <c r="N49" s="13">
        <f>IF('Données projet'!$A$36&gt;35,N48+M49-V48,IF(A49&lt;'Données projet'!$A$36,$K$205^A49,IF(A49='Données projet'!$A$36,'Données projet'!$B$36,N48+M49-V48)))</f>
        <v>213</v>
      </c>
      <c r="O49" s="13">
        <f>N49*VLOOKUP('Données projet'!$B$9,Paramètres!$A$1:$I$89,3,0)*VLOOKUP('Données projet'!$B$9,Paramètres!$A$1:$I$89,5,0)</f>
        <v>99.683999999999997</v>
      </c>
      <c r="P49" s="13">
        <f t="shared" si="33"/>
        <v>26.886701044194457</v>
      </c>
      <c r="Q49" s="20">
        <f t="shared" si="53"/>
        <v>220.44397098530533</v>
      </c>
      <c r="R49" s="59">
        <f t="shared" si="0"/>
        <v>472.794244384031</v>
      </c>
      <c r="S49" s="59">
        <f ca="1">AVERAGE(OFFSET($R$3,0,0,'Données projet'!$E$9+1,1))-AVERAGE(OFFSET($H$3,0,0,'Données projet'!$E$9+1,1))</f>
        <v>167.82976403567059</v>
      </c>
      <c r="T49" s="59">
        <f t="shared" si="34"/>
        <v>232.70925470547317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8.0302068527937678</v>
      </c>
      <c r="AA49" s="21">
        <f>EXP(-LN(2)/25)*AA48+(1-EXP(-LN(2)/25))/(LN(2)/25)*Calculateur!V49*Calculateur!X49*VLOOKUP('Données projet'!$B$9,Paramètres!$A$1:$I$89,3,0)*0.475*44/12</f>
        <v>12.490825963017979</v>
      </c>
      <c r="AB49" s="21">
        <f>EXP(-LN(2)/2)*AB48+(1-EXP(-LN(2)/2))/(LN(2)/2)*V49*Y49*VLOOKUP('Données projet'!$B$9,Paramètres!$A$1:$I$89,3,0)*0.475*44/12</f>
        <v>1.0773632589205544</v>
      </c>
      <c r="AC49" s="22">
        <f t="shared" si="3"/>
        <v>21.5983960747323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186.99999999999997</v>
      </c>
      <c r="AJ49" s="13">
        <f>AI49*VLOOKUP('Données projet'!$B$10,Paramètres!$A$1:$I$89,3,0)*VLOOKUP('Données projet'!$B$10,Paramètres!$A$1:$I$89,5,0)</f>
        <v>189.61799999999997</v>
      </c>
      <c r="AK49" s="13">
        <f t="shared" si="35"/>
        <v>47.4554881852685</v>
      </c>
      <c r="AL49" s="20">
        <f t="shared" si="4"/>
        <v>412.90299192267588</v>
      </c>
      <c r="AM49" s="59">
        <f t="shared" si="5"/>
        <v>665.2532653214015</v>
      </c>
      <c r="AN49" s="59">
        <f ca="1">AVERAGE(OFFSET($AM$3,0,0,'Données projet'!$E$10+1,1))-AVERAGE(OFFSET($H$3,0,0,'Données projet'!$E$10+1,1))</f>
        <v>542.51810435067659</v>
      </c>
      <c r="AO49" s="59">
        <f t="shared" si="36"/>
        <v>325.7263575945085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5.0431352766978197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5.0431352766978197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186.99999999999997</v>
      </c>
      <c r="BE49" s="13">
        <f>BD49*VLOOKUP('Données projet'!$B$11,Paramètres!$A$1:$I$89,3,0)*VLOOKUP('Données projet'!$B$11,Paramètres!$A$1:$I$89,5,0)</f>
        <v>169.19759999999997</v>
      </c>
      <c r="BF49" s="13">
        <f t="shared" si="37"/>
        <v>42.910263223432885</v>
      </c>
      <c r="BG49" s="20">
        <f t="shared" si="7"/>
        <v>369.42119511414552</v>
      </c>
      <c r="BH49" s="59">
        <f t="shared" si="8"/>
        <v>621.77146851287114</v>
      </c>
      <c r="BI49" s="59">
        <f ca="1">AVERAGE(OFFSET($BH$3,0,0,'Données projet'!$E$11+1,1))-AVERAGE(OFFSET($H$3,0,0,'Données projet'!$E$11+1,1))</f>
        <v>492.39485179035256</v>
      </c>
      <c r="BJ49" s="59">
        <f t="shared" si="38"/>
        <v>297.32483725004124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4.5000284007457454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4.5000284007457454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98.59999999999998</v>
      </c>
      <c r="BZ49" s="13">
        <f>BY49*VLOOKUP('Données projet'!$B$12,Paramètres!$A$1:$I$89,3,0)*VLOOKUP('Données projet'!$B$12,Paramètres!$A$1:$I$89,5,0)</f>
        <v>93.827759999999984</v>
      </c>
      <c r="CA49" s="13">
        <f t="shared" si="39"/>
        <v>25.486138814422123</v>
      </c>
      <c r="CB49" s="20">
        <f t="shared" si="10"/>
        <v>207.80504043511849</v>
      </c>
      <c r="CC49" s="59">
        <f t="shared" si="11"/>
        <v>460.15531383384416</v>
      </c>
      <c r="CD49" s="59">
        <f ca="1">AVERAGE(OFFSET($CC$3,0,0,'Données projet'!$E$12+1,1))-AVERAGE(OFFSET($H$3,0,0,'Données projet'!$E$12+1,1))</f>
        <v>260.51631161522039</v>
      </c>
      <c r="CE49" s="59">
        <f t="shared" si="40"/>
        <v>171.3469666102674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2.3663942452197464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2.3663942452197464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10.5</v>
      </c>
      <c r="N50" s="13">
        <f>IF('Données projet'!$A$36&gt;35,N49+M50-V49,IF(A50&lt;'Données projet'!$A$36,$K$205^A50,IF(A50='Données projet'!$A$36,'Données projet'!$B$36,N49+M50-V49)))</f>
        <v>223.5</v>
      </c>
      <c r="O50" s="13">
        <f>N50*VLOOKUP('Données projet'!$B$9,Paramètres!$A$1:$I$89,3,0)*VLOOKUP('Données projet'!$B$9,Paramètres!$A$1:$I$89,5,0)</f>
        <v>104.598</v>
      </c>
      <c r="P50" s="13">
        <f t="shared" si="33"/>
        <v>28.054525257841597</v>
      </c>
      <c r="Q50" s="20">
        <f t="shared" si="53"/>
        <v>231.03648149074078</v>
      </c>
      <c r="R50" s="59">
        <f t="shared" si="0"/>
        <v>484.0977193549362</v>
      </c>
      <c r="S50" s="59">
        <f ca="1">AVERAGE(OFFSET($R$3,0,0,'Données projet'!$E$9+1,1))-AVERAGE(OFFSET($H$3,0,0,'Données projet'!$E$9+1,1))</f>
        <v>167.82976403567059</v>
      </c>
      <c r="T50" s="59">
        <f t="shared" si="34"/>
        <v>232.70925470547317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7.8727393943530304</v>
      </c>
      <c r="AA50" s="21">
        <f>EXP(-LN(2)/25)*AA49+(1-EXP(-LN(2)/25))/(LN(2)/25)*Calculateur!V50*Calculateur!X50*VLOOKUP('Données projet'!$B$9,Paramètres!$A$1:$I$89,3,0)*0.475*44/12</f>
        <v>12.149263670195264</v>
      </c>
      <c r="AB50" s="21">
        <f>EXP(-LN(2)/2)*AB49+(1-EXP(-LN(2)/2))/(LN(2)/2)*V50*Y50*VLOOKUP('Données projet'!$B$9,Paramètres!$A$1:$I$89,3,0)*0.475*44/12</f>
        <v>0.76181086618396221</v>
      </c>
      <c r="AC50" s="22">
        <f t="shared" si="3"/>
        <v>20.783813930732254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197.99999999999997</v>
      </c>
      <c r="AJ50" s="13">
        <f>AI50*VLOOKUP('Données projet'!$B$10,Paramètres!$A$1:$I$89,3,0)*VLOOKUP('Données projet'!$B$10,Paramètres!$A$1:$I$89,5,0)</f>
        <v>200.77199999999999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689.67232542152533</v>
      </c>
      <c r="AN50" s="59">
        <f ca="1">AVERAGE(OFFSET($AM$3,0,0,'Données projet'!$E$10+1,1))-AVERAGE(OFFSET($H$3,0,0,'Données projet'!$E$10+1,1))</f>
        <v>542.51810435067659</v>
      </c>
      <c r="AO50" s="59">
        <f t="shared" si="36"/>
        <v>325.7263575945085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4.9442424699305638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4.9442424699305638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197.99999999999997</v>
      </c>
      <c r="BE50" s="13">
        <f>BD50*VLOOKUP('Données projet'!$B$11,Paramètres!$A$1:$I$89,3,0)*VLOOKUP('Données projet'!$B$11,Paramètres!$A$1:$I$89,5,0)</f>
        <v>179.15039999999996</v>
      </c>
      <c r="BF50" s="13">
        <f t="shared" si="37"/>
        <v>45.133113803437304</v>
      </c>
      <c r="BG50" s="20">
        <f t="shared" si="7"/>
        <v>390.62711987431993</v>
      </c>
      <c r="BH50" s="59">
        <f t="shared" si="8"/>
        <v>643.68835773851538</v>
      </c>
      <c r="BI50" s="59">
        <f ca="1">AVERAGE(OFFSET($BH$3,0,0,'Données projet'!$E$11+1,1))-AVERAGE(OFFSET($H$3,0,0,'Données projet'!$E$11+1,1))</f>
        <v>492.39485179035256</v>
      </c>
      <c r="BJ50" s="59">
        <f t="shared" si="38"/>
        <v>297.32483725004124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4.4117855885534247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4.4117855885534247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104.19999999999997</v>
      </c>
      <c r="BZ50" s="13">
        <f>BY50*VLOOKUP('Données projet'!$B$12,Paramètres!$A$1:$I$89,3,0)*VLOOKUP('Données projet'!$B$12,Paramètres!$A$1:$I$89,5,0)</f>
        <v>99.156719999999979</v>
      </c>
      <c r="CA50" s="13">
        <f t="shared" si="39"/>
        <v>26.7609988066732</v>
      </c>
      <c r="CB50" s="20">
        <f t="shared" si="10"/>
        <v>219.30669358828911</v>
      </c>
      <c r="CC50" s="59">
        <f t="shared" si="11"/>
        <v>472.36793145248453</v>
      </c>
      <c r="CD50" s="59">
        <f ca="1">AVERAGE(OFFSET($CC$3,0,0,'Données projet'!$E$12+1,1))-AVERAGE(OFFSET($H$3,0,0,'Données projet'!$E$12+1,1))</f>
        <v>260.51631161522039</v>
      </c>
      <c r="CE50" s="59">
        <f t="shared" si="40"/>
        <v>171.3469666102674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2.319990697428957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2.319990697428957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10.5</v>
      </c>
      <c r="N51" s="13">
        <f>IF('Données projet'!$A$36&gt;35,N50+M51-V50,IF(A51&lt;'Données projet'!$A$36,$K$205^A51,IF(A51='Données projet'!$A$36,'Données projet'!$B$36,N50+M51-V50)))</f>
        <v>234</v>
      </c>
      <c r="O51" s="13">
        <f>N51*VLOOKUP('Données projet'!$B$9,Paramètres!$A$1:$I$89,3,0)*VLOOKUP('Données projet'!$B$9,Paramètres!$A$1:$I$89,5,0)</f>
        <v>109.512</v>
      </c>
      <c r="P51" s="13">
        <f t="shared" si="33"/>
        <v>29.215978230632555</v>
      </c>
      <c r="Q51" s="20">
        <f t="shared" si="53"/>
        <v>241.61789541835171</v>
      </c>
      <c r="R51" s="59">
        <f t="shared" si="0"/>
        <v>495.37776410401943</v>
      </c>
      <c r="S51" s="59">
        <f ca="1">AVERAGE(OFFSET($R$3,0,0,'Données projet'!$E$9+1,1))-AVERAGE(OFFSET($H$3,0,0,'Données projet'!$E$9+1,1))</f>
        <v>167.82976403567059</v>
      </c>
      <c r="T51" s="59">
        <f t="shared" si="34"/>
        <v>232.70925470547317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7.7183597767266505</v>
      </c>
      <c r="AA51" s="21">
        <f>EXP(-LN(2)/25)*AA50+(1-EXP(-LN(2)/25))/(LN(2)/25)*Calculateur!V51*Calculateur!X51*VLOOKUP('Données projet'!$B$9,Paramètres!$A$1:$I$89,3,0)*0.475*44/12</f>
        <v>11.817041416231765</v>
      </c>
      <c r="AB51" s="21">
        <f>EXP(-LN(2)/2)*AB50+(1-EXP(-LN(2)/2))/(LN(2)/2)*V51*Y51*VLOOKUP('Données projet'!$B$9,Paramètres!$A$1:$I$89,3,0)*0.475*44/12</f>
        <v>0.5386816294602772</v>
      </c>
      <c r="AC51" s="22">
        <f t="shared" si="3"/>
        <v>20.074082822418696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208.99999999999997</v>
      </c>
      <c r="AJ51" s="13">
        <f>AI51*VLOOKUP('Données projet'!$B$10,Paramètres!$A$1:$I$89,3,0)*VLOOKUP('Données projet'!$B$10,Paramètres!$A$1:$I$89,5,0)</f>
        <v>211.92599999999999</v>
      </c>
      <c r="AK51" s="13">
        <f t="shared" si="35"/>
        <v>52.356241262970116</v>
      </c>
      <c r="AL51" s="20">
        <f t="shared" si="4"/>
        <v>460.29157019967289</v>
      </c>
      <c r="AM51" s="59">
        <f t="shared" si="5"/>
        <v>714.05143888534053</v>
      </c>
      <c r="AN51" s="59">
        <f ca="1">AVERAGE(OFFSET($AM$3,0,0,'Données projet'!$E$10+1,1))-AVERAGE(OFFSET($H$3,0,0,'Données projet'!$E$10+1,1))</f>
        <v>542.51810435067659</v>
      </c>
      <c r="AO51" s="59">
        <f t="shared" si="36"/>
        <v>325.7263575945085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4.8472888907853573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4.8472888907853573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208.99999999999997</v>
      </c>
      <c r="BE51" s="13">
        <f>BD51*VLOOKUP('Données projet'!$B$11,Paramètres!$A$1:$I$89,3,0)*VLOOKUP('Données projet'!$B$11,Paramètres!$A$1:$I$89,5,0)</f>
        <v>189.10319999999996</v>
      </c>
      <c r="BF51" s="13">
        <f t="shared" si="37"/>
        <v>47.34162854278712</v>
      </c>
      <c r="BG51" s="20">
        <f t="shared" si="7"/>
        <v>411.80807637868747</v>
      </c>
      <c r="BH51" s="59">
        <f t="shared" si="8"/>
        <v>665.56794506435517</v>
      </c>
      <c r="BI51" s="59">
        <f ca="1">AVERAGE(OFFSET($BH$3,0,0,'Données projet'!$E$11+1,1))-AVERAGE(OFFSET($H$3,0,0,'Données projet'!$E$11+1,1))</f>
        <v>492.39485179035256</v>
      </c>
      <c r="BJ51" s="59">
        <f t="shared" si="38"/>
        <v>297.32483725004124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4.3252731640853943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4.3252731640853943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109.79999999999997</v>
      </c>
      <c r="BZ51" s="13">
        <f>BY51*VLOOKUP('Données projet'!$B$12,Paramètres!$A$1:$I$89,3,0)*VLOOKUP('Données projet'!$B$12,Paramètres!$A$1:$I$89,5,0)</f>
        <v>104.48567999999997</v>
      </c>
      <c r="CA51" s="13">
        <f t="shared" si="39"/>
        <v>28.027904556241349</v>
      </c>
      <c r="CB51" s="20">
        <f t="shared" si="10"/>
        <v>230.7944931021203</v>
      </c>
      <c r="CC51" s="59">
        <f t="shared" si="11"/>
        <v>484.55436178778803</v>
      </c>
      <c r="CD51" s="59">
        <f ca="1">AVERAGE(OFFSET($CC$3,0,0,'Données projet'!$E$12+1,1))-AVERAGE(OFFSET($H$3,0,0,'Données projet'!$E$12+1,1))</f>
        <v>260.51631161522039</v>
      </c>
      <c r="CE51" s="59">
        <f t="shared" si="40"/>
        <v>171.3469666102674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2.2744970949069754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2.2744970949069754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10.5</v>
      </c>
      <c r="N52" s="13">
        <f>IF('Données projet'!$A$36&gt;35,N51+M52-V51,IF(A52&lt;'Données projet'!$A$36,$K$205^A52,IF(A52='Données projet'!$A$36,'Données projet'!$B$36,N51+M52-V51)))</f>
        <v>244.5</v>
      </c>
      <c r="O52" s="13">
        <f>N52*VLOOKUP('Données projet'!$B$9,Paramètres!$A$1:$I$89,3,0)*VLOOKUP('Données projet'!$B$9,Paramètres!$A$1:$I$89,5,0)</f>
        <v>114.426</v>
      </c>
      <c r="P52" s="13">
        <f t="shared" si="33"/>
        <v>30.371378515374175</v>
      </c>
      <c r="Q52" s="20">
        <f t="shared" si="53"/>
        <v>252.18876758094336</v>
      </c>
      <c r="R52" s="59">
        <f t="shared" si="0"/>
        <v>506.63514740523533</v>
      </c>
      <c r="S52" s="59">
        <f ca="1">AVERAGE(OFFSET($R$3,0,0,'Données projet'!$E$9+1,1))-AVERAGE(OFFSET($H$3,0,0,'Données projet'!$E$9+1,1))</f>
        <v>167.82976403567059</v>
      </c>
      <c r="T52" s="59">
        <f t="shared" si="34"/>
        <v>232.70925470547317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7.5670074492396546</v>
      </c>
      <c r="AA52" s="21">
        <f>EXP(-LN(2)/25)*AA51+(1-EXP(-LN(2)/25))/(LN(2)/25)*Calculateur!V52*Calculateur!X52*VLOOKUP('Données projet'!$B$9,Paramètres!$A$1:$I$89,3,0)*0.475*44/12</f>
        <v>11.493903797273708</v>
      </c>
      <c r="AB52" s="21">
        <f>EXP(-LN(2)/2)*AB51+(1-EXP(-LN(2)/2))/(LN(2)/2)*V52*Y52*VLOOKUP('Données projet'!$B$9,Paramètres!$A$1:$I$89,3,0)*0.475*44/12</f>
        <v>0.3809054330919811</v>
      </c>
      <c r="AC52" s="22">
        <f t="shared" si="3"/>
        <v>19.441816679605346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219.99999999999997</v>
      </c>
      <c r="AJ52" s="13">
        <f>AI52*VLOOKUP('Données projet'!$B$10,Paramètres!$A$1:$I$89,3,0)*VLOOKUP('Données projet'!$B$10,Paramètres!$A$1:$I$89,5,0)</f>
        <v>223.08</v>
      </c>
      <c r="AK52" s="13">
        <f t="shared" si="35"/>
        <v>54.783765878062667</v>
      </c>
      <c r="AL52" s="20">
        <f t="shared" si="4"/>
        <v>483.94605890429244</v>
      </c>
      <c r="AM52" s="59">
        <f t="shared" si="5"/>
        <v>738.39243872858447</v>
      </c>
      <c r="AN52" s="59">
        <f ca="1">AVERAGE(OFFSET($AM$3,0,0,'Données projet'!$E$10+1,1))-AVERAGE(OFFSET($H$3,0,0,'Données projet'!$E$10+1,1))</f>
        <v>542.51810435067659</v>
      </c>
      <c r="AO52" s="59">
        <f t="shared" si="36"/>
        <v>325.7263575945085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4.7522365121913444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4.7522365121913444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219.99999999999997</v>
      </c>
      <c r="BE52" s="13">
        <f>BD52*VLOOKUP('Données projet'!$B$11,Paramètres!$A$1:$I$89,3,0)*VLOOKUP('Données projet'!$B$11,Paramètres!$A$1:$I$89,5,0)</f>
        <v>199.05599999999998</v>
      </c>
      <c r="BF52" s="13">
        <f t="shared" si="37"/>
        <v>49.536648006253934</v>
      </c>
      <c r="BG52" s="20">
        <f t="shared" si="7"/>
        <v>432.96552861089225</v>
      </c>
      <c r="BH52" s="59">
        <f t="shared" si="8"/>
        <v>687.41190843518416</v>
      </c>
      <c r="BI52" s="59">
        <f ca="1">AVERAGE(OFFSET($BH$3,0,0,'Données projet'!$E$11+1,1))-AVERAGE(OFFSET($H$3,0,0,'Données projet'!$E$11+1,1))</f>
        <v>492.39485179035256</v>
      </c>
      <c r="BJ52" s="59">
        <f t="shared" si="38"/>
        <v>297.32483725004124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4.2404571954938133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4.2404571954938133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115.39999999999996</v>
      </c>
      <c r="BZ52" s="13">
        <f>BY52*VLOOKUP('Données projet'!$B$12,Paramètres!$A$1:$I$89,3,0)*VLOOKUP('Données projet'!$B$12,Paramètres!$A$1:$I$89,5,0)</f>
        <v>109.81463999999997</v>
      </c>
      <c r="CA52" s="13">
        <f t="shared" si="39"/>
        <v>29.287308025077461</v>
      </c>
      <c r="CB52" s="20">
        <f t="shared" si="10"/>
        <v>242.26922614367652</v>
      </c>
      <c r="CC52" s="59">
        <f t="shared" si="11"/>
        <v>496.71560596796849</v>
      </c>
      <c r="CD52" s="59">
        <f ca="1">AVERAGE(OFFSET($CC$3,0,0,'Données projet'!$E$12+1,1))-AVERAGE(OFFSET($H$3,0,0,'Données projet'!$E$12+1,1))</f>
        <v>260.51631161522039</v>
      </c>
      <c r="CE52" s="59">
        <f t="shared" si="40"/>
        <v>171.3469666102674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2.2298955941820924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2.2298955941820924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255</v>
      </c>
      <c r="L53" s="12">
        <f>VLOOKUP(A53,'Données projet'!$A$35:$I$55,9,0)</f>
        <v>10.5</v>
      </c>
      <c r="M53" s="12">
        <f t="array" ref="M53">INDEX(L:L,MIN(IF(ISNUMBER(L53:L249),ROW(L53:L249),"")))</f>
        <v>10.5</v>
      </c>
      <c r="N53" s="13">
        <f>IF('Données projet'!$A$36&gt;35,N52+M53-V52,IF(A53&lt;'Données projet'!$A$36,$K$205^A53,IF(A53='Données projet'!$A$36,'Données projet'!$B$36,N52+M53-V52)))</f>
        <v>255</v>
      </c>
      <c r="O53" s="13">
        <f>N53*VLOOKUP('Données projet'!$B$9,Paramètres!$A$1:$I$89,3,0)*VLOOKUP('Données projet'!$B$9,Paramètres!$A$1:$I$89,5,0)</f>
        <v>119.34</v>
      </c>
      <c r="P53" s="13">
        <f t="shared" si="33"/>
        <v>31.521015757082463</v>
      </c>
      <c r="Q53" s="20">
        <f t="shared" si="53"/>
        <v>262.74960244358527</v>
      </c>
      <c r="R53" s="59">
        <f t="shared" si="0"/>
        <v>517.87058397305532</v>
      </c>
      <c r="S53" s="59">
        <f ca="1">AVERAGE(OFFSET($R$3,0,0,'Données projet'!$E$9+1,1))-AVERAGE(OFFSET($H$3,0,0,'Données projet'!$E$9+1,1))</f>
        <v>167.82976403567059</v>
      </c>
      <c r="T53" s="59">
        <f t="shared" si="34"/>
        <v>232.70925470547317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50</v>
      </c>
      <c r="W53" s="16">
        <f>IF(ISNA(VLOOKUP(A53,'Données projet'!$A$35:$I$55,5,0)),0%,VLOOKUP(A53,'Données projet'!$A$35:$I$55,5,0)*VLOOKUP('Données projet'!$B$9,Paramètres!$A$1:$I$89,7,0))</f>
        <v>0.22000000000000003</v>
      </c>
      <c r="X53" s="16">
        <f>IF(ISNA(VLOOKUP(A53,'Données projet'!$A$35:$I$55,6,0)),0%,VLOOKUP(A53,'Données projet'!$A$35:$I$55,6,0)*VLOOKUP('Données projet'!$B$9,Paramètres!$A$1:$I$89,7,0))</f>
        <v>0.18700000000000003</v>
      </c>
      <c r="Y53" s="16">
        <f>IF(ISNA(VLOOKUP(A53,'Données projet'!$A$35:$I$55,7,0)),0%,VLOOKUP(A53,'Données projet'!$A$35:$I$55,7,0))</f>
        <v>0.26</v>
      </c>
      <c r="Z53" s="21">
        <f>EXP(-LN(2)/35)*Z52+(1-EXP(-LN(2)/35))/(LN(2)/35)*V53*W53*VLOOKUP('Données projet'!$B$9,Paramètres!$A$1:$I$89,3,0)*0.475*44/12</f>
        <v>14.247776865181628</v>
      </c>
      <c r="AA53" s="21">
        <f>EXP(-LN(2)/25)*AA52+(1-EXP(-LN(2)/25))/(LN(2)/25)*Calculateur!V53*Calculateur!X53*VLOOKUP('Données projet'!$B$9,Paramètres!$A$1:$I$89,3,0)*0.475*44/12</f>
        <v>16.961527504027032</v>
      </c>
      <c r="AB53" s="21">
        <f>EXP(-LN(2)/2)*AB52+(1-EXP(-LN(2)/2))/(LN(2)/2)*V53*Y53*VLOOKUP('Données projet'!$B$9,Paramètres!$A$1:$I$89,3,0)*0.475*44/12</f>
        <v>7.1578421128811556</v>
      </c>
      <c r="AC53" s="22">
        <f t="shared" si="3"/>
        <v>38.367146482089815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230.99999999999997</v>
      </c>
      <c r="AJ53" s="13">
        <f>AI53*VLOOKUP('Données projet'!$B$10,Paramètres!$A$1:$I$89,3,0)*VLOOKUP('Données projet'!$B$10,Paramètres!$A$1:$I$89,5,0)</f>
        <v>234.23399999999998</v>
      </c>
      <c r="AK53" s="13">
        <f t="shared" si="35"/>
        <v>57.197197133603488</v>
      </c>
      <c r="AL53" s="20">
        <f t="shared" si="4"/>
        <v>507.5760016743593</v>
      </c>
      <c r="AM53" s="59">
        <f t="shared" si="5"/>
        <v>762.6969832038294</v>
      </c>
      <c r="AN53" s="59">
        <f ca="1">AVERAGE(OFFSET($AM$3,0,0,'Données projet'!$E$10+1,1))-AVERAGE(OFFSET($H$3,0,0,'Données projet'!$E$10+1,1))</f>
        <v>542.51810435067659</v>
      </c>
      <c r="AO53" s="59">
        <f t="shared" si="36"/>
        <v>325.7263575945085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8.7079084897905723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8.7079084897905723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230.99999999999997</v>
      </c>
      <c r="BE53" s="13">
        <f>BD53*VLOOKUP('Données projet'!$B$11,Paramètres!$A$1:$I$89,3,0)*VLOOKUP('Données projet'!$B$11,Paramètres!$A$1:$I$89,5,0)</f>
        <v>209.00879999999995</v>
      </c>
      <c r="BF53" s="13">
        <f t="shared" si="37"/>
        <v>51.718923953824202</v>
      </c>
      <c r="BG53" s="20">
        <f t="shared" si="7"/>
        <v>454.10078588624361</v>
      </c>
      <c r="BH53" s="59">
        <f t="shared" si="8"/>
        <v>709.22176741571366</v>
      </c>
      <c r="BI53" s="59">
        <f ca="1">AVERAGE(OFFSET($BH$3,0,0,'Données projet'!$E$11+1,1))-AVERAGE(OFFSET($H$3,0,0,'Données projet'!$E$11+1,1))</f>
        <v>492.39485179035256</v>
      </c>
      <c r="BJ53" s="59">
        <f t="shared" si="38"/>
        <v>297.32483725004124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7.7701337293515849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7.7701337293515849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121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120.99999999999996</v>
      </c>
      <c r="BZ53" s="13">
        <f>BY53*VLOOKUP('Données projet'!$B$12,Paramètres!$A$1:$I$89,3,0)*VLOOKUP('Données projet'!$B$12,Paramètres!$A$1:$I$89,5,0)</f>
        <v>115.14359999999996</v>
      </c>
      <c r="CA53" s="13">
        <f t="shared" si="39"/>
        <v>30.539614832250223</v>
      </c>
      <c r="CB53" s="20">
        <f t="shared" si="10"/>
        <v>253.7315991661691</v>
      </c>
      <c r="CC53" s="59">
        <f t="shared" si="11"/>
        <v>508.85258069563918</v>
      </c>
      <c r="CD53" s="59">
        <f ca="1">AVERAGE(OFFSET($CC$3,0,0,'Données projet'!$E$12+1,1))-AVERAGE(OFFSET($H$3,0,0,'Données projet'!$E$12+1,1))</f>
        <v>260.51631161522039</v>
      </c>
      <c r="CE53" s="59">
        <f t="shared" si="40"/>
        <v>171.3469666102674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14</v>
      </c>
      <c r="CH53" s="16">
        <f>IF(ISNA(VLOOKUP(A53,'Données projet'!$A$113:$I$133,5,0)),0%,VLOOKUP(A53,'Données projet'!$A$113:$I$133,5,0)*VLOOKUP('Données projet'!$B$12,Paramètres!$A$1:$I$89,7,0))</f>
        <v>8.6000000000000007E-2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3.4527352999311161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3.4527352999311161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</v>
      </c>
      <c r="N54" s="13">
        <f>IF('Données projet'!$A$36&gt;35,N53+M54-V53,IF(A54&lt;'Données projet'!$A$36,$K$205^A54,IF(A54='Données projet'!$A$36,'Données projet'!$B$36,N53+M54-V53)))</f>
        <v>214.5</v>
      </c>
      <c r="O54" s="13">
        <f>N54*VLOOKUP('Données projet'!$B$9,Paramètres!$A$1:$I$89,3,0)*VLOOKUP('Données projet'!$B$9,Paramètres!$A$1:$I$89,5,0)</f>
        <v>100.386</v>
      </c>
      <c r="P54" s="13">
        <f t="shared" si="33"/>
        <v>27.05393609634266</v>
      </c>
      <c r="Q54" s="20">
        <f t="shared" si="53"/>
        <v>221.95788870113009</v>
      </c>
      <c r="R54" s="59">
        <f t="shared" si="0"/>
        <v>477.74176910437689</v>
      </c>
      <c r="S54" s="59">
        <f ca="1">AVERAGE(OFFSET($R$3,0,0,'Données projet'!$E$9+1,1))-AVERAGE(OFFSET($H$3,0,0,'Données projet'!$E$9+1,1))</f>
        <v>167.82976403567059</v>
      </c>
      <c r="T54" s="59">
        <f t="shared" si="34"/>
        <v>232.70925470547317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13.968386651141209</v>
      </c>
      <c r="AA54" s="21">
        <f>EXP(-LN(2)/25)*AA53+(1-EXP(-LN(2)/25))/(LN(2)/25)*Calculateur!V54*Calculateur!X54*VLOOKUP('Données projet'!$B$9,Paramètres!$A$1:$I$89,3,0)*0.475*44/12</f>
        <v>16.497713642461449</v>
      </c>
      <c r="AB54" s="21">
        <f>EXP(-LN(2)/2)*AB53+(1-EXP(-LN(2)/2))/(LN(2)/2)*V54*Y54*VLOOKUP('Données projet'!$B$9,Paramètres!$A$1:$I$89,3,0)*0.475*44/12</f>
        <v>5.0613586966809105</v>
      </c>
      <c r="AC54" s="22">
        <f t="shared" si="3"/>
        <v>35.52745899028357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213.19999999999996</v>
      </c>
      <c r="AJ54" s="13">
        <f>AI54*VLOOKUP('Données projet'!$B$10,Paramètres!$A$1:$I$89,3,0)*VLOOKUP('Données projet'!$B$10,Paramètres!$A$1:$I$89,5,0)</f>
        <v>216.1848</v>
      </c>
      <c r="AK54" s="13">
        <f t="shared" si="35"/>
        <v>53.284828478170375</v>
      </c>
      <c r="AL54" s="20">
        <f t="shared" si="4"/>
        <v>469.32626959947999</v>
      </c>
      <c r="AM54" s="59">
        <f t="shared" si="5"/>
        <v>725.11015000272687</v>
      </c>
      <c r="AN54" s="59">
        <f ca="1">AVERAGE(OFFSET($AM$3,0,0,'Données projet'!$E$10+1,1))-AVERAGE(OFFSET($H$3,0,0,'Données projet'!$E$10+1,1))</f>
        <v>542.51810435067659</v>
      </c>
      <c r="AO54" s="59">
        <f t="shared" si="36"/>
        <v>325.7263575945085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8.5371517156055106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8.5371517156055106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213.19999999999996</v>
      </c>
      <c r="BE54" s="13">
        <f>BD54*VLOOKUP('Données projet'!$B$11,Paramètres!$A$1:$I$89,3,0)*VLOOKUP('Données projet'!$B$11,Paramètres!$A$1:$I$89,5,0)</f>
        <v>192.90335999999994</v>
      </c>
      <c r="BF54" s="13">
        <f t="shared" si="37"/>
        <v>48.181276881765257</v>
      </c>
      <c r="BG54" s="20">
        <f t="shared" si="7"/>
        <v>419.88907590240768</v>
      </c>
      <c r="BH54" s="59">
        <f t="shared" si="8"/>
        <v>675.67295630565445</v>
      </c>
      <c r="BI54" s="59">
        <f ca="1">AVERAGE(OFFSET($BH$3,0,0,'Données projet'!$E$11+1,1))-AVERAGE(OFFSET($H$3,0,0,'Données projet'!$E$11+1,1))</f>
        <v>492.39485179035256</v>
      </c>
      <c r="BJ54" s="59">
        <f t="shared" si="38"/>
        <v>297.32483725004124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7.6177661462326069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7.6177661462326069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112.59999999999995</v>
      </c>
      <c r="BZ54" s="13">
        <f>BY54*VLOOKUP('Données projet'!$B$12,Paramètres!$A$1:$I$89,3,0)*VLOOKUP('Données projet'!$B$12,Paramètres!$A$1:$I$89,5,0)</f>
        <v>107.15015999999994</v>
      </c>
      <c r="CA54" s="13">
        <f t="shared" si="39"/>
        <v>28.658517723314318</v>
      </c>
      <c r="CB54" s="20">
        <f t="shared" si="10"/>
        <v>236.53344703477231</v>
      </c>
      <c r="CC54" s="59">
        <f t="shared" si="11"/>
        <v>492.31732743801911</v>
      </c>
      <c r="CD54" s="59">
        <f ca="1">AVERAGE(OFFSET($CC$3,0,0,'Données projet'!$E$12+1,1))-AVERAGE(OFFSET($H$3,0,0,'Données projet'!$E$12+1,1))</f>
        <v>260.51631161522039</v>
      </c>
      <c r="CE54" s="59">
        <f t="shared" si="40"/>
        <v>171.3469666102674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3.3850292666600534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3.3850292666600534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</v>
      </c>
      <c r="N55" s="13">
        <f>IF('Données projet'!$A$36&gt;35,N54+M55-V54,IF(A55&lt;'Données projet'!$A$36,$K$205^A55,IF(A55='Données projet'!$A$36,'Données projet'!$B$36,N54+M55-V54)))</f>
        <v>224</v>
      </c>
      <c r="O55" s="13">
        <f>N55*VLOOKUP('Données projet'!$B$9,Paramètres!$A$1:$I$89,3,0)*VLOOKUP('Données projet'!$B$9,Paramètres!$A$1:$I$89,5,0)</f>
        <v>104.83200000000001</v>
      </c>
      <c r="P55" s="13">
        <f t="shared" si="33"/>
        <v>28.109974371137717</v>
      </c>
      <c r="Q55" s="20">
        <f t="shared" si="53"/>
        <v>231.54060536306486</v>
      </c>
      <c r="R55" s="59">
        <f t="shared" si="0"/>
        <v>487.97588482664821</v>
      </c>
      <c r="S55" s="59">
        <f ca="1">AVERAGE(OFFSET($R$3,0,0,'Données projet'!$E$9+1,1))-AVERAGE(OFFSET($H$3,0,0,'Données projet'!$E$9+1,1))</f>
        <v>167.82976403567059</v>
      </c>
      <c r="T55" s="59">
        <f t="shared" si="34"/>
        <v>232.70925470547317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13.69447510878692</v>
      </c>
      <c r="AA55" s="21">
        <f>EXP(-LN(2)/25)*AA54+(1-EXP(-LN(2)/25))/(LN(2)/25)*Calculateur!V55*Calculateur!X55*VLOOKUP('Données projet'!$B$9,Paramètres!$A$1:$I$89,3,0)*0.475*44/12</f>
        <v>16.046582795331286</v>
      </c>
      <c r="AB55" s="21">
        <f>EXP(-LN(2)/2)*AB54+(1-EXP(-LN(2)/2))/(LN(2)/2)*V55*Y55*VLOOKUP('Données projet'!$B$9,Paramètres!$A$1:$I$89,3,0)*0.475*44/12</f>
        <v>3.5789210564405782</v>
      </c>
      <c r="AC55" s="22">
        <f t="shared" si="3"/>
        <v>33.319978960558785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223.39999999999995</v>
      </c>
      <c r="AJ55" s="13">
        <f>AI55*VLOOKUP('Données projet'!$B$10,Paramètres!$A$1:$I$89,3,0)*VLOOKUP('Données projet'!$B$10,Paramètres!$A$1:$I$89,5,0)</f>
        <v>226.52759999999998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747.68769645403472</v>
      </c>
      <c r="AN55" s="59">
        <f ca="1">AVERAGE(OFFSET($AM$3,0,0,'Données projet'!$E$10+1,1))-AVERAGE(OFFSET($H$3,0,0,'Données projet'!$E$10+1,1))</f>
        <v>542.51810435067659</v>
      </c>
      <c r="AO55" s="59">
        <f t="shared" si="36"/>
        <v>325.7263575945085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8.3697433776108703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8.3697433776108703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223.39999999999995</v>
      </c>
      <c r="BE55" s="13">
        <f>BD55*VLOOKUP('Données projet'!$B$11,Paramètres!$A$1:$I$89,3,0)*VLOOKUP('Données projet'!$B$11,Paramètres!$A$1:$I$89,5,0)</f>
        <v>202.13231999999996</v>
      </c>
      <c r="BF55" s="13">
        <f t="shared" si="37"/>
        <v>50.212497488959627</v>
      </c>
      <c r="BG55" s="20">
        <f t="shared" si="7"/>
        <v>439.50055712660463</v>
      </c>
      <c r="BH55" s="59">
        <f t="shared" si="8"/>
        <v>695.93583659018805</v>
      </c>
      <c r="BI55" s="59">
        <f ca="1">AVERAGE(OFFSET($BH$3,0,0,'Données projet'!$E$11+1,1))-AVERAGE(OFFSET($H$3,0,0,'Données projet'!$E$11+1,1))</f>
        <v>492.39485179035256</v>
      </c>
      <c r="BJ55" s="59">
        <f t="shared" si="38"/>
        <v>297.32483725004124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7.4683863984835428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7.4683863984835428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118.19999999999995</v>
      </c>
      <c r="BZ55" s="13">
        <f>BY55*VLOOKUP('Données projet'!$B$12,Paramètres!$A$1:$I$89,3,0)*VLOOKUP('Données projet'!$B$12,Paramètres!$A$1:$I$89,5,0)</f>
        <v>112.47911999999994</v>
      </c>
      <c r="CA55" s="13">
        <f t="shared" si="39"/>
        <v>29.914324778874605</v>
      </c>
      <c r="CB55" s="20">
        <f t="shared" si="10"/>
        <v>248.00191632320647</v>
      </c>
      <c r="CC55" s="59">
        <f t="shared" si="11"/>
        <v>504.43719578678986</v>
      </c>
      <c r="CD55" s="59">
        <f ca="1">AVERAGE(OFFSET($CC$3,0,0,'Données projet'!$E$12+1,1))-AVERAGE(OFFSET($H$3,0,0,'Données projet'!$E$12+1,1))</f>
        <v>260.51631161522039</v>
      </c>
      <c r="CE55" s="59">
        <f t="shared" si="40"/>
        <v>171.3469666102674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3.3186509074048338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3.3186509074048338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</v>
      </c>
      <c r="N56" s="13">
        <f>IF('Données projet'!$A$36&gt;35,N55+M56-V55,IF(A56&lt;'Données projet'!$A$36,$K$205^A56,IF(A56='Données projet'!$A$36,'Données projet'!$B$36,N55+M56-V55)))</f>
        <v>233.5</v>
      </c>
      <c r="O56" s="13">
        <f>N56*VLOOKUP('Données projet'!$B$9,Paramètres!$A$1:$I$89,3,0)*VLOOKUP('Données projet'!$B$9,Paramètres!$A$1:$I$89,5,0)</f>
        <v>109.27800000000001</v>
      </c>
      <c r="P56" s="13">
        <f t="shared" si="33"/>
        <v>29.160810599699261</v>
      </c>
      <c r="Q56" s="20">
        <f t="shared" si="53"/>
        <v>241.11426179447619</v>
      </c>
      <c r="R56" s="59">
        <f t="shared" si="0"/>
        <v>498.18964000100942</v>
      </c>
      <c r="S56" s="59">
        <f ca="1">AVERAGE(OFFSET($R$3,0,0,'Données projet'!$E$9+1,1))-AVERAGE(OFFSET($H$3,0,0,'Données projet'!$E$9+1,1))</f>
        <v>167.82976403567059</v>
      </c>
      <c r="T56" s="59">
        <f t="shared" si="34"/>
        <v>232.70925470547317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13.425934804708653</v>
      </c>
      <c r="AA56" s="21">
        <f>EXP(-LN(2)/25)*AA55+(1-EXP(-LN(2)/25))/(LN(2)/25)*Calculateur!V56*Calculateur!X56*VLOOKUP('Données projet'!$B$9,Paramètres!$A$1:$I$89,3,0)*0.475*44/12</f>
        <v>15.607788144939837</v>
      </c>
      <c r="AB56" s="21">
        <f>EXP(-LN(2)/2)*AB55+(1-EXP(-LN(2)/2))/(LN(2)/2)*V56*Y56*VLOOKUP('Données projet'!$B$9,Paramètres!$A$1:$I$89,3,0)*0.475*44/12</f>
        <v>2.5306793483404557</v>
      </c>
      <c r="AC56" s="22">
        <f t="shared" si="3"/>
        <v>31.564402297988948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233.59999999999994</v>
      </c>
      <c r="AJ56" s="13">
        <f>AI56*VLOOKUP('Données projet'!$B$10,Paramètres!$A$1:$I$89,3,0)*VLOOKUP('Données projet'!$B$10,Paramètres!$A$1:$I$89,5,0)</f>
        <v>236.87039999999996</v>
      </c>
      <c r="AK56" s="13">
        <f t="shared" si="35"/>
        <v>57.765668276484661</v>
      </c>
      <c r="AL56" s="20">
        <f t="shared" si="4"/>
        <v>513.15781891487734</v>
      </c>
      <c r="AM56" s="59">
        <f t="shared" si="5"/>
        <v>770.23319712141051</v>
      </c>
      <c r="AN56" s="59">
        <f ca="1">AVERAGE(OFFSET($AM$3,0,0,'Données projet'!$E$10+1,1))-AVERAGE(OFFSET($H$3,0,0,'Données projet'!$E$10+1,1))</f>
        <v>542.51810435067659</v>
      </c>
      <c r="AO56" s="59">
        <f t="shared" si="36"/>
        <v>325.7263575945085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8.2056178150152999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8.2056178150152999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233.59999999999994</v>
      </c>
      <c r="BE56" s="13">
        <f>BD56*VLOOKUP('Données projet'!$B$11,Paramètres!$A$1:$I$89,3,0)*VLOOKUP('Données projet'!$B$11,Paramètres!$A$1:$I$89,5,0)</f>
        <v>211.36127999999991</v>
      </c>
      <c r="BF56" s="13">
        <f t="shared" si="37"/>
        <v>52.232947669705631</v>
      </c>
      <c r="BG56" s="20">
        <f t="shared" si="7"/>
        <v>459.0932798580705</v>
      </c>
      <c r="BH56" s="59">
        <f t="shared" si="8"/>
        <v>716.16865806460373</v>
      </c>
      <c r="BI56" s="59">
        <f ca="1">AVERAGE(OFFSET($BH$3,0,0,'Données projet'!$E$11+1,1))-AVERAGE(OFFSET($H$3,0,0,'Données projet'!$E$11+1,1))</f>
        <v>492.39485179035256</v>
      </c>
      <c r="BJ56" s="59">
        <f t="shared" si="38"/>
        <v>297.32483725004124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7.3219358964751882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7.3219358964751882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123.79999999999994</v>
      </c>
      <c r="BZ56" s="13">
        <f>BY56*VLOOKUP('Données projet'!$B$12,Paramètres!$A$1:$I$89,3,0)*VLOOKUP('Données projet'!$B$12,Paramètres!$A$1:$I$89,5,0)</f>
        <v>117.80807999999993</v>
      </c>
      <c r="CA56" s="13">
        <f t="shared" si="39"/>
        <v>31.163222740883338</v>
      </c>
      <c r="CB56" s="20">
        <f t="shared" si="10"/>
        <v>259.45835227370497</v>
      </c>
      <c r="CC56" s="59">
        <f t="shared" si="11"/>
        <v>516.53373048023821</v>
      </c>
      <c r="CD56" s="59">
        <f ca="1">AVERAGE(OFFSET($CC$3,0,0,'Données projet'!$E$12+1,1))-AVERAGE(OFFSET($H$3,0,0,'Données projet'!$E$12+1,1))</f>
        <v>260.51631161522039</v>
      </c>
      <c r="CE56" s="59">
        <f t="shared" si="40"/>
        <v>171.3469666102674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3.2535741872878075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3.2535741872878075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</v>
      </c>
      <c r="N57" s="13">
        <f>IF('Données projet'!$A$36&gt;35,N56+M57-V56,IF(A57&lt;'Données projet'!$A$36,$K$205^A57,IF(A57='Données projet'!$A$36,'Données projet'!$B$36,N56+M57-V56)))</f>
        <v>243</v>
      </c>
      <c r="O57" s="13">
        <f>N57*VLOOKUP('Données projet'!$B$9,Paramètres!$A$1:$I$89,3,0)*VLOOKUP('Données projet'!$B$9,Paramètres!$A$1:$I$89,5,0)</f>
        <v>113.72399999999999</v>
      </c>
      <c r="P57" s="13">
        <f t="shared" si="33"/>
        <v>30.206680638130489</v>
      </c>
      <c r="Q57" s="20">
        <f t="shared" si="53"/>
        <v>250.67926877807722</v>
      </c>
      <c r="R57" s="59">
        <f t="shared" si="0"/>
        <v>508.38364144541652</v>
      </c>
      <c r="S57" s="59">
        <f ca="1">AVERAGE(OFFSET($R$3,0,0,'Données projet'!$E$9+1,1))-AVERAGE(OFFSET($H$3,0,0,'Données projet'!$E$9+1,1))</f>
        <v>167.82976403567059</v>
      </c>
      <c r="T57" s="59">
        <f t="shared" si="34"/>
        <v>232.70925470547317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13.16266041219995</v>
      </c>
      <c r="AA57" s="21">
        <f>EXP(-LN(2)/25)*AA56+(1-EXP(-LN(2)/25))/(LN(2)/25)*Calculateur!V57*Calculateur!X57*VLOOKUP('Données projet'!$B$9,Paramètres!$A$1:$I$89,3,0)*0.475*44/12</f>
        <v>15.180992357338551</v>
      </c>
      <c r="AB57" s="21">
        <f>EXP(-LN(2)/2)*AB56+(1-EXP(-LN(2)/2))/(LN(2)/2)*V57*Y57*VLOOKUP('Données projet'!$B$9,Paramètres!$A$1:$I$89,3,0)*0.475*44/12</f>
        <v>1.7894605282202893</v>
      </c>
      <c r="AC57" s="22">
        <f t="shared" si="3"/>
        <v>30.13311329775879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243.79999999999993</v>
      </c>
      <c r="AJ57" s="13">
        <f>AI57*VLOOKUP('Données projet'!$B$10,Paramètres!$A$1:$I$89,3,0)*VLOOKUP('Données projet'!$B$10,Paramètres!$A$1:$I$89,5,0)</f>
        <v>247.21319999999997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792.74785740689208</v>
      </c>
      <c r="AN57" s="59">
        <f ca="1">AVERAGE(OFFSET($AM$3,0,0,'Données projet'!$E$10+1,1))-AVERAGE(OFFSET($H$3,0,0,'Données projet'!$E$10+1,1))</f>
        <v>542.51810435067659</v>
      </c>
      <c r="AO57" s="59">
        <f t="shared" si="36"/>
        <v>325.7263575945085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8.0447106545955211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8.0447106545955211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243.79999999999993</v>
      </c>
      <c r="BE57" s="13">
        <f>BD57*VLOOKUP('Données projet'!$B$11,Paramètres!$A$1:$I$89,3,0)*VLOOKUP('Données projet'!$B$11,Paramètres!$A$1:$I$89,5,0)</f>
        <v>220.59023999999991</v>
      </c>
      <c r="BF57" s="13">
        <f t="shared" si="37"/>
        <v>54.243151457087848</v>
      </c>
      <c r="BG57" s="20">
        <f t="shared" si="7"/>
        <v>478.66815678776123</v>
      </c>
      <c r="BH57" s="59">
        <f t="shared" si="8"/>
        <v>736.37252945510056</v>
      </c>
      <c r="BI57" s="59">
        <f ca="1">AVERAGE(OFFSET($BH$3,0,0,'Données projet'!$E$11+1,1))-AVERAGE(OFFSET($H$3,0,0,'Données projet'!$E$11+1,1))</f>
        <v>492.39485179035256</v>
      </c>
      <c r="BJ57" s="59">
        <f t="shared" si="38"/>
        <v>297.32483725004124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7.178357199485232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7.178357199485232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129.39999999999995</v>
      </c>
      <c r="BZ57" s="13">
        <f>BY57*VLOOKUP('Données projet'!$B$12,Paramètres!$A$1:$I$89,3,0)*VLOOKUP('Données projet'!$B$12,Paramètres!$A$1:$I$89,5,0)</f>
        <v>123.13703999999996</v>
      </c>
      <c r="CA57" s="13">
        <f t="shared" si="39"/>
        <v>32.40555984092714</v>
      </c>
      <c r="CB57" s="20">
        <f t="shared" si="10"/>
        <v>270.9033613896147</v>
      </c>
      <c r="CC57" s="59">
        <f t="shared" si="11"/>
        <v>528.60773405695409</v>
      </c>
      <c r="CD57" s="59">
        <f ca="1">AVERAGE(OFFSET($CC$3,0,0,'Données projet'!$E$12+1,1))-AVERAGE(OFFSET($H$3,0,0,'Données projet'!$E$12+1,1))</f>
        <v>260.51631161522039</v>
      </c>
      <c r="CE57" s="59">
        <f t="shared" si="40"/>
        <v>171.3469666102674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3.1897735819593964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3.1897735819593964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</v>
      </c>
      <c r="N58" s="13">
        <f>IF('Données projet'!$A$36&gt;35,N57+M58-V57,IF(A58&lt;'Données projet'!$A$36,$K$205^A58,IF(A58='Données projet'!$A$36,'Données projet'!$B$36,N57+M58-V57)))</f>
        <v>252.5</v>
      </c>
      <c r="O58" s="13">
        <f>N58*VLOOKUP('Données projet'!$B$9,Paramètres!$A$1:$I$89,3,0)*VLOOKUP('Données projet'!$B$9,Paramètres!$A$1:$I$89,5,0)</f>
        <v>118.16999999999999</v>
      </c>
      <c r="P58" s="13">
        <f t="shared" si="33"/>
        <v>31.247800856969125</v>
      </c>
      <c r="Q58" s="20">
        <f t="shared" si="53"/>
        <v>260.23600315922118</v>
      </c>
      <c r="R58" s="59">
        <f t="shared" si="0"/>
        <v>518.55845863969262</v>
      </c>
      <c r="S58" s="59">
        <f ca="1">AVERAGE(OFFSET($R$3,0,0,'Données projet'!$E$9+1,1))-AVERAGE(OFFSET($H$3,0,0,'Données projet'!$E$9+1,1))</f>
        <v>167.82976403567059</v>
      </c>
      <c r="T58" s="59">
        <f t="shared" si="34"/>
        <v>232.70925470547317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12.904548669946818</v>
      </c>
      <c r="AA58" s="21">
        <f>EXP(-LN(2)/25)*AA57+(1-EXP(-LN(2)/25))/(LN(2)/25)*Calculateur!V58*Calculateur!X58*VLOOKUP('Données projet'!$B$9,Paramètres!$A$1:$I$89,3,0)*0.475*44/12</f>
        <v>14.765867322993437</v>
      </c>
      <c r="AB58" s="21">
        <f>EXP(-LN(2)/2)*AB57+(1-EXP(-LN(2)/2))/(LN(2)/2)*V58*Y58*VLOOKUP('Données projet'!$B$9,Paramètres!$A$1:$I$89,3,0)*0.475*44/12</f>
        <v>1.2653396741702281</v>
      </c>
      <c r="AC58" s="22">
        <f t="shared" si="3"/>
        <v>28.935755667110485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253.99999999999991</v>
      </c>
      <c r="AJ58" s="13">
        <f>AI58*VLOOKUP('Données projet'!$B$10,Paramètres!$A$1:$I$89,3,0)*VLOOKUP('Données projet'!$B$10,Paramètres!$A$1:$I$89,5,0)</f>
        <v>257.55599999999993</v>
      </c>
      <c r="AK58" s="13">
        <f t="shared" si="35"/>
        <v>62.201129910568184</v>
      </c>
      <c r="AL58" s="20">
        <f t="shared" si="4"/>
        <v>556.91033459423932</v>
      </c>
      <c r="AM58" s="59">
        <f t="shared" si="5"/>
        <v>815.23279007471069</v>
      </c>
      <c r="AN58" s="59">
        <f ca="1">AVERAGE(OFFSET($AM$3,0,0,'Données projet'!$E$10+1,1))-AVERAGE(OFFSET($H$3,0,0,'Données projet'!$E$10+1,1))</f>
        <v>542.51810435067659</v>
      </c>
      <c r="AO58" s="59">
        <f t="shared" si="36"/>
        <v>325.7263575945085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11.935819222473135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11.935819222473135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253.99999999999991</v>
      </c>
      <c r="BE58" s="13">
        <f>BD58*VLOOKUP('Données projet'!$B$11,Paramètres!$A$1:$I$89,3,0)*VLOOKUP('Données projet'!$B$11,Paramètres!$A$1:$I$89,5,0)</f>
        <v>229.81919999999991</v>
      </c>
      <c r="BF58" s="13">
        <f t="shared" si="37"/>
        <v>56.243586554989342</v>
      </c>
      <c r="BG58" s="20">
        <f t="shared" si="7"/>
        <v>498.22601991660628</v>
      </c>
      <c r="BH58" s="59">
        <f t="shared" si="8"/>
        <v>756.54847539707771</v>
      </c>
      <c r="BI58" s="59">
        <f ca="1">AVERAGE(OFFSET($BH$3,0,0,'Données projet'!$E$11+1,1))-AVERAGE(OFFSET($H$3,0,0,'Données projet'!$E$11+1,1))</f>
        <v>492.39485179035256</v>
      </c>
      <c r="BJ58" s="59">
        <f t="shared" si="38"/>
        <v>297.32483725004124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10.650423306206795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10.650423306206795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135</v>
      </c>
      <c r="BW58" s="12">
        <f>VLOOKUP(A58,'Données projet'!$A$113:$I$133,9,0)</f>
        <v>5.6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134.99999999999994</v>
      </c>
      <c r="BZ58" s="13">
        <f>BY58*VLOOKUP('Données projet'!$B$12,Paramètres!$A$1:$I$89,3,0)*VLOOKUP('Données projet'!$B$12,Paramètres!$A$1:$I$89,5,0)</f>
        <v>128.46599999999995</v>
      </c>
      <c r="CA58" s="13">
        <f t="shared" si="39"/>
        <v>33.64165246545825</v>
      </c>
      <c r="CB58" s="20">
        <f t="shared" si="10"/>
        <v>282.33749471067301</v>
      </c>
      <c r="CC58" s="59">
        <f t="shared" si="11"/>
        <v>540.65995019114439</v>
      </c>
      <c r="CD58" s="59">
        <f ca="1">AVERAGE(OFFSET($CC$3,0,0,'Données projet'!$E$12+1,1))-AVERAGE(OFFSET($H$3,0,0,'Données projet'!$E$12+1,1))</f>
        <v>260.51631161522039</v>
      </c>
      <c r="CE58" s="59">
        <f t="shared" si="40"/>
        <v>171.3469666102674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14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5.0270739649603291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5.0270739649603291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</v>
      </c>
      <c r="N59" s="13">
        <f>IF('Données projet'!$A$36&gt;35,N58+M59-V58,IF(A59&lt;'Données projet'!$A$36,$K$205^A59,IF(A59='Données projet'!$A$36,'Données projet'!$B$36,N58+M59-V58)))</f>
        <v>262</v>
      </c>
      <c r="O59" s="13">
        <f>N59*VLOOKUP('Données projet'!$B$9,Paramètres!$A$1:$I$89,3,0)*VLOOKUP('Données projet'!$B$9,Paramètres!$A$1:$I$89,5,0)</f>
        <v>122.616</v>
      </c>
      <c r="P59" s="13">
        <f t="shared" si="33"/>
        <v>32.284370423104164</v>
      </c>
      <c r="Q59" s="20">
        <f t="shared" si="53"/>
        <v>269.78481182023978</v>
      </c>
      <c r="R59" s="59">
        <f t="shared" si="0"/>
        <v>528.71462775886152</v>
      </c>
      <c r="S59" s="59">
        <f ca="1">AVERAGE(OFFSET($R$3,0,0,'Données projet'!$E$9+1,1))-AVERAGE(OFFSET($H$3,0,0,'Données projet'!$E$9+1,1))</f>
        <v>167.82976403567059</v>
      </c>
      <c r="T59" s="59">
        <f t="shared" si="34"/>
        <v>232.70925470547317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12.651498341526652</v>
      </c>
      <c r="AA59" s="21">
        <f>EXP(-LN(2)/25)*AA58+(1-EXP(-LN(2)/25))/(LN(2)/25)*Calculateur!V59*Calculateur!X59*VLOOKUP('Données projet'!$B$9,Paramètres!$A$1:$I$89,3,0)*0.475*44/12</f>
        <v>14.362093904542967</v>
      </c>
      <c r="AB59" s="21">
        <f>EXP(-LN(2)/2)*AB58+(1-EXP(-LN(2)/2))/(LN(2)/2)*V59*Y59*VLOOKUP('Données projet'!$B$9,Paramètres!$A$1:$I$89,3,0)*0.475*44/12</f>
        <v>0.89473026411014489</v>
      </c>
      <c r="AC59" s="22">
        <f t="shared" si="3"/>
        <v>27.908322510179765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235.39999999999992</v>
      </c>
      <c r="AJ59" s="13">
        <f>AI59*VLOOKUP('Données projet'!$B$10,Paramètres!$A$1:$I$89,3,0)*VLOOKUP('Données projet'!$B$10,Paramètres!$A$1:$I$89,5,0)</f>
        <v>238.69559999999996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775.95121797579418</v>
      </c>
      <c r="AN59" s="59">
        <f ca="1">AVERAGE(OFFSET($AM$3,0,0,'Données projet'!$E$10+1,1))-AVERAGE(OFFSET($H$3,0,0,'Données projet'!$E$10+1,1))</f>
        <v>542.51810435067659</v>
      </c>
      <c r="AO59" s="59">
        <f t="shared" si="36"/>
        <v>325.7263575945085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11.70176508765131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11.70176508765131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235.39999999999992</v>
      </c>
      <c r="BE59" s="13">
        <f>BD59*VLOOKUP('Données projet'!$B$11,Paramètres!$A$1:$I$89,3,0)*VLOOKUP('Données projet'!$B$11,Paramètres!$A$1:$I$89,5,0)</f>
        <v>212.98991999999993</v>
      </c>
      <c r="BF59" s="13">
        <f t="shared" si="37"/>
        <v>52.588419883221121</v>
      </c>
      <c r="BG59" s="20">
        <f t="shared" si="7"/>
        <v>462.5489419632766</v>
      </c>
      <c r="BH59" s="59">
        <f t="shared" si="8"/>
        <v>721.47875790189835</v>
      </c>
      <c r="BI59" s="59">
        <f ca="1">AVERAGE(OFFSET($BH$3,0,0,'Données projet'!$E$11+1,1))-AVERAGE(OFFSET($H$3,0,0,'Données projet'!$E$11+1,1))</f>
        <v>492.39485179035256</v>
      </c>
      <c r="BJ59" s="59">
        <f t="shared" si="38"/>
        <v>297.32483725004124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10.441575001288859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10.441575001288859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5.4</v>
      </c>
      <c r="BY59" s="12">
        <f>IF('Données projet'!$A$114&gt;35,BY58+BX59-CG58,IF(A59&lt;'Données projet'!$A$114,$BV$205^A59,IF(A59='Données projet'!$A$114,'Données projet'!$B$114,BY58+BX59-CG58)))</f>
        <v>126.39999999999995</v>
      </c>
      <c r="BZ59" s="13">
        <f>BY59*VLOOKUP('Données projet'!$B$12,Paramètres!$A$1:$I$89,3,0)*VLOOKUP('Données projet'!$B$12,Paramètres!$A$1:$I$89,5,0)</f>
        <v>120.28223999999996</v>
      </c>
      <c r="CA59" s="13">
        <f t="shared" si="39"/>
        <v>31.74081813615641</v>
      </c>
      <c r="CB59" s="20">
        <f t="shared" si="10"/>
        <v>264.77349292047239</v>
      </c>
      <c r="CC59" s="59">
        <f t="shared" si="11"/>
        <v>523.70330885909414</v>
      </c>
      <c r="CD59" s="59">
        <f ca="1">AVERAGE(OFFSET($CC$3,0,0,'Données projet'!$E$12+1,1))-AVERAGE(OFFSET($H$3,0,0,'Données projet'!$E$12+1,1))</f>
        <v>260.51631161522039</v>
      </c>
      <c r="CE59" s="59">
        <f t="shared" si="40"/>
        <v>171.3469666102674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4.928496110719812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4.928496110719812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</v>
      </c>
      <c r="N60" s="13">
        <f>IF('Données projet'!$A$36&gt;35,N59+M60-V59,IF(A60&lt;'Données projet'!$A$36,$K$205^A60,IF(A60='Données projet'!$A$36,'Données projet'!$B$36,N59+M60-V59)))</f>
        <v>271.5</v>
      </c>
      <c r="O60" s="13">
        <f>N60*VLOOKUP('Données projet'!$B$9,Paramètres!$A$1:$I$89,3,0)*VLOOKUP('Données projet'!$B$9,Paramètres!$A$1:$I$89,5,0)</f>
        <v>127.062</v>
      </c>
      <c r="P60" s="13">
        <f t="shared" si="33"/>
        <v>33.316573241426198</v>
      </c>
      <c r="Q60" s="20">
        <f t="shared" si="53"/>
        <v>279.32601506215059</v>
      </c>
      <c r="R60" s="59">
        <f t="shared" si="0"/>
        <v>538.8526551128283</v>
      </c>
      <c r="S60" s="59">
        <f ca="1">AVERAGE(OFFSET($R$3,0,0,'Données projet'!$E$9+1,1))-AVERAGE(OFFSET($H$3,0,0,'Données projet'!$E$9+1,1))</f>
        <v>167.82976403567059</v>
      </c>
      <c r="T60" s="59">
        <f t="shared" si="34"/>
        <v>232.70925470547317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12.403410175701348</v>
      </c>
      <c r="AA60" s="21">
        <f>EXP(-LN(2)/25)*AA59+(1-EXP(-LN(2)/25))/(LN(2)/25)*Calculateur!V60*Calculateur!X60*VLOOKUP('Données projet'!$B$9,Paramètres!$A$1:$I$89,3,0)*0.475*44/12</f>
        <v>13.969361691453546</v>
      </c>
      <c r="AB60" s="21">
        <f>EXP(-LN(2)/2)*AB59+(1-EXP(-LN(2)/2))/(LN(2)/2)*V60*Y60*VLOOKUP('Données projet'!$B$9,Paramètres!$A$1:$I$89,3,0)*0.475*44/12</f>
        <v>0.63266983708511415</v>
      </c>
      <c r="AC60" s="22">
        <f t="shared" si="3"/>
        <v>27.00544170424001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244.79999999999993</v>
      </c>
      <c r="AJ60" s="13">
        <f>AI60*VLOOKUP('Données projet'!$B$10,Paramètres!$A$1:$I$89,3,0)*VLOOKUP('Données projet'!$B$10,Paramètres!$A$1:$I$89,5,0)</f>
        <v>248.22719999999993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796.71475132965043</v>
      </c>
      <c r="AN60" s="59">
        <f ca="1">AVERAGE(OFFSET($AM$3,0,0,'Données projet'!$E$10+1,1))-AVERAGE(OFFSET($H$3,0,0,'Données projet'!$E$10+1,1))</f>
        <v>542.51810435067659</v>
      </c>
      <c r="AO60" s="59">
        <f t="shared" si="36"/>
        <v>325.7263575945085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11.472300611654415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11.472300611654415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244.79999999999993</v>
      </c>
      <c r="BE60" s="13">
        <f>BD60*VLOOKUP('Données projet'!$B$11,Paramètres!$A$1:$I$89,3,0)*VLOOKUP('Données projet'!$B$11,Paramètres!$A$1:$I$89,5,0)</f>
        <v>221.49503999999993</v>
      </c>
      <c r="BF60" s="13">
        <f t="shared" si="37"/>
        <v>54.439697086174412</v>
      </c>
      <c r="BG60" s="20">
        <f t="shared" si="7"/>
        <v>480.58633375842027</v>
      </c>
      <c r="BH60" s="59">
        <f t="shared" si="8"/>
        <v>740.11297380909798</v>
      </c>
      <c r="BI60" s="59">
        <f ca="1">AVERAGE(OFFSET($BH$3,0,0,'Données projet'!$E$11+1,1))-AVERAGE(OFFSET($H$3,0,0,'Données projet'!$E$11+1,1))</f>
        <v>492.39485179035256</v>
      </c>
      <c r="BJ60" s="59">
        <f t="shared" si="38"/>
        <v>297.32483725004124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10.236822084245475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10.236822084245475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5.4</v>
      </c>
      <c r="BY60" s="12">
        <f>IF('Données projet'!$A$114&gt;35,BY59+BX60-CG59,IF(A60&lt;'Données projet'!$A$114,$BV$205^A60,IF(A60='Données projet'!$A$114,'Données projet'!$B$114,BY59+BX60-CG59)))</f>
        <v>131.79999999999995</v>
      </c>
      <c r="BZ60" s="13">
        <f>BY60*VLOOKUP('Données projet'!$B$12,Paramètres!$A$1:$I$89,3,0)*VLOOKUP('Données projet'!$B$12,Paramètres!$A$1:$I$89,5,0)</f>
        <v>125.42087999999995</v>
      </c>
      <c r="CA60" s="13">
        <f t="shared" si="39"/>
        <v>32.936061027273531</v>
      </c>
      <c r="CB60" s="20">
        <f t="shared" si="10"/>
        <v>275.80500562250131</v>
      </c>
      <c r="CC60" s="59">
        <f t="shared" si="11"/>
        <v>535.33164567317908</v>
      </c>
      <c r="CD60" s="59">
        <f ca="1">AVERAGE(OFFSET($CC$3,0,0,'Données projet'!$E$12+1,1))-AVERAGE(OFFSET($H$3,0,0,'Données projet'!$E$12+1,1))</f>
        <v>260.51631161522039</v>
      </c>
      <c r="CE60" s="59">
        <f t="shared" si="40"/>
        <v>171.3469666102674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4.8318513080743974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4.8318513080743974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9.5</v>
      </c>
      <c r="N61" s="13">
        <f>IF('Données projet'!$A$36&gt;35,N60+M61-V60,IF(A61&lt;'Données projet'!$A$36,$K$205^A61,IF(A61='Données projet'!$A$36,'Données projet'!$B$36,N60+M61-V60)))</f>
        <v>281</v>
      </c>
      <c r="O61" s="13">
        <f>N61*VLOOKUP('Données projet'!$B$9,Paramètres!$A$1:$I$89,3,0)*VLOOKUP('Données projet'!$B$9,Paramètres!$A$1:$I$89,5,0)</f>
        <v>131.50800000000001</v>
      </c>
      <c r="P61" s="13">
        <f t="shared" si="33"/>
        <v>34.344579617082509</v>
      </c>
      <c r="Q61" s="20">
        <f t="shared" si="53"/>
        <v>288.85990949975201</v>
      </c>
      <c r="R61" s="59">
        <f t="shared" si="0"/>
        <v>548.97302009844043</v>
      </c>
      <c r="S61" s="59">
        <f ca="1">AVERAGE(OFFSET($R$3,0,0,'Données projet'!$E$9+1,1))-AVERAGE(OFFSET($H$3,0,0,'Données projet'!$E$9+1,1))</f>
        <v>167.82976403567059</v>
      </c>
      <c r="T61" s="59">
        <f t="shared" si="34"/>
        <v>232.70925470547317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12.160186867489037</v>
      </c>
      <c r="AA61" s="21">
        <f>EXP(-LN(2)/25)*AA60+(1-EXP(-LN(2)/25))/(LN(2)/25)*Calculateur!V61*Calculateur!X61*VLOOKUP('Données projet'!$B$9,Paramètres!$A$1:$I$89,3,0)*0.475*44/12</f>
        <v>13.587368761383946</v>
      </c>
      <c r="AB61" s="21">
        <f>EXP(-LN(2)/2)*AB60+(1-EXP(-LN(2)/2))/(LN(2)/2)*V61*Y61*VLOOKUP('Données projet'!$B$9,Paramètres!$A$1:$I$89,3,0)*0.475*44/12</f>
        <v>0.4473651320550725</v>
      </c>
      <c r="AC61" s="22">
        <f t="shared" si="3"/>
        <v>26.194920760928053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254.19999999999993</v>
      </c>
      <c r="AJ61" s="13">
        <f>AI61*VLOOKUP('Données projet'!$B$10,Paramètres!$A$1:$I$89,3,0)*VLOOKUP('Données projet'!$B$10,Paramètres!$A$1:$I$89,5,0)</f>
        <v>257.75879999999995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817.45202465285615</v>
      </c>
      <c r="AN61" s="59">
        <f ca="1">AVERAGE(OFFSET($AM$3,0,0,'Données projet'!$E$10+1,1))-AVERAGE(OFFSET($H$3,0,0,'Données projet'!$E$10+1,1))</f>
        <v>542.51810435067659</v>
      </c>
      <c r="AO61" s="59">
        <f t="shared" si="36"/>
        <v>325.7263575945085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11.247335794072308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11.247335794072308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254.19999999999993</v>
      </c>
      <c r="BE61" s="13">
        <f>BD61*VLOOKUP('Données projet'!$B$11,Paramètres!$A$1:$I$89,3,0)*VLOOKUP('Données projet'!$B$11,Paramètres!$A$1:$I$89,5,0)</f>
        <v>230.00015999999994</v>
      </c>
      <c r="BF61" s="13">
        <f t="shared" si="37"/>
        <v>56.282716126880423</v>
      </c>
      <c r="BG61" s="20">
        <f t="shared" si="7"/>
        <v>498.60934258764996</v>
      </c>
      <c r="BH61" s="59">
        <f t="shared" si="8"/>
        <v>758.72245318633838</v>
      </c>
      <c r="BI61" s="59">
        <f ca="1">AVERAGE(OFFSET($BH$3,0,0,'Données projet'!$E$11+1,1))-AVERAGE(OFFSET($H$3,0,0,'Données projet'!$E$11+1,1))</f>
        <v>492.39485179035256</v>
      </c>
      <c r="BJ61" s="59">
        <f t="shared" si="38"/>
        <v>297.32483725004124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10.036084247018364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10.036084247018364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5.4</v>
      </c>
      <c r="BY61" s="12">
        <f>IF('Données projet'!$A$114&gt;35,BY60+BX61-CG60,IF(A61&lt;'Données projet'!$A$114,$BV$205^A61,IF(A61='Données projet'!$A$114,'Données projet'!$B$114,BY60+BX61-CG60)))</f>
        <v>137.19999999999996</v>
      </c>
      <c r="BZ61" s="13">
        <f>BY61*VLOOKUP('Données projet'!$B$12,Paramètres!$A$1:$I$89,3,0)*VLOOKUP('Données projet'!$B$12,Paramètres!$A$1:$I$89,5,0)</f>
        <v>130.55951999999996</v>
      </c>
      <c r="CA61" s="13">
        <f t="shared" si="39"/>
        <v>34.125615642317207</v>
      </c>
      <c r="CB61" s="20">
        <f t="shared" si="10"/>
        <v>286.82661124370242</v>
      </c>
      <c r="CC61" s="59">
        <f t="shared" si="11"/>
        <v>546.93972184239078</v>
      </c>
      <c r="CD61" s="59">
        <f ca="1">AVERAGE(OFFSET($CC$3,0,0,'Données projet'!$E$12+1,1))-AVERAGE(OFFSET($H$3,0,0,'Données projet'!$E$12+1,1))</f>
        <v>260.51631161522039</v>
      </c>
      <c r="CE61" s="59">
        <f t="shared" si="40"/>
        <v>171.3469666102674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4.7371016510613506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4.7371016510613506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9.5</v>
      </c>
      <c r="N62" s="13">
        <f>IF('Données projet'!$A$36&gt;35,N61+M62-V61,IF(A62&lt;'Données projet'!$A$36,$K$205^A62,IF(A62='Données projet'!$A$36,'Données projet'!$B$36,N61+M62-V61)))</f>
        <v>290.5</v>
      </c>
      <c r="O62" s="13">
        <f>N62*VLOOKUP('Données projet'!$B$9,Paramètres!$A$1:$I$89,3,0)*VLOOKUP('Données projet'!$B$9,Paramètres!$A$1:$I$89,5,0)</f>
        <v>135.95400000000001</v>
      </c>
      <c r="P62" s="13">
        <f t="shared" si="33"/>
        <v>35.368547686628148</v>
      </c>
      <c r="Q62" s="20">
        <f t="shared" si="53"/>
        <v>298.38677055421067</v>
      </c>
      <c r="R62" s="59">
        <f t="shared" si="0"/>
        <v>559.0761777480534</v>
      </c>
      <c r="S62" s="59">
        <f ca="1">AVERAGE(OFFSET($R$3,0,0,'Données projet'!$E$9+1,1))-AVERAGE(OFFSET($H$3,0,0,'Données projet'!$E$9+1,1))</f>
        <v>167.82976403567059</v>
      </c>
      <c r="T62" s="59">
        <f t="shared" si="34"/>
        <v>232.70925470547317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11.9217330199992</v>
      </c>
      <c r="AA62" s="21">
        <f>EXP(-LN(2)/25)*AA61+(1-EXP(-LN(2)/25))/(LN(2)/25)*Calculateur!V62*Calculateur!X62*VLOOKUP('Données projet'!$B$9,Paramètres!$A$1:$I$89,3,0)*0.475*44/12</f>
        <v>13.215821448075234</v>
      </c>
      <c r="AB62" s="21">
        <f>EXP(-LN(2)/2)*AB61+(1-EXP(-LN(2)/2))/(LN(2)/2)*V62*Y62*VLOOKUP('Données projet'!$B$9,Paramètres!$A$1:$I$89,3,0)*0.475*44/12</f>
        <v>0.31633491854255713</v>
      </c>
      <c r="AC62" s="22">
        <f t="shared" si="3"/>
        <v>25.453889386616993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263.59999999999991</v>
      </c>
      <c r="AJ62" s="13">
        <f>AI62*VLOOKUP('Données projet'!$B$10,Paramètres!$A$1:$I$89,3,0)*VLOOKUP('Données projet'!$B$10,Paramètres!$A$1:$I$89,5,0)</f>
        <v>267.29039999999992</v>
      </c>
      <c r="AK62" s="13">
        <f t="shared" si="35"/>
        <v>64.273886654661325</v>
      </c>
      <c r="AL62" s="20">
        <f t="shared" si="4"/>
        <v>577.47446592353504</v>
      </c>
      <c r="AM62" s="59">
        <f t="shared" si="5"/>
        <v>838.16387311737776</v>
      </c>
      <c r="AN62" s="59">
        <f ca="1">AVERAGE(OFFSET($AM$3,0,0,'Données projet'!$E$10+1,1))-AVERAGE(OFFSET($H$3,0,0,'Données projet'!$E$10+1,1))</f>
        <v>542.51810435067659</v>
      </c>
      <c r="AO62" s="59">
        <f t="shared" si="36"/>
        <v>325.7263575945085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11.026782399347995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11.026782399347995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263.59999999999991</v>
      </c>
      <c r="BE62" s="13">
        <f>BD62*VLOOKUP('Données projet'!$B$11,Paramètres!$A$1:$I$89,3,0)*VLOOKUP('Données projet'!$B$11,Paramètres!$A$1:$I$89,5,0)</f>
        <v>238.50527999999991</v>
      </c>
      <c r="BF62" s="13">
        <f t="shared" si="37"/>
        <v>58.117817352909881</v>
      </c>
      <c r="BG62" s="20">
        <f t="shared" si="7"/>
        <v>516.61856122298445</v>
      </c>
      <c r="BH62" s="59">
        <f t="shared" si="8"/>
        <v>777.30796841682718</v>
      </c>
      <c r="BI62" s="59">
        <f ca="1">AVERAGE(OFFSET($BH$3,0,0,'Données projet'!$E$11+1,1))-AVERAGE(OFFSET($H$3,0,0,'Données projet'!$E$11+1,1))</f>
        <v>492.39485179035256</v>
      </c>
      <c r="BJ62" s="59">
        <f t="shared" si="38"/>
        <v>297.32483725004124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9.8392827563412855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9.8392827563412855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5.4</v>
      </c>
      <c r="BY62" s="12">
        <f>IF('Données projet'!$A$114&gt;35,BY61+BX62-CG61,IF(A62&lt;'Données projet'!$A$114,$BV$205^A62,IF(A62='Données projet'!$A$114,'Données projet'!$B$114,BY61+BX62-CG61)))</f>
        <v>142.59999999999997</v>
      </c>
      <c r="BZ62" s="13">
        <f>BY62*VLOOKUP('Données projet'!$B$12,Paramètres!$A$1:$I$89,3,0)*VLOOKUP('Données projet'!$B$12,Paramètres!$A$1:$I$89,5,0)</f>
        <v>135.69815999999997</v>
      </c>
      <c r="CA62" s="13">
        <f t="shared" si="39"/>
        <v>35.309731483374598</v>
      </c>
      <c r="CB62" s="20">
        <f t="shared" si="10"/>
        <v>297.83874433354407</v>
      </c>
      <c r="CC62" s="59">
        <f t="shared" si="11"/>
        <v>558.52815152738685</v>
      </c>
      <c r="CD62" s="59">
        <f ca="1">AVERAGE(OFFSET($CC$3,0,0,'Données projet'!$E$12+1,1))-AVERAGE(OFFSET($H$3,0,0,'Données projet'!$E$12+1,1))</f>
        <v>260.51631161522039</v>
      </c>
      <c r="CE62" s="59">
        <f t="shared" si="40"/>
        <v>171.3469666102674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4.6442099770307452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4.6442099770307452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300</v>
      </c>
      <c r="L63" s="12">
        <f>VLOOKUP(A63,'Données projet'!$A$35:$I$55,9,0)</f>
        <v>9.5</v>
      </c>
      <c r="M63" s="12">
        <f t="array" ref="M63">INDEX(L:L,MIN(IF(ISNUMBER(L63:L259),ROW(L63:L259),"")))</f>
        <v>9.5</v>
      </c>
      <c r="N63" s="13">
        <f>IF('Données projet'!$A$36&gt;35,N62+M63-V62,IF(A63&lt;'Données projet'!$A$36,$K$205^A63,IF(A63='Données projet'!$A$36,'Données projet'!$B$36,N62+M63-V62)))</f>
        <v>300</v>
      </c>
      <c r="O63" s="13">
        <f>N63*VLOOKUP('Données projet'!$B$9,Paramètres!$A$1:$I$89,3,0)*VLOOKUP('Données projet'!$B$9,Paramètres!$A$1:$I$89,5,0)</f>
        <v>140.4</v>
      </c>
      <c r="P63" s="13">
        <f t="shared" si="33"/>
        <v>36.388624656711201</v>
      </c>
      <c r="Q63" s="20">
        <f t="shared" si="53"/>
        <v>307.90685461043864</v>
      </c>
      <c r="R63" s="59">
        <f t="shared" si="0"/>
        <v>569.16256094191613</v>
      </c>
      <c r="S63" s="59">
        <f ca="1">AVERAGE(OFFSET($R$3,0,0,'Données projet'!$E$9+1,1))-AVERAGE(OFFSET($H$3,0,0,'Données projet'!$E$9+1,1))</f>
        <v>167.82976403567059</v>
      </c>
      <c r="T63" s="59">
        <f t="shared" si="34"/>
        <v>232.70925470547317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300</v>
      </c>
      <c r="W63" s="16">
        <f>IF(ISNA(VLOOKUP(A63,'Données projet'!$A$35:$I$55,5,0)),0%,VLOOKUP(A63,'Données projet'!$A$35:$I$55,5,0)*VLOOKUP('Données projet'!$B$9,Paramètres!$A$1:$I$89,7,0))</f>
        <v>0.27500000000000002</v>
      </c>
      <c r="X63" s="16">
        <f>IF(ISNA(VLOOKUP(A63,'Données projet'!$A$35:$I$55,6,0)),0%,VLOOKUP(A63,'Données projet'!$A$35:$I$55,6,0)*VLOOKUP('Données projet'!$B$9,Paramètres!$A$1:$I$89,7,0))</f>
        <v>0.15400000000000003</v>
      </c>
      <c r="Y63" s="16">
        <f>IF(ISNA(VLOOKUP(A63,'Données projet'!$A$35:$I$55,7,0)),0%,VLOOKUP(A63,'Données projet'!$A$35:$I$55,7,0))</f>
        <v>0.22</v>
      </c>
      <c r="Z63" s="21">
        <f>EXP(-LN(2)/35)*Z62+(1-EXP(-LN(2)/35))/(LN(2)/35)*V63*W63*VLOOKUP('Données projet'!$B$9,Paramètres!$A$1:$I$89,3,0)*0.475*44/12</f>
        <v>62.906608731536799</v>
      </c>
      <c r="AA63" s="21">
        <f>EXP(-LN(2)/25)*AA62+(1-EXP(-LN(2)/25))/(LN(2)/25)*Calculateur!V63*Calculateur!X63*VLOOKUP('Données projet'!$B$9,Paramètres!$A$1:$I$89,3,0)*0.475*44/12</f>
        <v>41.423946426431527</v>
      </c>
      <c r="AB63" s="21">
        <f>EXP(-LN(2)/2)*AB62+(1-EXP(-LN(2)/2))/(LN(2)/2)*V63*Y63*VLOOKUP('Données projet'!$B$9,Paramètres!$A$1:$I$89,3,0)*0.475*44/12</f>
        <v>35.196073772025009</v>
      </c>
      <c r="AC63" s="22">
        <f t="shared" si="3"/>
        <v>139.52662892999334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272.99999999999989</v>
      </c>
      <c r="AJ63" s="13">
        <f>AI63*VLOOKUP('Données projet'!$B$10,Paramètres!$A$1:$I$89,3,0)*VLOOKUP('Données projet'!$B$10,Paramètres!$A$1:$I$89,5,0)</f>
        <v>276.82199999999989</v>
      </c>
      <c r="AK63" s="13">
        <f t="shared" si="35"/>
        <v>66.29496059864374</v>
      </c>
      <c r="AL63" s="20">
        <f t="shared" si="4"/>
        <v>597.59537304263756</v>
      </c>
      <c r="AM63" s="59">
        <f t="shared" si="5"/>
        <v>858.85107937411499</v>
      </c>
      <c r="AN63" s="59">
        <f ca="1">AVERAGE(OFFSET($AM$3,0,0,'Données projet'!$E$10+1,1))-AVERAGE(OFFSET($H$3,0,0,'Données projet'!$E$10+1,1))</f>
        <v>542.51810435067659</v>
      </c>
      <c r="AO63" s="59">
        <f t="shared" si="36"/>
        <v>325.7263575945085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16.209034504870257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16.209034504870257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272.99999999999989</v>
      </c>
      <c r="BE63" s="13">
        <f>BD63*VLOOKUP('Données projet'!$B$11,Paramètres!$A$1:$I$89,3,0)*VLOOKUP('Données projet'!$B$11,Paramètres!$A$1:$I$89,5,0)</f>
        <v>247.01039999999989</v>
      </c>
      <c r="BF63" s="13">
        <f t="shared" si="37"/>
        <v>59.945315462121812</v>
      </c>
      <c r="BG63" s="20">
        <f t="shared" si="7"/>
        <v>534.61453776319524</v>
      </c>
      <c r="BH63" s="59">
        <f t="shared" si="8"/>
        <v>795.87024409467267</v>
      </c>
      <c r="BI63" s="59">
        <f ca="1">AVERAGE(OFFSET($BH$3,0,0,'Données projet'!$E$11+1,1))-AVERAGE(OFFSET($H$3,0,0,'Données projet'!$E$11+1,1))</f>
        <v>492.39485179035256</v>
      </c>
      <c r="BJ63" s="59">
        <f t="shared" si="38"/>
        <v>297.32483725004124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14.463446173576536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14.463446173576536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148</v>
      </c>
      <c r="BW63" s="12">
        <f>VLOOKUP(A63,'Données projet'!$A$113:$I$133,9,0)</f>
        <v>5.4</v>
      </c>
      <c r="BX63" s="12">
        <f t="array" ref="BX63">INDEX(BW:BW,MIN(IF(ISNUMBER(BW63:BW259),ROW(BW63:BW259),"")))</f>
        <v>5.4</v>
      </c>
      <c r="BY63" s="12">
        <f>IF('Données projet'!$A$114&gt;35,BY62+BX63-CG62,IF(A63&lt;'Données projet'!$A$114,$BV$205^A63,IF(A63='Données projet'!$A$114,'Données projet'!$B$114,BY62+BX63-CG62)))</f>
        <v>147.99999999999997</v>
      </c>
      <c r="BZ63" s="13">
        <f>BY63*VLOOKUP('Données projet'!$B$12,Paramètres!$A$1:$I$89,3,0)*VLOOKUP('Données projet'!$B$12,Paramètres!$A$1:$I$89,5,0)</f>
        <v>140.83679999999998</v>
      </c>
      <c r="CA63" s="13">
        <f t="shared" si="39"/>
        <v>36.48863808581752</v>
      </c>
      <c r="CB63" s="20">
        <f t="shared" si="10"/>
        <v>308.84180466613213</v>
      </c>
      <c r="CC63" s="59">
        <f t="shared" si="11"/>
        <v>570.09751099760956</v>
      </c>
      <c r="CD63" s="59">
        <f ca="1">AVERAGE(OFFSET($CC$3,0,0,'Données projet'!$E$12+1,1))-AVERAGE(OFFSET($H$3,0,0,'Données projet'!$E$12+1,1))</f>
        <v>260.51631161522039</v>
      </c>
      <c r="CE63" s="59">
        <f t="shared" si="40"/>
        <v>171.3469666102674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0.129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6.452989749442934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6.452989749442934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167.82976403567059</v>
      </c>
      <c r="T64" s="59">
        <f t="shared" si="34"/>
        <v>232.70925470547317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61.673048503554043</v>
      </c>
      <c r="AA64" s="21">
        <f>EXP(-LN(2)/25)*AA63+(1-EXP(-LN(2)/25))/(LN(2)/25)*Calculateur!V64*Calculateur!X64*VLOOKUP('Données projet'!$B$9,Paramètres!$A$1:$I$89,3,0)*0.475*44/12</f>
        <v>40.291206433010089</v>
      </c>
      <c r="AB64" s="21">
        <f>EXP(-LN(2)/2)*AB63+(1-EXP(-LN(2)/2))/(LN(2)/2)*V64*Y64*VLOOKUP('Données projet'!$B$9,Paramètres!$A$1:$I$89,3,0)*0.475*44/12</f>
        <v>24.887382435340875</v>
      </c>
      <c r="AC64" s="22">
        <f t="shared" si="3"/>
        <v>126.85163737190501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</v>
      </c>
      <c r="AJ64" s="13">
        <f>AI64*VLOOKUP('Données projet'!$B$10,Paramètres!$A$1:$I$89,3,0)*VLOOKUP('Données projet'!$B$10,Paramètres!$A$1:$I$89,5,0)</f>
        <v>257.3531999999999</v>
      </c>
      <c r="AK64" s="13">
        <f t="shared" si="35"/>
        <v>62.157851613080908</v>
      </c>
      <c r="AL64" s="20">
        <f t="shared" si="4"/>
        <v>556.48174822611566</v>
      </c>
      <c r="AM64" s="59">
        <f t="shared" si="5"/>
        <v>818.293929671245</v>
      </c>
      <c r="AN64" s="59">
        <f ca="1">AVERAGE(OFFSET($AM$3,0,0,'Données projet'!$E$10+1,1))-AVERAGE(OFFSET($H$3,0,0,'Données projet'!$E$10+1,1))</f>
        <v>542.51810435067659</v>
      </c>
      <c r="AO64" s="59">
        <f t="shared" si="36"/>
        <v>325.7263575945085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15.891185224764584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15.891185224764584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</v>
      </c>
      <c r="BE64" s="13">
        <f>BD64*VLOOKUP('Données projet'!$B$11,Paramètres!$A$1:$I$89,3,0)*VLOOKUP('Données projet'!$B$11,Paramètres!$A$1:$I$89,5,0)</f>
        <v>229.63823999999988</v>
      </c>
      <c r="BF64" s="13">
        <f t="shared" si="37"/>
        <v>56.204453396569633</v>
      </c>
      <c r="BG64" s="20">
        <f t="shared" si="7"/>
        <v>497.84269099902525</v>
      </c>
      <c r="BH64" s="59">
        <f t="shared" si="8"/>
        <v>759.65487244415453</v>
      </c>
      <c r="BI64" s="59">
        <f ca="1">AVERAGE(OFFSET($BH$3,0,0,'Données projet'!$E$11+1,1))-AVERAGE(OFFSET($H$3,0,0,'Données projet'!$E$11+1,1))</f>
        <v>492.39485179035256</v>
      </c>
      <c r="BJ64" s="59">
        <f t="shared" si="38"/>
        <v>297.32483725004124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14.179826815943782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14.179826815943782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5.4</v>
      </c>
      <c r="BY64" s="12">
        <f>IF('Données projet'!$A$114&gt;35,BY63+BX64-CG63,IF(A64&lt;'Données projet'!$A$114,$BV$205^A64,IF(A64='Données projet'!$A$114,'Données projet'!$B$114,BY63+BX64-CG63)))</f>
        <v>139.39999999999998</v>
      </c>
      <c r="BZ64" s="13">
        <f>BY64*VLOOKUP('Données projet'!$B$12,Paramètres!$A$1:$I$89,3,0)*VLOOKUP('Données projet'!$B$12,Paramètres!$A$1:$I$89,5,0)</f>
        <v>132.65303999999998</v>
      </c>
      <c r="CA64" s="13">
        <f t="shared" si="39"/>
        <v>34.60867631689176</v>
      </c>
      <c r="CB64" s="20">
        <f t="shared" si="10"/>
        <v>291.31415591858644</v>
      </c>
      <c r="CC64" s="59">
        <f t="shared" si="11"/>
        <v>553.12633736371572</v>
      </c>
      <c r="CD64" s="59">
        <f ca="1">AVERAGE(OFFSET($CC$3,0,0,'Données projet'!$E$12+1,1))-AVERAGE(OFFSET($H$3,0,0,'Données projet'!$E$12+1,1))</f>
        <v>260.51631161522039</v>
      </c>
      <c r="CE64" s="59">
        <f t="shared" si="40"/>
        <v>171.3469666102674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6.3264505563914639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6.3264505563914639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167.82976403567059</v>
      </c>
      <c r="T65" s="59">
        <f t="shared" si="34"/>
        <v>232.70925470547317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60.46367763924458</v>
      </c>
      <c r="AA65" s="21">
        <f>EXP(-LN(2)/25)*AA64+(1-EXP(-LN(2)/25))/(LN(2)/25)*Calculateur!V65*Calculateur!X65*VLOOKUP('Données projet'!$B$9,Paramètres!$A$1:$I$89,3,0)*0.475*44/12</f>
        <v>39.189441274276966</v>
      </c>
      <c r="AB65" s="21">
        <f>EXP(-LN(2)/2)*AB64+(1-EXP(-LN(2)/2))/(LN(2)/2)*V65*Y65*VLOOKUP('Données projet'!$B$9,Paramètres!$A$1:$I$89,3,0)*0.475*44/12</f>
        <v>17.598036886012508</v>
      </c>
      <c r="AC65" s="22">
        <f t="shared" si="3"/>
        <v>117.25115579953406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262.59999999999991</v>
      </c>
      <c r="AJ65" s="13">
        <f>AI65*VLOOKUP('Données projet'!$B$10,Paramètres!$A$1:$I$89,3,0)*VLOOKUP('Données projet'!$B$10,Paramètres!$A$1:$I$89,5,0)</f>
        <v>266.27639999999991</v>
      </c>
      <c r="AK65" s="13">
        <f t="shared" si="35"/>
        <v>64.05838982943969</v>
      </c>
      <c r="AL65" s="20">
        <f t="shared" si="4"/>
        <v>575.333092286274</v>
      </c>
      <c r="AM65" s="59">
        <f t="shared" si="5"/>
        <v>837.69209524592532</v>
      </c>
      <c r="AN65" s="59">
        <f ca="1">AVERAGE(OFFSET($AM$3,0,0,'Données projet'!$E$10+1,1))-AVERAGE(OFFSET($H$3,0,0,'Données projet'!$E$10+1,1))</f>
        <v>542.51810435067659</v>
      </c>
      <c r="AO65" s="59">
        <f t="shared" si="36"/>
        <v>325.7263575945085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15.579568775172866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15.579568775172866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262.59999999999991</v>
      </c>
      <c r="BE65" s="13">
        <f>BD65*VLOOKUP('Données projet'!$B$11,Paramètres!$A$1:$I$89,3,0)*VLOOKUP('Données projet'!$B$11,Paramètres!$A$1:$I$89,5,0)</f>
        <v>237.60047999999992</v>
      </c>
      <c r="BF65" s="13">
        <f t="shared" si="37"/>
        <v>57.922960533442058</v>
      </c>
      <c r="BG65" s="20">
        <f t="shared" si="7"/>
        <v>514.70332559574479</v>
      </c>
      <c r="BH65" s="59">
        <f t="shared" si="8"/>
        <v>777.06232855539611</v>
      </c>
      <c r="BI65" s="59">
        <f ca="1">AVERAGE(OFFSET($BH$3,0,0,'Données projet'!$E$11+1,1))-AVERAGE(OFFSET($H$3,0,0,'Données projet'!$E$11+1,1))</f>
        <v>492.39485179035256</v>
      </c>
      <c r="BJ65" s="59">
        <f t="shared" si="38"/>
        <v>297.32483725004124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13.901769060923479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13.901769060923479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5.4</v>
      </c>
      <c r="BY65" s="12">
        <f>IF('Données projet'!$A$114&gt;35,BY64+BX65-CG64,IF(A65&lt;'Données projet'!$A$114,$BV$205^A65,IF(A65='Données projet'!$A$114,'Données projet'!$B$114,BY64+BX65-CG64)))</f>
        <v>144.79999999999998</v>
      </c>
      <c r="BZ65" s="13">
        <f>BY65*VLOOKUP('Données projet'!$B$12,Paramètres!$A$1:$I$89,3,0)*VLOOKUP('Données projet'!$B$12,Paramètres!$A$1:$I$89,5,0)</f>
        <v>137.79167999999999</v>
      </c>
      <c r="CA65" s="13">
        <f t="shared" si="39"/>
        <v>35.790643217159939</v>
      </c>
      <c r="CB65" s="20">
        <f t="shared" si="10"/>
        <v>302.3225462698868</v>
      </c>
      <c r="CC65" s="59">
        <f t="shared" si="11"/>
        <v>564.68154922953818</v>
      </c>
      <c r="CD65" s="59">
        <f ca="1">AVERAGE(OFFSET($CC$3,0,0,'Données projet'!$E$12+1,1))-AVERAGE(OFFSET($H$3,0,0,'Données projet'!$E$12+1,1))</f>
        <v>260.51631161522039</v>
      </c>
      <c r="CE65" s="59">
        <f t="shared" si="40"/>
        <v>171.3469666102674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6.2023927197344468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6.2023927197344468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167.82976403567059</v>
      </c>
      <c r="T66" s="59">
        <f t="shared" si="34"/>
        <v>232.70925470547317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59.278021799940838</v>
      </c>
      <c r="AA66" s="21">
        <f>EXP(-LN(2)/25)*AA65+(1-EXP(-LN(2)/25))/(LN(2)/25)*Calculateur!V66*Calculateur!X66*VLOOKUP('Données projet'!$B$9,Paramètres!$A$1:$I$89,3,0)*0.475*44/12</f>
        <v>38.117803941748711</v>
      </c>
      <c r="AB66" s="21">
        <f>EXP(-LN(2)/2)*AB65+(1-EXP(-LN(2)/2))/(LN(2)/2)*V66*Y66*VLOOKUP('Données projet'!$B$9,Paramètres!$A$1:$I$89,3,0)*0.475*44/12</f>
        <v>12.443691217670439</v>
      </c>
      <c r="AC66" s="22">
        <f t="shared" si="3"/>
        <v>109.83951695935998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271.39999999999992</v>
      </c>
      <c r="AJ66" s="13">
        <f>AI66*VLOOKUP('Données projet'!$B$10,Paramètres!$A$1:$I$89,3,0)*VLOOKUP('Données projet'!$B$10,Paramètres!$A$1:$I$89,5,0)</f>
        <v>275.19959999999998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857.06788561606015</v>
      </c>
      <c r="AN66" s="59">
        <f ca="1">AVERAGE(OFFSET($AM$3,0,0,'Données projet'!$E$10+1,1))-AVERAGE(OFFSET($H$3,0,0,'Données projet'!$E$10+1,1))</f>
        <v>542.51810435067659</v>
      </c>
      <c r="AO66" s="59">
        <f t="shared" si="36"/>
        <v>325.7263575945085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15.274062934090376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15.274062934090376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271.39999999999992</v>
      </c>
      <c r="BE66" s="13">
        <f>BD66*VLOOKUP('Données projet'!$B$11,Paramètres!$A$1:$I$89,3,0)*VLOOKUP('Données projet'!$B$11,Paramètres!$A$1:$I$89,5,0)</f>
        <v>245.56271999999993</v>
      </c>
      <c r="BF66" s="13">
        <f t="shared" si="37"/>
        <v>59.634776048276898</v>
      </c>
      <c r="BG66" s="20">
        <f t="shared" si="7"/>
        <v>531.55230561741553</v>
      </c>
      <c r="BH66" s="59">
        <f t="shared" si="8"/>
        <v>794.44864396082164</v>
      </c>
      <c r="BI66" s="59">
        <f ca="1">AVERAGE(OFFSET($BH$3,0,0,'Données projet'!$E$11+1,1))-AVERAGE(OFFSET($H$3,0,0,'Données projet'!$E$11+1,1))</f>
        <v>492.39485179035256</v>
      </c>
      <c r="BJ66" s="59">
        <f t="shared" si="38"/>
        <v>297.32483725004124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13.629163848880642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13.629163848880642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5.4</v>
      </c>
      <c r="BY66" s="12">
        <f>IF('Données projet'!$A$114&gt;35,BY65+BX66-CG65,IF(A66&lt;'Données projet'!$A$114,$BV$205^A66,IF(A66='Données projet'!$A$114,'Données projet'!$B$114,BY65+BX66-CG65)))</f>
        <v>150.19999999999999</v>
      </c>
      <c r="BZ66" s="13">
        <f>BY66*VLOOKUP('Données projet'!$B$12,Paramètres!$A$1:$I$89,3,0)*VLOOKUP('Données projet'!$B$12,Paramètres!$A$1:$I$89,5,0)</f>
        <v>142.93031999999999</v>
      </c>
      <c r="CA66" s="13">
        <f t="shared" si="39"/>
        <v>36.967489202444952</v>
      </c>
      <c r="CB66" s="20">
        <f t="shared" si="10"/>
        <v>313.32201769425825</v>
      </c>
      <c r="CC66" s="59">
        <f t="shared" si="11"/>
        <v>576.21835603766431</v>
      </c>
      <c r="CD66" s="59">
        <f ca="1">AVERAGE(OFFSET($CC$3,0,0,'Données projet'!$E$12+1,1))-AVERAGE(OFFSET($H$3,0,0,'Données projet'!$E$12+1,1))</f>
        <v>260.51631161522039</v>
      </c>
      <c r="CE66" s="59">
        <f t="shared" si="40"/>
        <v>171.3469666102674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6.080767581586465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6.080767581586465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167.82976403567059</v>
      </c>
      <c r="T67" s="59">
        <f t="shared" si="34"/>
        <v>232.70925470547317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58.115615948467187</v>
      </c>
      <c r="AA67" s="21">
        <f>EXP(-LN(2)/25)*AA66+(1-EXP(-LN(2)/25))/(LN(2)/25)*Calculateur!V67*Calculateur!X67*VLOOKUP('Données projet'!$B$9,Paramètres!$A$1:$I$89,3,0)*0.475*44/12</f>
        <v>37.075470588433404</v>
      </c>
      <c r="AB67" s="21">
        <f>EXP(-LN(2)/2)*AB66+(1-EXP(-LN(2)/2))/(LN(2)/2)*V67*Y67*VLOOKUP('Données projet'!$B$9,Paramètres!$A$1:$I$89,3,0)*0.475*44/12</f>
        <v>8.7990184430062559</v>
      </c>
      <c r="AC67" s="22">
        <f t="shared" si="3"/>
        <v>103.99010497990686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280.19999999999993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876.42193119855779</v>
      </c>
      <c r="AN67" s="59">
        <f ca="1">AVERAGE(OFFSET($AM$3,0,0,'Données projet'!$E$10+1,1))-AVERAGE(OFFSET($H$3,0,0,'Données projet'!$E$10+1,1))</f>
        <v>542.51810435067659</v>
      </c>
      <c r="AO67" s="59">
        <f t="shared" si="36"/>
        <v>325.7263575945085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14.974547876211348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14.974547876211348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280.19999999999993</v>
      </c>
      <c r="BE67" s="13">
        <f>BD67*VLOOKUP('Données projet'!$B$11,Paramètres!$A$1:$I$89,3,0)*VLOOKUP('Données projet'!$B$11,Paramètres!$A$1:$I$89,5,0)</f>
        <v>253.52495999999996</v>
      </c>
      <c r="BF67" s="13">
        <f t="shared" si="37"/>
        <v>61.340141798422209</v>
      </c>
      <c r="BG67" s="20">
        <f t="shared" si="7"/>
        <v>548.39005229891859</v>
      </c>
      <c r="BH67" s="59">
        <f t="shared" si="8"/>
        <v>811.81440445847329</v>
      </c>
      <c r="BI67" s="59">
        <f ca="1">AVERAGE(OFFSET($BH$3,0,0,'Données projet'!$E$11+1,1))-AVERAGE(OFFSET($H$3,0,0,'Données projet'!$E$11+1,1))</f>
        <v>492.39485179035256</v>
      </c>
      <c r="BJ67" s="59">
        <f t="shared" si="38"/>
        <v>297.32483725004124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13.361904258773203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13.361904258773203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5.4</v>
      </c>
      <c r="BY67" s="12">
        <f>IF('Données projet'!$A$114&gt;35,BY66+BX67-CG66,IF(A67&lt;'Données projet'!$A$114,$BV$205^A67,IF(A67='Données projet'!$A$114,'Données projet'!$B$114,BY66+BX67-CG66)))</f>
        <v>155.6</v>
      </c>
      <c r="BZ67" s="13">
        <f>BY67*VLOOKUP('Données projet'!$B$12,Paramètres!$A$1:$I$89,3,0)*VLOOKUP('Données projet'!$B$12,Paramètres!$A$1:$I$89,5,0)</f>
        <v>148.06896</v>
      </c>
      <c r="CA67" s="13">
        <f t="shared" si="39"/>
        <v>38.139419470750966</v>
      </c>
      <c r="CB67" s="20">
        <f t="shared" si="10"/>
        <v>324.31292757822456</v>
      </c>
      <c r="CC67" s="59">
        <f t="shared" si="11"/>
        <v>587.73727973777932</v>
      </c>
      <c r="CD67" s="59">
        <f ca="1">AVERAGE(OFFSET($CC$3,0,0,'Données projet'!$E$12+1,1))-AVERAGE(OFFSET($H$3,0,0,'Données projet'!$E$12+1,1))</f>
        <v>260.51631161522039</v>
      </c>
      <c r="CE67" s="59">
        <f t="shared" si="40"/>
        <v>171.3469666102674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5.9615274382135555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5.9615274382135555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167.82976403567059</v>
      </c>
      <c r="T68" s="59">
        <f t="shared" si="34"/>
        <v>232.70925470547317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56.976004166743373</v>
      </c>
      <c r="AA68" s="21">
        <f>EXP(-LN(2)/25)*AA67+(1-EXP(-LN(2)/25))/(LN(2)/25)*Calculateur!V68*Calculateur!X68*VLOOKUP('Données projet'!$B$9,Paramètres!$A$1:$I$89,3,0)*0.475*44/12</f>
        <v>36.061639895478429</v>
      </c>
      <c r="AB68" s="21">
        <f>EXP(-LN(2)/2)*AB67+(1-EXP(-LN(2)/2))/(LN(2)/2)*V68*Y68*VLOOKUP('Données projet'!$B$9,Paramètres!$A$1:$I$89,3,0)*0.475*44/12</f>
        <v>6.2218456088352214</v>
      </c>
      <c r="AC68" s="22">
        <f t="shared" ref="AC68:AC131" si="57">SUM(Z68:AB68)</f>
        <v>99.259489671057025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288.99999999999994</v>
      </c>
      <c r="AJ68" s="13">
        <f>AI68*VLOOKUP('Données projet'!$B$10,Paramètres!$A$1:$I$89,3,0)*VLOOKUP('Données projet'!$B$10,Paramètres!$A$1:$I$89,5,0)</f>
        <v>293.04599999999994</v>
      </c>
      <c r="AK68" s="13">
        <f t="shared" si="35"/>
        <v>69.716654076072615</v>
      </c>
      <c r="AL68" s="20">
        <f t="shared" ref="AL68:AL131" si="58">(AJ68+AK68)*0.475*44/12</f>
        <v>631.81162251582634</v>
      </c>
      <c r="AM68" s="59">
        <f t="shared" ref="AM68:AM131" si="59">AL68+(AD68+AE68)*44/12</f>
        <v>895.75482863228149</v>
      </c>
      <c r="AN68" s="59">
        <f ca="1">AVERAGE(OFFSET($AM$3,0,0,'Données projet'!$E$10+1,1))-AVERAGE(OFFSET($H$3,0,0,'Données projet'!$E$10+1,1))</f>
        <v>542.51810435067659</v>
      </c>
      <c r="AO68" s="59">
        <f t="shared" si="36"/>
        <v>325.7263575945085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20.0793867086315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20.0793867086315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288.99999999999994</v>
      </c>
      <c r="BE68" s="13">
        <f>BD68*VLOOKUP('Données projet'!$B$11,Paramètres!$A$1:$I$89,3,0)*VLOOKUP('Données projet'!$B$11,Paramètres!$A$1:$I$89,5,0)</f>
        <v>261.48719999999992</v>
      </c>
      <c r="BF68" s="13">
        <f t="shared" si="37"/>
        <v>63.039283586802391</v>
      </c>
      <c r="BG68" s="20">
        <f t="shared" ref="BG68:BG131" si="61">(BE68+BF68)*0.475*44/12</f>
        <v>565.21695891368074</v>
      </c>
      <c r="BH68" s="59">
        <f t="shared" ref="BH68:BH131" si="62">BG68+(AY68+AZ68)*44/12</f>
        <v>829.16016503013589</v>
      </c>
      <c r="BI68" s="59">
        <f ca="1">AVERAGE(OFFSET($BH$3,0,0,'Données projet'!$E$11+1,1))-AVERAGE(OFFSET($H$3,0,0,'Données projet'!$E$11+1,1))</f>
        <v>492.39485179035256</v>
      </c>
      <c r="BJ68" s="59">
        <f t="shared" si="38"/>
        <v>297.32483725004124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17.916991216932722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17.916991216932722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161</v>
      </c>
      <c r="BW68" s="12">
        <f>VLOOKUP(A68,'Données projet'!$A$113:$I$133,9,0)</f>
        <v>5.4</v>
      </c>
      <c r="BX68" s="12">
        <f t="array" ref="BX68">INDEX(BW:BW,MIN(IF(ISNUMBER(BW68:BW264),ROW(BW68:BW264),"")))</f>
        <v>5.4</v>
      </c>
      <c r="BY68" s="12">
        <f>IF('Données projet'!$A$114&gt;35,BY67+BX68-CG67,IF(A68&lt;'Données projet'!$A$114,$BV$205^A68,IF(A68='Données projet'!$A$114,'Données projet'!$B$114,BY67+BX68-CG67)))</f>
        <v>161</v>
      </c>
      <c r="BZ68" s="13">
        <f>BY68*VLOOKUP('Données projet'!$B$12,Paramètres!$A$1:$I$89,3,0)*VLOOKUP('Données projet'!$B$12,Paramètres!$A$1:$I$89,5,0)</f>
        <v>153.20759999999999</v>
      </c>
      <c r="CA68" s="13">
        <f t="shared" si="39"/>
        <v>39.306624169832133</v>
      </c>
      <c r="CB68" s="20">
        <f t="shared" ref="CB68:CB131" si="64">(BZ68+CA68)*0.475*44/12</f>
        <v>335.2956070957909</v>
      </c>
      <c r="CC68" s="59">
        <f t="shared" ref="CC68:CC131" si="65">CB68+(BT68+BU68)*44/12</f>
        <v>599.2388132122461</v>
      </c>
      <c r="CD68" s="59">
        <f ca="1">AVERAGE(OFFSET($CC$3,0,0,'Données projet'!$E$12+1,1))-AVERAGE(OFFSET($H$3,0,0,'Données projet'!$E$12+1,1))</f>
        <v>260.51631161522039</v>
      </c>
      <c r="CE68" s="59">
        <f t="shared" si="40"/>
        <v>171.3469666102674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14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8.3777587178207238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8.3777587178207238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167.82976403567059</v>
      </c>
      <c r="T69" s="59">
        <f t="shared" ref="T69:T132" si="88">$T$3</f>
        <v>232.70925470547317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55.858739476964608</v>
      </c>
      <c r="AA69" s="21">
        <f>EXP(-LN(2)/25)*AA68+(1-EXP(-LN(2)/25))/(LN(2)/25)*Calculateur!V69*Calculateur!X69*VLOOKUP('Données projet'!$B$9,Paramètres!$A$1:$I$89,3,0)*0.475*44/12</f>
        <v>35.075532456137346</v>
      </c>
      <c r="AB69" s="21">
        <f>EXP(-LN(2)/2)*AB68+(1-EXP(-LN(2)/2))/(LN(2)/2)*V69*Y69*VLOOKUP('Données projet'!$B$9,Paramètres!$A$1:$I$89,3,0)*0.475*44/12</f>
        <v>4.3995092215031288</v>
      </c>
      <c r="AC69" s="22">
        <f t="shared" si="57"/>
        <v>95.333781154605077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269.19999999999993</v>
      </c>
      <c r="AJ69" s="13">
        <f>AI69*VLOOKUP('Données projet'!$B$10,Paramètres!$A$1:$I$89,3,0)*VLOOKUP('Données projet'!$B$10,Paramètres!$A$1:$I$89,5,0)</f>
        <v>272.96879999999993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853.91617496488834</v>
      </c>
      <c r="AN69" s="59">
        <f ca="1">AVERAGE(OFFSET($AM$3,0,0,'Données projet'!$E$10+1,1))-AVERAGE(OFFSET($H$3,0,0,'Données projet'!$E$10+1,1))</f>
        <v>542.51810435067659</v>
      </c>
      <c r="AO69" s="59">
        <f t="shared" ref="AO69:AO132" si="90">$AO$3</f>
        <v>325.7263575945085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19.685642182491815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19.685642182491815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269.19999999999993</v>
      </c>
      <c r="BE69" s="13">
        <f>BD69*VLOOKUP('Données projet'!$B$11,Paramètres!$A$1:$I$89,3,0)*VLOOKUP('Données projet'!$B$11,Paramètres!$A$1:$I$89,5,0)</f>
        <v>243.57215999999991</v>
      </c>
      <c r="BF69" s="13">
        <f t="shared" ref="BF69:BF132" si="91">EXP(-1.0587+0.8836*LN(BE69)+0.284)</f>
        <v>59.207435995642292</v>
      </c>
      <c r="BG69" s="20">
        <f t="shared" si="61"/>
        <v>527.34112969241005</v>
      </c>
      <c r="BH69" s="59">
        <f t="shared" si="62"/>
        <v>791.79418880959713</v>
      </c>
      <c r="BI69" s="59">
        <f ca="1">AVERAGE(OFFSET($BH$3,0,0,'Données projet'!$E$11+1,1))-AVERAGE(OFFSET($H$3,0,0,'Données projet'!$E$11+1,1))</f>
        <v>492.39485179035256</v>
      </c>
      <c r="BJ69" s="59">
        <f t="shared" ref="BJ69:BJ132" si="92">$BJ$3</f>
        <v>297.32483725004124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17.565649947454236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17.565649947454236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</v>
      </c>
      <c r="BY69" s="12">
        <f>IF('Données projet'!$A$114&gt;35,BY68+BX69-CG68,IF(A69&lt;'Données projet'!$A$114,$BV$205^A69,IF(A69='Données projet'!$A$114,'Données projet'!$B$114,BY68+BX69-CG68)))</f>
        <v>152</v>
      </c>
      <c r="BZ69" s="13">
        <f>BY69*VLOOKUP('Données projet'!$B$12,Paramètres!$A$1:$I$89,3,0)*VLOOKUP('Données projet'!$B$12,Paramètres!$A$1:$I$89,5,0)</f>
        <v>144.64320000000001</v>
      </c>
      <c r="CA69" s="13">
        <f t="shared" ref="CA69:CA132" si="93">EXP(-1.0587+0.8836*LN(BZ69)+0.284)</f>
        <v>37.358669132367922</v>
      </c>
      <c r="CB69" s="20">
        <f t="shared" si="64"/>
        <v>316.9865887388741</v>
      </c>
      <c r="CC69" s="59">
        <f t="shared" si="65"/>
        <v>581.43964785606113</v>
      </c>
      <c r="CD69" s="59">
        <f ca="1">AVERAGE(OFFSET($CC$3,0,0,'Données projet'!$E$12+1,1))-AVERAGE(OFFSET($H$3,0,0,'Données projet'!$E$12+1,1))</f>
        <v>260.51631161522039</v>
      </c>
      <c r="CE69" s="59">
        <f t="shared" ref="CE69:CE132" si="94">$CE$3</f>
        <v>171.3469666102674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8.2134759792925145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8.2134759792925145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167.82976403567059</v>
      </c>
      <c r="T70" s="59">
        <f t="shared" si="88"/>
        <v>232.70925470547317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54.763383666288235</v>
      </c>
      <c r="AA70" s="21">
        <f>EXP(-LN(2)/25)*AA69+(1-EXP(-LN(2)/25))/(LN(2)/25)*Calculateur!V70*Calculateur!X70*VLOOKUP('Données projet'!$B$9,Paramètres!$A$1:$I$89,3,0)*0.475*44/12</f>
        <v>34.116390176582186</v>
      </c>
      <c r="AB70" s="21">
        <f>EXP(-LN(2)/2)*AB69+(1-EXP(-LN(2)/2))/(LN(2)/2)*V70*Y70*VLOOKUP('Données projet'!$B$9,Paramètres!$A$1:$I$89,3,0)*0.475*44/12</f>
        <v>3.1109228044176112</v>
      </c>
      <c r="AC70" s="22">
        <f t="shared" si="57"/>
        <v>91.990696647288033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277.39999999999992</v>
      </c>
      <c r="AJ70" s="13">
        <f>AI70*VLOOKUP('Données projet'!$B$10,Paramètres!$A$1:$I$89,3,0)*VLOOKUP('Données projet'!$B$10,Paramètres!$A$1:$I$89,5,0)</f>
        <v>281.28359999999992</v>
      </c>
      <c r="AK70" s="13">
        <f t="shared" si="89"/>
        <v>67.238198209347928</v>
      </c>
      <c r="AL70" s="20">
        <f t="shared" si="58"/>
        <v>607.00879854794744</v>
      </c>
      <c r="AM70" s="59">
        <f t="shared" si="59"/>
        <v>871.9628658561644</v>
      </c>
      <c r="AN70" s="59">
        <f ca="1">AVERAGE(OFFSET($AM$3,0,0,'Données projet'!$E$10+1,1))-AVERAGE(OFFSET($H$3,0,0,'Données projet'!$E$10+1,1))</f>
        <v>542.51810435067659</v>
      </c>
      <c r="AO70" s="59">
        <f t="shared" si="90"/>
        <v>325.7263575945085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19.299618746349285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19.299618746349285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277.39999999999992</v>
      </c>
      <c r="BE70" s="13">
        <f>BD70*VLOOKUP('Données projet'!$B$11,Paramètres!$A$1:$I$89,3,0)*VLOOKUP('Données projet'!$B$11,Paramètres!$A$1:$I$89,5,0)</f>
        <v>250.99151999999992</v>
      </c>
      <c r="BF70" s="13">
        <f t="shared" si="91"/>
        <v>60.798211000769349</v>
      </c>
      <c r="BG70" s="20">
        <f t="shared" si="61"/>
        <v>543.03378149300647</v>
      </c>
      <c r="BH70" s="59">
        <f t="shared" si="62"/>
        <v>807.98784880122344</v>
      </c>
      <c r="BI70" s="59">
        <f ca="1">AVERAGE(OFFSET($BH$3,0,0,'Données projet'!$E$11+1,1))-AVERAGE(OFFSET($H$3,0,0,'Données projet'!$E$11+1,1))</f>
        <v>492.39485179035256</v>
      </c>
      <c r="BJ70" s="59">
        <f t="shared" si="92"/>
        <v>297.32483725004124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17.221198265973207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17.221198265973207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</v>
      </c>
      <c r="BY70" s="12">
        <f>IF('Données projet'!$A$114&gt;35,BY69+BX70-CG69,IF(A70&lt;'Données projet'!$A$114,$BV$205^A70,IF(A70='Données projet'!$A$114,'Données projet'!$B$114,BY69+BX70-CG69)))</f>
        <v>157</v>
      </c>
      <c r="BZ70" s="13">
        <f>BY70*VLOOKUP('Données projet'!$B$12,Paramètres!$A$1:$I$89,3,0)*VLOOKUP('Données projet'!$B$12,Paramètres!$A$1:$I$89,5,0)</f>
        <v>149.40119999999999</v>
      </c>
      <c r="CA70" s="13">
        <f t="shared" si="93"/>
        <v>38.44247450913759</v>
      </c>
      <c r="CB70" s="20">
        <f t="shared" si="64"/>
        <v>327.16106643674794</v>
      </c>
      <c r="CC70" s="59">
        <f t="shared" si="65"/>
        <v>592.11513374496485</v>
      </c>
      <c r="CD70" s="59">
        <f ca="1">AVERAGE(OFFSET($CC$3,0,0,'Données projet'!$E$12+1,1))-AVERAGE(OFFSET($H$3,0,0,'Données projet'!$E$12+1,1))</f>
        <v>260.51631161522039</v>
      </c>
      <c r="CE70" s="59">
        <f t="shared" si="94"/>
        <v>171.3469666102674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8.052414725064267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8.052414725064267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167.82976403567059</v>
      </c>
      <c r="T71" s="59">
        <f t="shared" si="88"/>
        <v>232.70925470547317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53.689507114958147</v>
      </c>
      <c r="AA71" s="21">
        <f>EXP(-LN(2)/25)*AA70+(1-EXP(-LN(2)/25))/(LN(2)/25)*Calculateur!V71*Calculateur!X71*VLOOKUP('Données projet'!$B$9,Paramètres!$A$1:$I$89,3,0)*0.475*44/12</f>
        <v>33.183475693100561</v>
      </c>
      <c r="AB71" s="21">
        <f>EXP(-LN(2)/2)*AB70+(1-EXP(-LN(2)/2))/(LN(2)/2)*V71*Y71*VLOOKUP('Données projet'!$B$9,Paramètres!$A$1:$I$89,3,0)*0.475*44/12</f>
        <v>2.1997546107515649</v>
      </c>
      <c r="AC71" s="22">
        <f t="shared" si="57"/>
        <v>89.072737418810277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285.59999999999991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889.99033898854589</v>
      </c>
      <c r="AN71" s="59">
        <f ca="1">AVERAGE(OFFSET($AM$3,0,0,'Données projet'!$E$10+1,1))-AVERAGE(OFFSET($H$3,0,0,'Données projet'!$E$10+1,1))</f>
        <v>542.51810435067659</v>
      </c>
      <c r="AO71" s="59">
        <f t="shared" si="90"/>
        <v>325.7263575945085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18.921164994338461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18.921164994338461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285.59999999999991</v>
      </c>
      <c r="BE71" s="13">
        <f>BD71*VLOOKUP('Données projet'!$B$11,Paramètres!$A$1:$I$89,3,0)*VLOOKUP('Données projet'!$B$11,Paramètres!$A$1:$I$89,5,0)</f>
        <v>258.41087999999991</v>
      </c>
      <c r="BF71" s="13">
        <f t="shared" si="91"/>
        <v>62.383521020316756</v>
      </c>
      <c r="BG71" s="20">
        <f t="shared" si="61"/>
        <v>558.71691511038478</v>
      </c>
      <c r="BH71" s="59">
        <f t="shared" si="62"/>
        <v>824.16329923760361</v>
      </c>
      <c r="BI71" s="59">
        <f ca="1">AVERAGE(OFFSET($BH$3,0,0,'Données projet'!$E$11+1,1))-AVERAGE(OFFSET($H$3,0,0,'Données projet'!$E$11+1,1))</f>
        <v>492.39485179035256</v>
      </c>
      <c r="BJ71" s="59">
        <f t="shared" si="92"/>
        <v>297.32483725004124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16.88350107187124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16.88350107187124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</v>
      </c>
      <c r="BY71" s="12">
        <f>IF('Données projet'!$A$114&gt;35,BY70+BX71-CG70,IF(A71&lt;'Données projet'!$A$114,$BV$205^A71,IF(A71='Données projet'!$A$114,'Données projet'!$B$114,BY70+BX71-CG70)))</f>
        <v>162</v>
      </c>
      <c r="BZ71" s="13">
        <f>BY71*VLOOKUP('Données projet'!$B$12,Paramètres!$A$1:$I$89,3,0)*VLOOKUP('Données projet'!$B$12,Paramètres!$A$1:$I$89,5,0)</f>
        <v>154.1592</v>
      </c>
      <c r="CA71" s="13">
        <f t="shared" si="93"/>
        <v>39.522268933730984</v>
      </c>
      <c r="CB71" s="20">
        <f t="shared" si="64"/>
        <v>337.32855839291477</v>
      </c>
      <c r="CC71" s="59">
        <f t="shared" si="65"/>
        <v>602.77494252013366</v>
      </c>
      <c r="CD71" s="59">
        <f ca="1">AVERAGE(OFFSET($CC$3,0,0,'Données projet'!$E$12+1,1))-AVERAGE(OFFSET($H$3,0,0,'Données projet'!$E$12+1,1))</f>
        <v>260.51631161522039</v>
      </c>
      <c r="CE71" s="59">
        <f t="shared" si="94"/>
        <v>171.3469666102674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7.8945117837937699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7.8945117837937699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167.82976403567059</v>
      </c>
      <c r="T72" s="59">
        <f t="shared" si="88"/>
        <v>232.70925470547317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52.636688627799622</v>
      </c>
      <c r="AA72" s="21">
        <f>EXP(-LN(2)/25)*AA71+(1-EXP(-LN(2)/25))/(LN(2)/25)*Calculateur!V72*Calculateur!X72*VLOOKUP('Données projet'!$B$9,Paramètres!$A$1:$I$89,3,0)*0.475*44/12</f>
        <v>32.276071805229584</v>
      </c>
      <c r="AB72" s="21">
        <f>EXP(-LN(2)/2)*AB71+(1-EXP(-LN(2)/2))/(LN(2)/2)*V72*Y72*VLOOKUP('Données projet'!$B$9,Paramètres!$A$1:$I$89,3,0)*0.475*44/12</f>
        <v>1.5554614022088058</v>
      </c>
      <c r="AC72" s="22">
        <f t="shared" si="57"/>
        <v>86.468221835238012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</v>
      </c>
      <c r="AJ72" s="13">
        <f>AI72*VLOOKUP('Données projet'!$B$10,Paramètres!$A$1:$I$89,3,0)*VLOOKUP('Données projet'!$B$10,Paramètres!$A$1:$I$89,5,0)</f>
        <v>297.9131999999999</v>
      </c>
      <c r="AK72" s="13">
        <f t="shared" si="89"/>
        <v>70.73881247427552</v>
      </c>
      <c r="AL72" s="20">
        <f t="shared" si="58"/>
        <v>642.06892172602966</v>
      </c>
      <c r="AM72" s="59">
        <f t="shared" si="59"/>
        <v>907.99908207609622</v>
      </c>
      <c r="AN72" s="59">
        <f ca="1">AVERAGE(OFFSET($AM$3,0,0,'Données projet'!$E$10+1,1))-AVERAGE(OFFSET($H$3,0,0,'Données projet'!$E$10+1,1))</f>
        <v>542.51810435067659</v>
      </c>
      <c r="AO72" s="59">
        <f t="shared" si="90"/>
        <v>325.7263575945085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18.550132489570576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18.550132489570576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</v>
      </c>
      <c r="BE72" s="13">
        <f>BD72*VLOOKUP('Données projet'!$B$11,Paramètres!$A$1:$I$89,3,0)*VLOOKUP('Données projet'!$B$11,Paramètres!$A$1:$I$89,5,0)</f>
        <v>265.83023999999989</v>
      </c>
      <c r="BF72" s="13">
        <f t="shared" si="91"/>
        <v>63.963540982526439</v>
      </c>
      <c r="BG72" s="20">
        <f t="shared" si="61"/>
        <v>574.39083521123325</v>
      </c>
      <c r="BH72" s="59">
        <f t="shared" si="62"/>
        <v>840.32099556129981</v>
      </c>
      <c r="BI72" s="59">
        <f ca="1">AVERAGE(OFFSET($BH$3,0,0,'Données projet'!$E$11+1,1))-AVERAGE(OFFSET($H$3,0,0,'Données projet'!$E$11+1,1))</f>
        <v>492.39485179035256</v>
      </c>
      <c r="BJ72" s="59">
        <f t="shared" si="92"/>
        <v>297.32483725004124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16.552425913770666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16.552425913770666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</v>
      </c>
      <c r="BY72" s="12">
        <f>IF('Données projet'!$A$114&gt;35,BY71+BX72-CG71,IF(A72&lt;'Données projet'!$A$114,$BV$205^A72,IF(A72='Données projet'!$A$114,'Données projet'!$B$114,BY71+BX72-CG71)))</f>
        <v>167</v>
      </c>
      <c r="BZ72" s="13">
        <f>BY72*VLOOKUP('Données projet'!$B$12,Paramètres!$A$1:$I$89,3,0)*VLOOKUP('Données projet'!$B$12,Paramètres!$A$1:$I$89,5,0)</f>
        <v>158.91720000000001</v>
      </c>
      <c r="CA72" s="13">
        <f t="shared" si="93"/>
        <v>40.598190407175252</v>
      </c>
      <c r="CB72" s="20">
        <f t="shared" si="64"/>
        <v>347.48930495916358</v>
      </c>
      <c r="CC72" s="59">
        <f t="shared" si="65"/>
        <v>613.41946530923019</v>
      </c>
      <c r="CD72" s="59">
        <f ca="1">AVERAGE(OFFSET($CC$3,0,0,'Données projet'!$E$12+1,1))-AVERAGE(OFFSET($H$3,0,0,'Données projet'!$E$12+1,1))</f>
        <v>260.51631161522039</v>
      </c>
      <c r="CE72" s="59">
        <f t="shared" si="94"/>
        <v>171.3469666102674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7.7397052228903034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7.7397052228903034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167.82976403567059</v>
      </c>
      <c r="T73" s="59">
        <f t="shared" si="88"/>
        <v>232.70925470547317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51.604515269018407</v>
      </c>
      <c r="AA73" s="21">
        <f>EXP(-LN(2)/25)*AA72+(1-EXP(-LN(2)/25))/(LN(2)/25)*Calculateur!V73*Calculateur!X73*VLOOKUP('Données projet'!$B$9,Paramètres!$A$1:$I$89,3,0)*0.475*44/12</f>
        <v>31.393480924390733</v>
      </c>
      <c r="AB73" s="21">
        <f>EXP(-LN(2)/2)*AB72+(1-EXP(-LN(2)/2))/(LN(2)/2)*V73*Y73*VLOOKUP('Données projet'!$B$9,Paramètres!$A$1:$I$89,3,0)*0.475*44/12</f>
        <v>1.0998773053757824</v>
      </c>
      <c r="AC73" s="22">
        <f t="shared" si="57"/>
        <v>84.097873498784921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301.99999999999989</v>
      </c>
      <c r="AJ73" s="13">
        <f>AI73*VLOOKUP('Données projet'!$B$10,Paramètres!$A$1:$I$89,3,0)*VLOOKUP('Données projet'!$B$10,Paramètres!$A$1:$I$89,5,0)</f>
        <v>306.22799999999989</v>
      </c>
      <c r="AK73" s="13">
        <f t="shared" si="89"/>
        <v>72.480526049067294</v>
      </c>
      <c r="AL73" s="20">
        <f t="shared" si="58"/>
        <v>659.58401620212533</v>
      </c>
      <c r="AM73" s="59">
        <f t="shared" si="59"/>
        <v>925.98956033913487</v>
      </c>
      <c r="AN73" s="59">
        <f ca="1">AVERAGE(OFFSET($AM$3,0,0,'Données projet'!$E$10+1,1))-AVERAGE(OFFSET($H$3,0,0,'Données projet'!$E$10+1,1))</f>
        <v>542.51810435067659</v>
      </c>
      <c r="AO73" s="59">
        <f t="shared" si="90"/>
        <v>325.7263575945085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24.934476434289103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24.934476434289103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301.99999999999989</v>
      </c>
      <c r="BE73" s="13">
        <f>BD73*VLOOKUP('Données projet'!$B$11,Paramètres!$A$1:$I$89,3,0)*VLOOKUP('Données projet'!$B$11,Paramètres!$A$1:$I$89,5,0)</f>
        <v>273.24959999999987</v>
      </c>
      <c r="BF73" s="13">
        <f t="shared" si="91"/>
        <v>65.538435495514321</v>
      </c>
      <c r="BG73" s="20">
        <f t="shared" si="61"/>
        <v>590.05582848802044</v>
      </c>
      <c r="BH73" s="59">
        <f t="shared" si="62"/>
        <v>856.46137262502998</v>
      </c>
      <c r="BI73" s="59">
        <f ca="1">AVERAGE(OFFSET($BH$3,0,0,'Données projet'!$E$11+1,1))-AVERAGE(OFFSET($H$3,0,0,'Données projet'!$E$11+1,1))</f>
        <v>492.39485179035256</v>
      </c>
      <c r="BJ73" s="59">
        <f t="shared" si="92"/>
        <v>297.32483725004124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22.249225125981042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22.249225125981042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172</v>
      </c>
      <c r="BW73" s="12">
        <f>VLOOKUP(A73,'Données projet'!$A$113:$I$133,9,0)</f>
        <v>5</v>
      </c>
      <c r="BX73" s="12">
        <f t="array" ref="BX73">INDEX(BW:BW,MIN(IF(ISNUMBER(BW73:BW269),ROW(BW73:BW269),"")))</f>
        <v>5</v>
      </c>
      <c r="BY73" s="12">
        <f>IF('Données projet'!$A$114&gt;35,BY72+BX73-CG72,IF(A73&lt;'Données projet'!$A$114,$BV$205^A73,IF(A73='Données projet'!$A$114,'Données projet'!$B$114,BY72+BX73-CG72)))</f>
        <v>172</v>
      </c>
      <c r="BZ73" s="13">
        <f>BY73*VLOOKUP('Données projet'!$B$12,Paramètres!$A$1:$I$89,3,0)*VLOOKUP('Données projet'!$B$12,Paramètres!$A$1:$I$89,5,0)</f>
        <v>163.67520000000002</v>
      </c>
      <c r="CA73" s="13">
        <f t="shared" si="93"/>
        <v>41.670368197291587</v>
      </c>
      <c r="CB73" s="20">
        <f t="shared" si="64"/>
        <v>357.64353127694955</v>
      </c>
      <c r="CC73" s="59">
        <f t="shared" si="65"/>
        <v>624.04907541395903</v>
      </c>
      <c r="CD73" s="59">
        <f ca="1">AVERAGE(OFFSET($CC$3,0,0,'Données projet'!$E$12+1,1))-AVERAGE(OFFSET($H$3,0,0,'Données projet'!$E$12+1,1))</f>
        <v>260.51631161522039</v>
      </c>
      <c r="CE73" s="59">
        <f t="shared" si="94"/>
        <v>171.3469666102674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0.17200000000000001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10.121067520721317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10.121067520721317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167.82976403567059</v>
      </c>
      <c r="T74" s="59">
        <f t="shared" si="88"/>
        <v>232.70925470547317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50.592582200239306</v>
      </c>
      <c r="AA74" s="21">
        <f>EXP(-LN(2)/25)*AA73+(1-EXP(-LN(2)/25))/(LN(2)/25)*Calculateur!V74*Calculateur!X74*VLOOKUP('Données projet'!$B$9,Paramètres!$A$1:$I$89,3,0)*0.475*44/12</f>
        <v>30.535024537601856</v>
      </c>
      <c r="AB74" s="21">
        <f>EXP(-LN(2)/2)*AB73+(1-EXP(-LN(2)/2))/(LN(2)/2)*V74*Y74*VLOOKUP('Données projet'!$B$9,Paramètres!$A$1:$I$89,3,0)*0.475*44/12</f>
        <v>0.7777307011044029</v>
      </c>
      <c r="AC74" s="22">
        <f t="shared" si="57"/>
        <v>81.905337438945566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281.59999999999991</v>
      </c>
      <c r="AJ74" s="13">
        <f>AI74*VLOOKUP('Données projet'!$B$10,Paramètres!$A$1:$I$89,3,0)*VLOOKUP('Données projet'!$B$10,Paramètres!$A$1:$I$89,5,0)</f>
        <v>285.54239999999993</v>
      </c>
      <c r="AK74" s="13">
        <f t="shared" si="89"/>
        <v>68.136937829389467</v>
      </c>
      <c r="AL74" s="20">
        <f t="shared" si="58"/>
        <v>615.99151338618651</v>
      </c>
      <c r="AM74" s="59">
        <f t="shared" si="59"/>
        <v>882.86419446423452</v>
      </c>
      <c r="AN74" s="59">
        <f ca="1">AVERAGE(OFFSET($AM$3,0,0,'Données projet'!$E$10+1,1))-AVERAGE(OFFSET($H$3,0,0,'Données projet'!$E$10+1,1))</f>
        <v>542.51810435067659</v>
      </c>
      <c r="AO74" s="59">
        <f t="shared" si="90"/>
        <v>325.7263575945085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24.445526559941602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24.445526559941602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281.59999999999991</v>
      </c>
      <c r="BE74" s="13">
        <f>BD74*VLOOKUP('Données projet'!$B$11,Paramètres!$A$1:$I$89,3,0)*VLOOKUP('Données projet'!$B$11,Paramètres!$A$1:$I$89,5,0)</f>
        <v>254.79167999999993</v>
      </c>
      <c r="BF74" s="13">
        <f t="shared" si="91"/>
        <v>61.610870508448471</v>
      </c>
      <c r="BG74" s="20">
        <f t="shared" si="61"/>
        <v>551.06777546888088</v>
      </c>
      <c r="BH74" s="59">
        <f t="shared" si="62"/>
        <v>817.94045654692877</v>
      </c>
      <c r="BI74" s="59">
        <f ca="1">AVERAGE(OFFSET($BH$3,0,0,'Données projet'!$E$11+1,1))-AVERAGE(OFFSET($H$3,0,0,'Données projet'!$E$11+1,1))</f>
        <v>492.39485179035256</v>
      </c>
      <c r="BJ74" s="59">
        <f t="shared" si="92"/>
        <v>297.32483725004124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21.812931391947885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21.812931391947885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</v>
      </c>
      <c r="BY74" s="12">
        <f>IF('Données projet'!$A$114&gt;35,BY73+BX74-CG73,IF(A74&lt;'Données projet'!$A$114,$BV$205^A74,IF(A74='Données projet'!$A$114,'Données projet'!$B$114,BY73+BX74-CG73)))</f>
        <v>163</v>
      </c>
      <c r="BZ74" s="13">
        <f>BY74*VLOOKUP('Données projet'!$B$12,Paramètres!$A$1:$I$89,3,0)*VLOOKUP('Données projet'!$B$12,Paramètres!$A$1:$I$89,5,0)</f>
        <v>155.11079999999998</v>
      </c>
      <c r="CA74" s="13">
        <f t="shared" si="93"/>
        <v>39.737758807485029</v>
      </c>
      <c r="CB74" s="20">
        <f t="shared" si="64"/>
        <v>339.36123992303641</v>
      </c>
      <c r="CC74" s="59">
        <f t="shared" si="65"/>
        <v>606.23392100108435</v>
      </c>
      <c r="CD74" s="59">
        <f ca="1">AVERAGE(OFFSET($CC$3,0,0,'Données projet'!$E$12+1,1))-AVERAGE(OFFSET($H$3,0,0,'Données projet'!$E$12+1,1))</f>
        <v>260.51631161522039</v>
      </c>
      <c r="CE74" s="59">
        <f t="shared" si="94"/>
        <v>171.3469666102674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9.9225995598816024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9.9225995598816024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167.82976403567059</v>
      </c>
      <c r="T75" s="59">
        <f t="shared" si="88"/>
        <v>232.70925470547317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49.600492521720739</v>
      </c>
      <c r="AA75" s="21">
        <f>EXP(-LN(2)/25)*AA74+(1-EXP(-LN(2)/25))/(LN(2)/25)*Calculateur!V75*Calculateur!X75*VLOOKUP('Données projet'!$B$9,Paramètres!$A$1:$I$89,3,0)*0.475*44/12</f>
        <v>29.700042685853983</v>
      </c>
      <c r="AB75" s="21">
        <f>EXP(-LN(2)/2)*AB74+(1-EXP(-LN(2)/2))/(LN(2)/2)*V75*Y75*VLOOKUP('Données projet'!$B$9,Paramètres!$A$1:$I$89,3,0)*0.475*44/12</f>
        <v>0.54993865268789122</v>
      </c>
      <c r="AC75" s="22">
        <f t="shared" si="57"/>
        <v>79.850473860262611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289.19999999999993</v>
      </c>
      <c r="AJ75" s="13">
        <f>AI75*VLOOKUP('Données projet'!$B$10,Paramètres!$A$1:$I$89,3,0)*VLOOKUP('Données projet'!$B$10,Paramètres!$A$1:$I$89,5,0)</f>
        <v>293.24879999999996</v>
      </c>
      <c r="AK75" s="13">
        <f t="shared" si="89"/>
        <v>69.759283249126327</v>
      </c>
      <c r="AL75" s="20">
        <f t="shared" si="58"/>
        <v>632.23907832556165</v>
      </c>
      <c r="AM75" s="59">
        <f t="shared" si="59"/>
        <v>899.5707925630827</v>
      </c>
      <c r="AN75" s="59">
        <f ca="1">AVERAGE(OFFSET($AM$3,0,0,'Données projet'!$E$10+1,1))-AVERAGE(OFFSET($H$3,0,0,'Données projet'!$E$10+1,1))</f>
        <v>542.51810435067659</v>
      </c>
      <c r="AO75" s="59">
        <f t="shared" si="90"/>
        <v>325.7263575945085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23.966164694400078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23.966164694400078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289.19999999999993</v>
      </c>
      <c r="BE75" s="13">
        <f>BD75*VLOOKUP('Données projet'!$B$11,Paramètres!$A$1:$I$89,3,0)*VLOOKUP('Données projet'!$B$11,Paramètres!$A$1:$I$89,5,0)</f>
        <v>261.66815999999994</v>
      </c>
      <c r="BF75" s="13">
        <f t="shared" si="91"/>
        <v>63.077829793082856</v>
      </c>
      <c r="BG75" s="20">
        <f t="shared" si="61"/>
        <v>565.59926555628579</v>
      </c>
      <c r="BH75" s="59">
        <f t="shared" si="62"/>
        <v>832.93097979380696</v>
      </c>
      <c r="BI75" s="59">
        <f ca="1">AVERAGE(OFFSET($BH$3,0,0,'Données projet'!$E$11+1,1))-AVERAGE(OFFSET($H$3,0,0,'Données projet'!$E$11+1,1))</f>
        <v>492.39485179035256</v>
      </c>
      <c r="BJ75" s="59">
        <f t="shared" si="92"/>
        <v>297.32483725004124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21.385193111926217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21.385193111926217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</v>
      </c>
      <c r="BY75" s="12">
        <f>IF('Données projet'!$A$114&gt;35,BY74+BX75-CG74,IF(A75&lt;'Données projet'!$A$114,$BV$205^A75,IF(A75='Données projet'!$A$114,'Données projet'!$B$114,BY74+BX75-CG74)))</f>
        <v>168</v>
      </c>
      <c r="BZ75" s="13">
        <f>BY75*VLOOKUP('Données projet'!$B$12,Paramètres!$A$1:$I$89,3,0)*VLOOKUP('Données projet'!$B$12,Paramètres!$A$1:$I$89,5,0)</f>
        <v>159.86880000000002</v>
      </c>
      <c r="CA75" s="13">
        <f t="shared" si="93"/>
        <v>40.812921467768035</v>
      </c>
      <c r="CB75" s="20">
        <f t="shared" si="64"/>
        <v>349.52066488969604</v>
      </c>
      <c r="CC75" s="59">
        <f t="shared" si="65"/>
        <v>616.85237912721709</v>
      </c>
      <c r="CD75" s="59">
        <f ca="1">AVERAGE(OFFSET($CC$3,0,0,'Données projet'!$E$12+1,1))-AVERAGE(OFFSET($H$3,0,0,'Données projet'!$E$12+1,1))</f>
        <v>260.51631161522039</v>
      </c>
      <c r="CE75" s="59">
        <f t="shared" si="94"/>
        <v>171.3469666102674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9.7280234347004519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9.7280234347004519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167.82976403567059</v>
      </c>
      <c r="T76" s="59">
        <f t="shared" si="88"/>
        <v>232.70925470547317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48.627857116682968</v>
      </c>
      <c r="AA76" s="21">
        <f>EXP(-LN(2)/25)*AA75+(1-EXP(-LN(2)/25))/(LN(2)/25)*Calculateur!V76*Calculateur!X76*VLOOKUP('Données projet'!$B$9,Paramètres!$A$1:$I$89,3,0)*0.475*44/12</f>
        <v>28.887893456751943</v>
      </c>
      <c r="AB76" s="21">
        <f>EXP(-LN(2)/2)*AB75+(1-EXP(-LN(2)/2))/(LN(2)/2)*V76*Y76*VLOOKUP('Données projet'!$B$9,Paramètres!$A$1:$I$89,3,0)*0.475*44/12</f>
        <v>0.38886535055220145</v>
      </c>
      <c r="AC76" s="22">
        <f t="shared" si="57"/>
        <v>77.904615923987109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296.79999999999995</v>
      </c>
      <c r="AJ76" s="13">
        <f>AI76*VLOOKUP('Données projet'!$B$10,Paramètres!$A$1:$I$89,3,0)*VLOOKUP('Données projet'!$B$10,Paramètres!$A$1:$I$89,5,0)</f>
        <v>300.95519999999999</v>
      </c>
      <c r="AK76" s="13">
        <f t="shared" si="89"/>
        <v>71.376673021759785</v>
      </c>
      <c r="AL76" s="20">
        <f t="shared" si="58"/>
        <v>648.47801217956487</v>
      </c>
      <c r="AM76" s="59">
        <f t="shared" si="59"/>
        <v>916.26079637748671</v>
      </c>
      <c r="AN76" s="59">
        <f ca="1">AVERAGE(OFFSET($AM$3,0,0,'Données projet'!$E$10+1,1))-AVERAGE(OFFSET($H$3,0,0,'Données projet'!$E$10+1,1))</f>
        <v>542.51810435067659</v>
      </c>
      <c r="AO76" s="59">
        <f t="shared" si="90"/>
        <v>325.7263575945085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23.496202822659956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23.496202822659956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296.79999999999995</v>
      </c>
      <c r="BE76" s="13">
        <f>BD76*VLOOKUP('Données projet'!$B$11,Paramètres!$A$1:$I$89,3,0)*VLOOKUP('Données projet'!$B$11,Paramètres!$A$1:$I$89,5,0)</f>
        <v>268.5446399999999</v>
      </c>
      <c r="BF76" s="13">
        <f t="shared" si="91"/>
        <v>64.54030807605065</v>
      </c>
      <c r="BG76" s="20">
        <f t="shared" si="61"/>
        <v>580.12295123245474</v>
      </c>
      <c r="BH76" s="59">
        <f t="shared" si="62"/>
        <v>847.90573543037658</v>
      </c>
      <c r="BI76" s="59">
        <f ca="1">AVERAGE(OFFSET($BH$3,0,0,'Données projet'!$E$11+1,1))-AVERAGE(OFFSET($H$3,0,0,'Données projet'!$E$11+1,1))</f>
        <v>492.39485179035256</v>
      </c>
      <c r="BJ76" s="59">
        <f t="shared" si="92"/>
        <v>297.32483725004124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20.965842518681185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20.965842518681185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</v>
      </c>
      <c r="BY76" s="12">
        <f>IF('Données projet'!$A$114&gt;35,BY75+BX76-CG75,IF(A76&lt;'Données projet'!$A$114,$BV$205^A76,IF(A76='Données projet'!$A$114,'Données projet'!$B$114,BY75+BX76-CG75)))</f>
        <v>173</v>
      </c>
      <c r="BZ76" s="13">
        <f>BY76*VLOOKUP('Données projet'!$B$12,Paramètres!$A$1:$I$89,3,0)*VLOOKUP('Données projet'!$B$12,Paramètres!$A$1:$I$89,5,0)</f>
        <v>164.6268</v>
      </c>
      <c r="CA76" s="13">
        <f t="shared" si="93"/>
        <v>41.884365321551833</v>
      </c>
      <c r="CB76" s="20">
        <f t="shared" si="64"/>
        <v>359.67361293503609</v>
      </c>
      <c r="CC76" s="59">
        <f t="shared" si="65"/>
        <v>627.45639713295782</v>
      </c>
      <c r="CD76" s="59">
        <f ca="1">AVERAGE(OFFSET($CC$3,0,0,'Données projet'!$E$12+1,1))-AVERAGE(OFFSET($H$3,0,0,'Données projet'!$E$12+1,1))</f>
        <v>260.51631161522039</v>
      </c>
      <c r="CE76" s="59">
        <f t="shared" si="94"/>
        <v>171.3469666102674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9.5372628286543861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9.5372628286543861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167.82976403567059</v>
      </c>
      <c r="T77" s="59">
        <f t="shared" si="88"/>
        <v>232.70925470547317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47.674294498688965</v>
      </c>
      <c r="AA77" s="21">
        <f>EXP(-LN(2)/25)*AA76+(1-EXP(-LN(2)/25))/(LN(2)/25)*Calculateur!V77*Calculateur!X77*VLOOKUP('Données projet'!$B$9,Paramètres!$A$1:$I$89,3,0)*0.475*44/12</f>
        <v>28.097952491028767</v>
      </c>
      <c r="AB77" s="21">
        <f>EXP(-LN(2)/2)*AB76+(1-EXP(-LN(2)/2))/(LN(2)/2)*V77*Y77*VLOOKUP('Données projet'!$B$9,Paramètres!$A$1:$I$89,3,0)*0.475*44/12</f>
        <v>0.27496932634394561</v>
      </c>
      <c r="AC77" s="22">
        <f t="shared" si="57"/>
        <v>76.047216316061679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304.39999999999998</v>
      </c>
      <c r="AJ77" s="13">
        <f>AI77*VLOOKUP('Données projet'!$B$10,Paramètres!$A$1:$I$89,3,0)*VLOOKUP('Données projet'!$B$10,Paramètres!$A$1:$I$89,5,0)</f>
        <v>308.66159999999996</v>
      </c>
      <c r="AK77" s="13">
        <f t="shared" si="89"/>
        <v>72.98924863505313</v>
      </c>
      <c r="AL77" s="20">
        <f t="shared" si="58"/>
        <v>664.70856137271744</v>
      </c>
      <c r="AM77" s="59">
        <f t="shared" si="59"/>
        <v>932.9345904756683</v>
      </c>
      <c r="AN77" s="59">
        <f ca="1">AVERAGE(OFFSET($AM$3,0,0,'Données projet'!$E$10+1,1))-AVERAGE(OFFSET($H$3,0,0,'Données projet'!$E$10+1,1))</f>
        <v>542.51810435067659</v>
      </c>
      <c r="AO77" s="59">
        <f t="shared" si="90"/>
        <v>325.7263575945085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23.035456616576223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23.035456616576223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304.39999999999998</v>
      </c>
      <c r="BE77" s="13">
        <f>BD77*VLOOKUP('Données projet'!$B$11,Paramètres!$A$1:$I$89,3,0)*VLOOKUP('Données projet'!$B$11,Paramètres!$A$1:$I$89,5,0)</f>
        <v>275.42111999999997</v>
      </c>
      <c r="BF77" s="13">
        <f t="shared" si="91"/>
        <v>65.998433293601067</v>
      </c>
      <c r="BG77" s="20">
        <f t="shared" si="61"/>
        <v>594.63905531968851</v>
      </c>
      <c r="BH77" s="59">
        <f t="shared" si="62"/>
        <v>862.86508442263937</v>
      </c>
      <c r="BI77" s="59">
        <f ca="1">AVERAGE(OFFSET($BH$3,0,0,'Données projet'!$E$11+1,1))-AVERAGE(OFFSET($H$3,0,0,'Données projet'!$E$11+1,1))</f>
        <v>492.39485179035256</v>
      </c>
      <c r="BJ77" s="59">
        <f t="shared" si="92"/>
        <v>297.32483725004124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20.554715134791085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20.554715134791085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</v>
      </c>
      <c r="BY77" s="12">
        <f>IF('Données projet'!$A$114&gt;35,BY76+BX77-CG76,IF(A77&lt;'Données projet'!$A$114,$BV$205^A77,IF(A77='Données projet'!$A$114,'Données projet'!$B$114,BY76+BX77-CG76)))</f>
        <v>178</v>
      </c>
      <c r="BZ77" s="13">
        <f>BY77*VLOOKUP('Données projet'!$B$12,Paramètres!$A$1:$I$89,3,0)*VLOOKUP('Données projet'!$B$12,Paramètres!$A$1:$I$89,5,0)</f>
        <v>169.38480000000001</v>
      </c>
      <c r="CA77" s="13">
        <f t="shared" si="93"/>
        <v>42.952210191662466</v>
      </c>
      <c r="CB77" s="20">
        <f t="shared" si="64"/>
        <v>369.82029275047876</v>
      </c>
      <c r="CC77" s="59">
        <f t="shared" si="65"/>
        <v>638.04632185342962</v>
      </c>
      <c r="CD77" s="59">
        <f ca="1">AVERAGE(OFFSET($CC$3,0,0,'Données projet'!$E$12+1,1))-AVERAGE(OFFSET($H$3,0,0,'Données projet'!$E$12+1,1))</f>
        <v>260.51631161522039</v>
      </c>
      <c r="CE77" s="59">
        <f t="shared" si="94"/>
        <v>171.3469666102674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9.3502429217404028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9.3502429217404028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167.82976403567059</v>
      </c>
      <c r="T78" s="59">
        <f t="shared" si="88"/>
        <v>232.70925470547317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46.739430662018059</v>
      </c>
      <c r="AA78" s="21">
        <f>EXP(-LN(2)/25)*AA77+(1-EXP(-LN(2)/25))/(LN(2)/25)*Calculateur!V78*Calculateur!X78*VLOOKUP('Données projet'!$B$9,Paramètres!$A$1:$I$89,3,0)*0.475*44/12</f>
        <v>27.329612502554482</v>
      </c>
      <c r="AB78" s="21">
        <f>EXP(-LN(2)/2)*AB77+(1-EXP(-LN(2)/2))/(LN(2)/2)*V78*Y78*VLOOKUP('Données projet'!$B$9,Paramètres!$A$1:$I$89,3,0)*0.475*44/12</f>
        <v>0.19443267527610072</v>
      </c>
      <c r="AC78" s="22">
        <f t="shared" si="57"/>
        <v>74.263475839848653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949.59254402300598</v>
      </c>
      <c r="AN78" s="59">
        <f ca="1">AVERAGE(OFFSET($AM$3,0,0,'Données projet'!$E$10+1,1))-AVERAGE(OFFSET($H$3,0,0,'Données projet'!$E$10+1,1))</f>
        <v>542.51810435067659</v>
      </c>
      <c r="AO78" s="59">
        <f t="shared" si="90"/>
        <v>325.7263575945085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29.331846090941752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29.331846090941752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</v>
      </c>
      <c r="BE78" s="13">
        <f>BD78*VLOOKUP('Données projet'!$B$11,Paramètres!$A$1:$I$89,3,0)*VLOOKUP('Données projet'!$B$11,Paramètres!$A$1:$I$89,5,0)</f>
        <v>282.29759999999999</v>
      </c>
      <c r="BF78" s="13">
        <f t="shared" si="91"/>
        <v>67.452326629470178</v>
      </c>
      <c r="BG78" s="20">
        <f t="shared" si="61"/>
        <v>609.14778887966042</v>
      </c>
      <c r="BH78" s="59">
        <f t="shared" si="62"/>
        <v>877.80937357948528</v>
      </c>
      <c r="BI78" s="59">
        <f ca="1">AVERAGE(OFFSET($BH$3,0,0,'Données projet'!$E$11+1,1))-AVERAGE(OFFSET($H$3,0,0,'Données projet'!$E$11+1,1))</f>
        <v>492.39485179035256</v>
      </c>
      <c r="BJ78" s="59">
        <f t="shared" si="92"/>
        <v>297.32483725004124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26.173031896532631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26.173031896532631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183</v>
      </c>
      <c r="BW78" s="12">
        <f>VLOOKUP(A78,'Données projet'!$A$113:$I$133,9,0)</f>
        <v>5</v>
      </c>
      <c r="BX78" s="12">
        <f t="array" ref="BX78">INDEX(BW:BW,MIN(IF(ISNUMBER(BW78:BW274),ROW(BW78:BW274),"")))</f>
        <v>5</v>
      </c>
      <c r="BY78" s="12">
        <f>IF('Données projet'!$A$114&gt;35,BY77+BX78-CG77,IF(A78&lt;'Données projet'!$A$114,$BV$205^A78,IF(A78='Données projet'!$A$114,'Données projet'!$B$114,BY77+BX78-CG77)))</f>
        <v>183</v>
      </c>
      <c r="BZ78" s="13">
        <f>BY78*VLOOKUP('Données projet'!$B$12,Paramètres!$A$1:$I$89,3,0)*VLOOKUP('Données projet'!$B$12,Paramètres!$A$1:$I$89,5,0)</f>
        <v>174.14279999999999</v>
      </c>
      <c r="CA78" s="13">
        <f t="shared" si="93"/>
        <v>44.016568786329351</v>
      </c>
      <c r="CB78" s="20">
        <f t="shared" si="64"/>
        <v>379.96090063619022</v>
      </c>
      <c r="CC78" s="59">
        <f t="shared" si="65"/>
        <v>648.62248533601496</v>
      </c>
      <c r="CD78" s="59">
        <f ca="1">AVERAGE(OFFSET($CC$3,0,0,'Données projet'!$E$12+1,1))-AVERAGE(OFFSET($H$3,0,0,'Données projet'!$E$12+1,1))</f>
        <v>260.51631161522039</v>
      </c>
      <c r="CE78" s="59">
        <f t="shared" si="94"/>
        <v>171.3469666102674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12.333306856752424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12.333306856752424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167.82976403567059</v>
      </c>
      <c r="T79" s="59">
        <f t="shared" si="88"/>
        <v>232.70925470547317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45.822898934973637</v>
      </c>
      <c r="AA79" s="21">
        <f>EXP(-LN(2)/25)*AA78+(1-EXP(-LN(2)/25))/(LN(2)/25)*Calculateur!V79*Calculateur!X79*VLOOKUP('Données projet'!$B$9,Paramètres!$A$1:$I$89,3,0)*0.475*44/12</f>
        <v>26.582282811470272</v>
      </c>
      <c r="AB79" s="21">
        <f>EXP(-LN(2)/2)*AB78+(1-EXP(-LN(2)/2))/(LN(2)/2)*V79*Y79*VLOOKUP('Données projet'!$B$9,Paramètres!$A$1:$I$89,3,0)*0.475*44/12</f>
        <v>0.1374846631719728</v>
      </c>
      <c r="AC79" s="22">
        <f t="shared" si="57"/>
        <v>72.542666409615876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905.60289286067382</v>
      </c>
      <c r="AN79" s="59">
        <f ca="1">AVERAGE(OFFSET($AM$3,0,0,'Données projet'!$E$10+1,1))-AVERAGE(OFFSET($H$3,0,0,'Données projet'!$E$10+1,1))</f>
        <v>542.51810435067659</v>
      </c>
      <c r="AO79" s="59">
        <f t="shared" si="90"/>
        <v>325.7263575945085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28.756666479757943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28.756666479757943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</v>
      </c>
      <c r="BE79" s="13">
        <f>BD79*VLOOKUP('Données projet'!$B$11,Paramètres!$A$1:$I$89,3,0)*VLOOKUP('Données projet'!$B$11,Paramètres!$A$1:$I$89,5,0)</f>
        <v>263.47775999999999</v>
      </c>
      <c r="BF79" s="13">
        <f t="shared" si="91"/>
        <v>63.46312159763346</v>
      </c>
      <c r="BG79" s="20">
        <f t="shared" si="61"/>
        <v>569.42203544921153</v>
      </c>
      <c r="BH79" s="59">
        <f t="shared" si="62"/>
        <v>838.51161983006091</v>
      </c>
      <c r="BI79" s="59">
        <f ca="1">AVERAGE(OFFSET($BH$3,0,0,'Données projet'!$E$11+1,1))-AVERAGE(OFFSET($H$3,0,0,'Données projet'!$E$11+1,1))</f>
        <v>492.39485179035256</v>
      </c>
      <c r="BJ79" s="59">
        <f t="shared" si="92"/>
        <v>297.32483725004124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25.659794705014772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25.659794705014772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4.5999999999999996</v>
      </c>
      <c r="BY79" s="12">
        <f>IF('Données projet'!$A$114&gt;35,BY78+BX79-CG78,IF(A79&lt;'Données projet'!$A$114,$BV$205^A79,IF(A79='Données projet'!$A$114,'Données projet'!$B$114,BY78+BX79-CG78)))</f>
        <v>173.6</v>
      </c>
      <c r="BZ79" s="13">
        <f>BY79*VLOOKUP('Données projet'!$B$12,Paramètres!$A$1:$I$89,3,0)*VLOOKUP('Données projet'!$B$12,Paramètres!$A$1:$I$89,5,0)</f>
        <v>165.19776000000002</v>
      </c>
      <c r="CA79" s="13">
        <f t="shared" si="93"/>
        <v>42.012694447196324</v>
      </c>
      <c r="CB79" s="20">
        <f t="shared" si="64"/>
        <v>360.8915414955336</v>
      </c>
      <c r="CC79" s="59">
        <f t="shared" si="65"/>
        <v>629.98112587638298</v>
      </c>
      <c r="CD79" s="59">
        <f ca="1">AVERAGE(OFFSET($CC$3,0,0,'Données projet'!$E$12+1,1))-AVERAGE(OFFSET($H$3,0,0,'Données projet'!$E$12+1,1))</f>
        <v>260.51631161522039</v>
      </c>
      <c r="CE79" s="59">
        <f t="shared" si="94"/>
        <v>171.3469666102674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12.091458231865898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12.091458231865898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167.82976403567059</v>
      </c>
      <c r="T80" s="59">
        <f t="shared" si="88"/>
        <v>232.70925470547317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44.924339836067396</v>
      </c>
      <c r="AA80" s="21">
        <f>EXP(-LN(2)/25)*AA79+(1-EXP(-LN(2)/25))/(LN(2)/25)*Calculateur!V80*Calculateur!X80*VLOOKUP('Données projet'!$B$9,Paramètres!$A$1:$I$89,3,0)*0.475*44/12</f>
        <v>25.85538889008912</v>
      </c>
      <c r="AB80" s="21">
        <f>EXP(-LN(2)/2)*AB79+(1-EXP(-LN(2)/2))/(LN(2)/2)*V80*Y80*VLOOKUP('Données projet'!$B$9,Paramètres!$A$1:$I$89,3,0)*0.475*44/12</f>
        <v>9.7216337638050362E-2</v>
      </c>
      <c r="AC80" s="22">
        <f t="shared" si="57"/>
        <v>70.876945063794565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298.39999999999998</v>
      </c>
      <c r="AJ80" s="13">
        <f>AI80*VLOOKUP('Données projet'!$B$10,Paramètres!$A$1:$I$89,3,0)*VLOOKUP('Données projet'!$B$10,Paramètres!$A$1:$I$89,5,0)</f>
        <v>302.57759999999996</v>
      </c>
      <c r="AK80" s="13">
        <f t="shared" si="89"/>
        <v>71.716558091076294</v>
      </c>
      <c r="AL80" s="20">
        <f t="shared" si="58"/>
        <v>651.89565867529109</v>
      </c>
      <c r="AM80" s="59">
        <f t="shared" si="59"/>
        <v>921.40581789956332</v>
      </c>
      <c r="AN80" s="59">
        <f ca="1">AVERAGE(OFFSET($AM$3,0,0,'Données projet'!$E$10+1,1))-AVERAGE(OFFSET($H$3,0,0,'Données projet'!$E$10+1,1))</f>
        <v>542.51810435067659</v>
      </c>
      <c r="AO80" s="59">
        <f t="shared" si="90"/>
        <v>325.7263575945085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28.192765789924529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28.192765789924529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298.39999999999998</v>
      </c>
      <c r="BE80" s="13">
        <f>BD80*VLOOKUP('Données projet'!$B$11,Paramètres!$A$1:$I$89,3,0)*VLOOKUP('Données projet'!$B$11,Paramètres!$A$1:$I$89,5,0)</f>
        <v>269.99231999999995</v>
      </c>
      <c r="BF80" s="13">
        <f t="shared" si="91"/>
        <v>64.847639395310239</v>
      </c>
      <c r="BG80" s="20">
        <f t="shared" si="61"/>
        <v>583.17959594683191</v>
      </c>
      <c r="BH80" s="59">
        <f t="shared" si="62"/>
        <v>852.68975517110425</v>
      </c>
      <c r="BI80" s="59">
        <f ca="1">AVERAGE(OFFSET($BH$3,0,0,'Données projet'!$E$11+1,1))-AVERAGE(OFFSET($H$3,0,0,'Données projet'!$E$11+1,1))</f>
        <v>492.39485179035256</v>
      </c>
      <c r="BJ80" s="59">
        <f t="shared" si="92"/>
        <v>297.32483725004124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25.156621781778799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25.156621781778799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4.5999999999999996</v>
      </c>
      <c r="BY80" s="12">
        <f>IF('Données projet'!$A$114&gt;35,BY79+BX80-CG79,IF(A80&lt;'Données projet'!$A$114,$BV$205^A80,IF(A80='Données projet'!$A$114,'Données projet'!$B$114,BY79+BX80-CG79)))</f>
        <v>178.2</v>
      </c>
      <c r="BZ80" s="13">
        <f>BY80*VLOOKUP('Données projet'!$B$12,Paramètres!$A$1:$I$89,3,0)*VLOOKUP('Données projet'!$B$12,Paramètres!$A$1:$I$89,5,0)</f>
        <v>169.57511999999997</v>
      </c>
      <c r="CA80" s="13">
        <f t="shared" si="93"/>
        <v>42.994850744606339</v>
      </c>
      <c r="CB80" s="20">
        <f t="shared" si="64"/>
        <v>370.22603238018934</v>
      </c>
      <c r="CC80" s="59">
        <f t="shared" si="65"/>
        <v>639.73619160446162</v>
      </c>
      <c r="CD80" s="59">
        <f ca="1">AVERAGE(OFFSET($CC$3,0,0,'Données projet'!$E$12+1,1))-AVERAGE(OFFSET($H$3,0,0,'Données projet'!$E$12+1,1))</f>
        <v>260.51631161522039</v>
      </c>
      <c r="CE80" s="59">
        <f t="shared" si="94"/>
        <v>171.3469666102674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11.854352111000303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11.854352111000303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167.82976403567059</v>
      </c>
      <c r="T81" s="59">
        <f t="shared" si="88"/>
        <v>232.70925470547317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44.043400933023776</v>
      </c>
      <c r="AA81" s="21">
        <f>EXP(-LN(2)/25)*AA80+(1-EXP(-LN(2)/25))/(LN(2)/25)*Calculateur!V81*Calculateur!X81*VLOOKUP('Données projet'!$B$9,Paramètres!$A$1:$I$89,3,0)*0.475*44/12</f>
        <v>25.148371921213826</v>
      </c>
      <c r="AB81" s="21">
        <f>EXP(-LN(2)/2)*AB80+(1-EXP(-LN(2)/2))/(LN(2)/2)*V81*Y81*VLOOKUP('Données projet'!$B$9,Paramètres!$A$1:$I$89,3,0)*0.475*44/12</f>
        <v>6.8742331585986402E-2</v>
      </c>
      <c r="AC81" s="22">
        <f t="shared" si="57"/>
        <v>69.260515185823579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305.59999999999997</v>
      </c>
      <c r="AJ81" s="13">
        <f>AI81*VLOOKUP('Données projet'!$B$10,Paramètres!$A$1:$I$89,3,0)*VLOOKUP('Données projet'!$B$10,Paramètres!$A$1:$I$89,5,0)</f>
        <v>309.8784</v>
      </c>
      <c r="AK81" s="13">
        <f t="shared" si="89"/>
        <v>73.243434672131556</v>
      </c>
      <c r="AL81" s="20">
        <f t="shared" si="58"/>
        <v>667.27052872062904</v>
      </c>
      <c r="AM81" s="59">
        <f t="shared" si="59"/>
        <v>937.19396675505527</v>
      </c>
      <c r="AN81" s="59">
        <f ca="1">AVERAGE(OFFSET($AM$3,0,0,'Données projet'!$E$10+1,1))-AVERAGE(OFFSET($H$3,0,0,'Données projet'!$E$10+1,1))</f>
        <v>542.51810435067659</v>
      </c>
      <c r="AO81" s="59">
        <f t="shared" si="90"/>
        <v>325.7263575945085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27.639922848673287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27.639922848673287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305.59999999999997</v>
      </c>
      <c r="BE81" s="13">
        <f>BD81*VLOOKUP('Données projet'!$B$11,Paramètres!$A$1:$I$89,3,0)*VLOOKUP('Données projet'!$B$11,Paramètres!$A$1:$I$89,5,0)</f>
        <v>276.50687999999997</v>
      </c>
      <c r="BF81" s="13">
        <f t="shared" si="91"/>
        <v>66.228273722513677</v>
      </c>
      <c r="BG81" s="20">
        <f t="shared" si="61"/>
        <v>596.93039273337797</v>
      </c>
      <c r="BH81" s="59">
        <f t="shared" si="62"/>
        <v>866.8538307678042</v>
      </c>
      <c r="BI81" s="59">
        <f ca="1">AVERAGE(OFFSET($BH$3,0,0,'Données projet'!$E$11+1,1))-AVERAGE(OFFSET($H$3,0,0,'Données projet'!$E$11+1,1))</f>
        <v>492.39485179035256</v>
      </c>
      <c r="BJ81" s="59">
        <f t="shared" si="92"/>
        <v>297.32483725004124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24.663315772662308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24.663315772662308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4.5999999999999996</v>
      </c>
      <c r="BY81" s="12">
        <f>IF('Données projet'!$A$114&gt;35,BY80+BX81-CG80,IF(A81&lt;'Données projet'!$A$114,$BV$205^A81,IF(A81='Données projet'!$A$114,'Données projet'!$B$114,BY80+BX81-CG80)))</f>
        <v>182.79999999999998</v>
      </c>
      <c r="BZ81" s="13">
        <f>BY81*VLOOKUP('Données projet'!$B$12,Paramètres!$A$1:$I$89,3,0)*VLOOKUP('Données projet'!$B$12,Paramètres!$A$1:$I$89,5,0)</f>
        <v>173.95247999999998</v>
      </c>
      <c r="CA81" s="13">
        <f t="shared" si="93"/>
        <v>43.97406002672421</v>
      </c>
      <c r="CB81" s="20">
        <f t="shared" si="64"/>
        <v>379.55539054654463</v>
      </c>
      <c r="CC81" s="59">
        <f t="shared" si="65"/>
        <v>649.47882858097091</v>
      </c>
      <c r="CD81" s="59">
        <f ca="1">AVERAGE(OFFSET($CC$3,0,0,'Données projet'!$E$12+1,1))-AVERAGE(OFFSET($H$3,0,0,'Données projet'!$E$12+1,1))</f>
        <v>260.51631161522039</v>
      </c>
      <c r="CE81" s="59">
        <f t="shared" si="94"/>
        <v>171.3469666102674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11.621895496544427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11.621895496544427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167.82976403567059</v>
      </c>
      <c r="T82" s="59">
        <f t="shared" si="88"/>
        <v>232.70925470547317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43.179736704549164</v>
      </c>
      <c r="AA82" s="21">
        <f>EXP(-LN(2)/25)*AA81+(1-EXP(-LN(2)/25))/(LN(2)/25)*Calculateur!V82*Calculateur!X82*VLOOKUP('Données projet'!$B$9,Paramètres!$A$1:$I$89,3,0)*0.475*44/12</f>
        <v>24.460688368532832</v>
      </c>
      <c r="AB82" s="21">
        <f>EXP(-LN(2)/2)*AB81+(1-EXP(-LN(2)/2))/(LN(2)/2)*V82*Y82*VLOOKUP('Données projet'!$B$9,Paramètres!$A$1:$I$89,3,0)*0.475*44/12</f>
        <v>4.8608168819025181E-2</v>
      </c>
      <c r="AC82" s="22">
        <f t="shared" si="57"/>
        <v>67.689033241901029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312.79999999999995</v>
      </c>
      <c r="AJ82" s="13">
        <f>AI82*VLOOKUP('Données projet'!$B$10,Paramètres!$A$1:$I$89,3,0)*VLOOKUP('Données projet'!$B$10,Paramètres!$A$1:$I$89,5,0)</f>
        <v>317.17919999999998</v>
      </c>
      <c r="AK82" s="13">
        <f t="shared" si="89"/>
        <v>74.766129261581426</v>
      </c>
      <c r="AL82" s="20">
        <f t="shared" si="58"/>
        <v>682.63811513058749</v>
      </c>
      <c r="AM82" s="59">
        <f t="shared" si="59"/>
        <v>952.9676625117645</v>
      </c>
      <c r="AN82" s="59">
        <f ca="1">AVERAGE(OFFSET($AM$3,0,0,'Données projet'!$E$10+1,1))-AVERAGE(OFFSET($H$3,0,0,'Données projet'!$E$10+1,1))</f>
        <v>542.51810435067659</v>
      </c>
      <c r="AO82" s="59">
        <f t="shared" si="90"/>
        <v>325.7263575945085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27.097920820299084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27.097920820299084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312.79999999999995</v>
      </c>
      <c r="BE82" s="13">
        <f>BD82*VLOOKUP('Données projet'!$B$11,Paramètres!$A$1:$I$89,3,0)*VLOOKUP('Données projet'!$B$11,Paramètres!$A$1:$I$89,5,0)</f>
        <v>283.02143999999993</v>
      </c>
      <c r="BF82" s="13">
        <f t="shared" si="91"/>
        <v>67.605126603830598</v>
      </c>
      <c r="BG82" s="20">
        <f t="shared" si="61"/>
        <v>610.67460350167141</v>
      </c>
      <c r="BH82" s="59">
        <f t="shared" si="62"/>
        <v>881.00415088284831</v>
      </c>
      <c r="BI82" s="59">
        <f ca="1">AVERAGE(OFFSET($BH$3,0,0,'Données projet'!$E$11+1,1))-AVERAGE(OFFSET($H$3,0,0,'Données projet'!$E$11+1,1))</f>
        <v>492.39485179035256</v>
      </c>
      <c r="BJ82" s="59">
        <f t="shared" si="92"/>
        <v>297.32483725004124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24.179683193497635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24.179683193497635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4.5999999999999996</v>
      </c>
      <c r="BY82" s="12">
        <f>IF('Données projet'!$A$114&gt;35,BY81+BX82-CG81,IF(A82&lt;'Données projet'!$A$114,$BV$205^A82,IF(A82='Données projet'!$A$114,'Données projet'!$B$114,BY81+BX82-CG81)))</f>
        <v>187.39999999999998</v>
      </c>
      <c r="BZ82" s="13">
        <f>BY82*VLOOKUP('Données projet'!$B$12,Paramètres!$A$1:$I$89,3,0)*VLOOKUP('Données projet'!$B$12,Paramètres!$A$1:$I$89,5,0)</f>
        <v>178.32983999999996</v>
      </c>
      <c r="CA82" s="13">
        <f t="shared" si="93"/>
        <v>44.950404981211172</v>
      </c>
      <c r="CB82" s="20">
        <f t="shared" si="64"/>
        <v>388.8797600089427</v>
      </c>
      <c r="CC82" s="59">
        <f t="shared" si="65"/>
        <v>659.20930739011965</v>
      </c>
      <c r="CD82" s="59">
        <f ca="1">AVERAGE(OFFSET($CC$3,0,0,'Données projet'!$E$12+1,1))-AVERAGE(OFFSET($H$3,0,0,'Données projet'!$E$12+1,1))</f>
        <v>260.51631161522039</v>
      </c>
      <c r="CE82" s="59">
        <f t="shared" si="94"/>
        <v>171.3469666102674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11.393997214513497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11.393997214513497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167.82976403567059</v>
      </c>
      <c r="T83" s="59">
        <f t="shared" si="88"/>
        <v>232.70925470547317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42.333008404811778</v>
      </c>
      <c r="AA83" s="21">
        <f>EXP(-LN(2)/25)*AA82+(1-EXP(-LN(2)/25))/(LN(2)/25)*Calculateur!V83*Calculateur!X83*VLOOKUP('Données projet'!$B$9,Paramètres!$A$1:$I$89,3,0)*0.475*44/12</f>
        <v>23.791809558763607</v>
      </c>
      <c r="AB83" s="21">
        <f>EXP(-LN(2)/2)*AB82+(1-EXP(-LN(2)/2))/(LN(2)/2)*V83*Y83*VLOOKUP('Données projet'!$B$9,Paramètres!$A$1:$I$89,3,0)*0.475*44/12</f>
        <v>3.4371165792993201E-2</v>
      </c>
      <c r="AC83" s="22">
        <f t="shared" si="57"/>
        <v>66.159189129368372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319.99999999999994</v>
      </c>
      <c r="AJ83" s="13">
        <f>AI83*VLOOKUP('Données projet'!$B$10,Paramètres!$A$1:$I$89,3,0)*VLOOKUP('Données projet'!$B$10,Paramètres!$A$1:$I$89,5,0)</f>
        <v>324.47999999999996</v>
      </c>
      <c r="AK83" s="13">
        <f t="shared" si="89"/>
        <v>76.284749200165507</v>
      </c>
      <c r="AL83" s="20">
        <f t="shared" si="58"/>
        <v>697.99860485695478</v>
      </c>
      <c r="AM83" s="59">
        <f t="shared" si="59"/>
        <v>968.72721649564096</v>
      </c>
      <c r="AN83" s="59">
        <f ca="1">AVERAGE(OFFSET($AM$3,0,0,'Données projet'!$E$10+1,1))-AVERAGE(OFFSET($H$3,0,0,'Données projet'!$E$10+1,1))</f>
        <v>542.51810435067659</v>
      </c>
      <c r="AO83" s="59">
        <f t="shared" si="90"/>
        <v>325.7263575945085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34.664267995163186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34.664267995163186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319.99999999999994</v>
      </c>
      <c r="BE83" s="13">
        <f>BD83*VLOOKUP('Données projet'!$B$11,Paramètres!$A$1:$I$89,3,0)*VLOOKUP('Données projet'!$B$11,Paramètres!$A$1:$I$89,5,0)</f>
        <v>289.53599999999994</v>
      </c>
      <c r="BF83" s="13">
        <f t="shared" si="91"/>
        <v>68.97829509904436</v>
      </c>
      <c r="BG83" s="20">
        <f t="shared" si="61"/>
        <v>624.41239729750214</v>
      </c>
      <c r="BH83" s="59">
        <f t="shared" si="62"/>
        <v>895.1410089361882</v>
      </c>
      <c r="BI83" s="59">
        <f ca="1">AVERAGE(OFFSET($BH$3,0,0,'Données projet'!$E$11+1,1))-AVERAGE(OFFSET($H$3,0,0,'Données projet'!$E$11+1,1))</f>
        <v>492.39485179035256</v>
      </c>
      <c r="BJ83" s="59">
        <f t="shared" si="92"/>
        <v>297.32483725004124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30.931192980299443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30.931192980299443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192</v>
      </c>
      <c r="BW83" s="12">
        <f>VLOOKUP(A83,'Données projet'!$A$113:$I$133,9,0)</f>
        <v>4.5999999999999996</v>
      </c>
      <c r="BX83" s="12">
        <f t="array" ref="BX83">INDEX(BW:BW,MIN(IF(ISNUMBER(BW83:BW279),ROW(BW83:BW279),"")))</f>
        <v>4.5999999999999996</v>
      </c>
      <c r="BY83" s="12">
        <f>IF('Données projet'!$A$114&gt;35,BY82+BX83-CG82,IF(A83&lt;'Données projet'!$A$114,$BV$205^A83,IF(A83='Données projet'!$A$114,'Données projet'!$B$114,BY82+BX83-CG82)))</f>
        <v>191.99999999999997</v>
      </c>
      <c r="BZ83" s="13">
        <f>BY83*VLOOKUP('Données projet'!$B$12,Paramètres!$A$1:$I$89,3,0)*VLOOKUP('Données projet'!$B$12,Paramètres!$A$1:$I$89,5,0)</f>
        <v>182.70719999999997</v>
      </c>
      <c r="CA83" s="13">
        <f t="shared" si="93"/>
        <v>45.923964004932436</v>
      </c>
      <c r="CB83" s="20">
        <f t="shared" si="64"/>
        <v>398.19927730859058</v>
      </c>
      <c r="CC83" s="59">
        <f t="shared" si="65"/>
        <v>668.92788894727664</v>
      </c>
      <c r="CD83" s="59">
        <f ca="1">AVERAGE(OFFSET($CC$3,0,0,'Données projet'!$E$12+1,1))-AVERAGE(OFFSET($H$3,0,0,'Données projet'!$E$12+1,1))</f>
        <v>260.51631161522039</v>
      </c>
      <c r="CE83" s="59">
        <f t="shared" si="94"/>
        <v>171.3469666102674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14</v>
      </c>
      <c r="CH83" s="16">
        <f>IF(ISNA(VLOOKUP(A83,'Données projet'!$A$113:$I$133,5,0)),0%,VLOOKUP(A83,'Données projet'!$A$113:$I$133,5,0)*VLOOKUP('Données projet'!$B$12,Paramètres!$A$1:$I$89,7,0))</f>
        <v>0.215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14.336984374411267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14.336984374411267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167.82976403567059</v>
      </c>
      <c r="T84" s="59">
        <f t="shared" si="88"/>
        <v>232.70925470547317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41.502883930578975</v>
      </c>
      <c r="AA84" s="21">
        <f>EXP(-LN(2)/25)*AA83+(1-EXP(-LN(2)/25))/(LN(2)/25)*Calculateur!V84*Calculateur!X84*VLOOKUP('Données projet'!$B$9,Paramètres!$A$1:$I$89,3,0)*0.475*44/12</f>
        <v>23.141221275222328</v>
      </c>
      <c r="AB84" s="21">
        <f>EXP(-LN(2)/2)*AB83+(1-EXP(-LN(2)/2))/(LN(2)/2)*V84*Y84*VLOOKUP('Données projet'!$B$9,Paramètres!$A$1:$I$89,3,0)*0.475*44/12</f>
        <v>2.4304084409512591E-2</v>
      </c>
      <c r="AC84" s="22">
        <f t="shared" si="57"/>
        <v>64.668409290210818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298.59999999999997</v>
      </c>
      <c r="AJ84" s="13">
        <f>AI84*VLOOKUP('Données projet'!$B$10,Paramètres!$A$1:$I$89,3,0)*VLOOKUP('Données projet'!$B$10,Paramètres!$A$1:$I$89,5,0)</f>
        <v>302.78039999999999</v>
      </c>
      <c r="AK84" s="13">
        <f t="shared" si="89"/>
        <v>71.75902878776165</v>
      </c>
      <c r="AL84" s="20">
        <f t="shared" si="58"/>
        <v>652.32283847201813</v>
      </c>
      <c r="AM84" s="59">
        <f t="shared" si="59"/>
        <v>923.44359149551951</v>
      </c>
      <c r="AN84" s="59">
        <f ca="1">AVERAGE(OFFSET($AM$3,0,0,'Données projet'!$E$10+1,1))-AVERAGE(OFFSET($H$3,0,0,'Données projet'!$E$10+1,1))</f>
        <v>542.51810435067659</v>
      </c>
      <c r="AO84" s="59">
        <f t="shared" si="90"/>
        <v>325.7263575945085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33.984522842893803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33.984522842893803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298.59999999999997</v>
      </c>
      <c r="BE84" s="13">
        <f>BD84*VLOOKUP('Données projet'!$B$11,Paramètres!$A$1:$I$89,3,0)*VLOOKUP('Données projet'!$B$11,Paramètres!$A$1:$I$89,5,0)</f>
        <v>270.17327999999992</v>
      </c>
      <c r="BF84" s="13">
        <f t="shared" si="91"/>
        <v>64.886042303882988</v>
      </c>
      <c r="BG84" s="20">
        <f t="shared" si="61"/>
        <v>583.56165301259614</v>
      </c>
      <c r="BH84" s="59">
        <f t="shared" si="62"/>
        <v>854.68240603609752</v>
      </c>
      <c r="BI84" s="59">
        <f ca="1">AVERAGE(OFFSET($BH$3,0,0,'Données projet'!$E$11+1,1))-AVERAGE(OFFSET($H$3,0,0,'Données projet'!$E$11+1,1))</f>
        <v>492.39485179035256</v>
      </c>
      <c r="BJ84" s="59">
        <f t="shared" si="92"/>
        <v>297.32483725004124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30.324651152120609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30.324651152120609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4.4000000000000004</v>
      </c>
      <c r="BY84" s="12">
        <f>IF('Données projet'!$A$114&gt;35,BY83+BX84-CG83,IF(A84&lt;'Données projet'!$A$114,$BV$205^A84,IF(A84='Données projet'!$A$114,'Données projet'!$B$114,BY83+BX84-CG83)))</f>
        <v>182.39999999999998</v>
      </c>
      <c r="BZ84" s="13">
        <f>BY84*VLOOKUP('Données projet'!$B$12,Paramètres!$A$1:$I$89,3,0)*VLOOKUP('Données projet'!$B$12,Paramètres!$A$1:$I$89,5,0)</f>
        <v>173.57183999999998</v>
      </c>
      <c r="CA84" s="13">
        <f t="shared" si="93"/>
        <v>43.889026259091224</v>
      </c>
      <c r="CB84" s="20">
        <f t="shared" si="64"/>
        <v>378.74434206791716</v>
      </c>
      <c r="CC84" s="59">
        <f t="shared" si="65"/>
        <v>649.86509509141865</v>
      </c>
      <c r="CD84" s="59">
        <f ca="1">AVERAGE(OFFSET($CC$3,0,0,'Données projet'!$E$12+1,1))-AVERAGE(OFFSET($H$3,0,0,'Données projet'!$E$12+1,1))</f>
        <v>260.51631161522039</v>
      </c>
      <c r="CE84" s="59">
        <f t="shared" si="94"/>
        <v>171.3469666102674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14.055844855526065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14.055844855526065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167.82976403567059</v>
      </c>
      <c r="T85" s="59">
        <f t="shared" si="88"/>
        <v>232.70925470547317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40.689037690959942</v>
      </c>
      <c r="AA85" s="21">
        <f>EXP(-LN(2)/25)*AA84+(1-EXP(-LN(2)/25))/(LN(2)/25)*Calculateur!V85*Calculateur!X85*VLOOKUP('Données projet'!$B$9,Paramètres!$A$1:$I$89,3,0)*0.475*44/12</f>
        <v>22.508423362507436</v>
      </c>
      <c r="AB85" s="21">
        <f>EXP(-LN(2)/2)*AB84+(1-EXP(-LN(2)/2))/(LN(2)/2)*V85*Y85*VLOOKUP('Données projet'!$B$9,Paramètres!$A$1:$I$89,3,0)*0.475*44/12</f>
        <v>1.7185582896496601E-2</v>
      </c>
      <c r="AC85" s="22">
        <f t="shared" si="57"/>
        <v>63.214646636363874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305.2</v>
      </c>
      <c r="AJ85" s="13">
        <f>AI85*VLOOKUP('Données projet'!$B$10,Paramètres!$A$1:$I$89,3,0)*VLOOKUP('Données projet'!$B$10,Paramètres!$A$1:$I$89,5,0)</f>
        <v>309.47280000000001</v>
      </c>
      <c r="AK85" s="13">
        <f t="shared" si="89"/>
        <v>73.15871892427802</v>
      </c>
      <c r="AL85" s="20">
        <f t="shared" si="58"/>
        <v>666.41656212645091</v>
      </c>
      <c r="AM85" s="59">
        <f t="shared" si="59"/>
        <v>937.92265375843795</v>
      </c>
      <c r="AN85" s="59">
        <f ca="1">AVERAGE(OFFSET($AM$3,0,0,'Données projet'!$E$10+1,1))-AVERAGE(OFFSET($H$3,0,0,'Données projet'!$E$10+1,1))</f>
        <v>542.51810435067659</v>
      </c>
      <c r="AO85" s="59">
        <f t="shared" si="90"/>
        <v>325.7263575945085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33.318107078456819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33.318107078456819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305.2</v>
      </c>
      <c r="BE85" s="13">
        <f>BD85*VLOOKUP('Données projet'!$B$11,Paramètres!$A$1:$I$89,3,0)*VLOOKUP('Données projet'!$B$11,Paramètres!$A$1:$I$89,5,0)</f>
        <v>276.14495999999997</v>
      </c>
      <c r="BF85" s="13">
        <f t="shared" si="91"/>
        <v>66.151671938851194</v>
      </c>
      <c r="BG85" s="20">
        <f t="shared" si="61"/>
        <v>596.16663396016577</v>
      </c>
      <c r="BH85" s="59">
        <f t="shared" si="62"/>
        <v>867.6727255921528</v>
      </c>
      <c r="BI85" s="59">
        <f ca="1">AVERAGE(OFFSET($BH$3,0,0,'Données projet'!$E$11+1,1))-AVERAGE(OFFSET($H$3,0,0,'Données projet'!$E$11+1,1))</f>
        <v>492.39485179035256</v>
      </c>
      <c r="BJ85" s="59">
        <f t="shared" si="92"/>
        <v>297.32483725004124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29.730003239238378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29.730003239238378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4.4000000000000004</v>
      </c>
      <c r="BY85" s="12">
        <f>IF('Données projet'!$A$114&gt;35,BY84+BX85-CG84,IF(A85&lt;'Données projet'!$A$114,$BV$205^A85,IF(A85='Données projet'!$A$114,'Données projet'!$B$114,BY84+BX85-CG84)))</f>
        <v>186.79999999999998</v>
      </c>
      <c r="BZ85" s="13">
        <f>BY85*VLOOKUP('Données projet'!$B$12,Paramètres!$A$1:$I$89,3,0)*VLOOKUP('Données projet'!$B$12,Paramètres!$A$1:$I$89,5,0)</f>
        <v>177.75888</v>
      </c>
      <c r="CA85" s="13">
        <f t="shared" si="93"/>
        <v>44.823215265943972</v>
      </c>
      <c r="CB85" s="20">
        <f t="shared" si="64"/>
        <v>387.66381592151902</v>
      </c>
      <c r="CC85" s="59">
        <f t="shared" si="65"/>
        <v>659.16990755350605</v>
      </c>
      <c r="CD85" s="59">
        <f ca="1">AVERAGE(OFFSET($CC$3,0,0,'Données projet'!$E$12+1,1))-AVERAGE(OFFSET($H$3,0,0,'Données projet'!$E$12+1,1))</f>
        <v>260.51631161522039</v>
      </c>
      <c r="CE85" s="59">
        <f t="shared" si="94"/>
        <v>171.3469666102674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13.780218311128026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13.780218311128026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167.82976403567059</v>
      </c>
      <c r="T86" s="59">
        <f t="shared" si="88"/>
        <v>232.70925470547317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39.891150479702652</v>
      </c>
      <c r="AA86" s="21">
        <f>EXP(-LN(2)/25)*AA85+(1-EXP(-LN(2)/25))/(LN(2)/25)*Calculateur!V86*Calculateur!X86*VLOOKUP('Données projet'!$B$9,Paramètres!$A$1:$I$89,3,0)*0.475*44/12</f>
        <v>21.892929341993128</v>
      </c>
      <c r="AB86" s="21">
        <f>EXP(-LN(2)/2)*AB85+(1-EXP(-LN(2)/2))/(LN(2)/2)*V86*Y86*VLOOKUP('Données projet'!$B$9,Paramètres!$A$1:$I$89,3,0)*0.475*44/12</f>
        <v>1.2152042204756295E-2</v>
      </c>
      <c r="AC86" s="22">
        <f t="shared" si="57"/>
        <v>61.796231863900537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311.8</v>
      </c>
      <c r="AJ86" s="13">
        <f>AI86*VLOOKUP('Données projet'!$B$10,Paramètres!$A$1:$I$89,3,0)*VLOOKUP('Données projet'!$B$10,Paramètres!$A$1:$I$89,5,0)</f>
        <v>316.16520000000003</v>
      </c>
      <c r="AK86" s="13">
        <f t="shared" si="89"/>
        <v>74.554889944758472</v>
      </c>
      <c r="AL86" s="20">
        <f t="shared" si="58"/>
        <v>680.50415665378762</v>
      </c>
      <c r="AM86" s="59">
        <f t="shared" si="59"/>
        <v>952.3889021308911</v>
      </c>
      <c r="AN86" s="59">
        <f ca="1">AVERAGE(OFFSET($AM$3,0,0,'Données projet'!$E$10+1,1))-AVERAGE(OFFSET($H$3,0,0,'Données projet'!$E$10+1,1))</f>
        <v>542.51810435067659</v>
      </c>
      <c r="AO86" s="59">
        <f t="shared" si="90"/>
        <v>325.7263575945085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32.664759320686962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32.664759320686962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311.8</v>
      </c>
      <c r="BE86" s="13">
        <f>BD86*VLOOKUP('Données projet'!$B$11,Paramètres!$A$1:$I$89,3,0)*VLOOKUP('Données projet'!$B$11,Paramètres!$A$1:$I$89,5,0)</f>
        <v>282.11664000000002</v>
      </c>
      <c r="BF86" s="13">
        <f t="shared" si="91"/>
        <v>67.414119514142243</v>
      </c>
      <c r="BG86" s="20">
        <f t="shared" si="61"/>
        <v>608.76607282046439</v>
      </c>
      <c r="BH86" s="59">
        <f t="shared" si="62"/>
        <v>880.65081829756787</v>
      </c>
      <c r="BI86" s="59">
        <f ca="1">AVERAGE(OFFSET($BH$3,0,0,'Données projet'!$E$11+1,1))-AVERAGE(OFFSET($H$3,0,0,'Données projet'!$E$11+1,1))</f>
        <v>492.39485179035256</v>
      </c>
      <c r="BJ86" s="59">
        <f t="shared" si="92"/>
        <v>297.32483725004124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29.147016009228356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29.147016009228356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4.4000000000000004</v>
      </c>
      <c r="BY86" s="12">
        <f>IF('Données projet'!$A$114&gt;35,BY85+BX86-CG85,IF(A86&lt;'Données projet'!$A$114,$BV$205^A86,IF(A86='Données projet'!$A$114,'Données projet'!$B$114,BY85+BX86-CG85)))</f>
        <v>191.2</v>
      </c>
      <c r="BZ86" s="13">
        <f>BY86*VLOOKUP('Données projet'!$B$12,Paramètres!$A$1:$I$89,3,0)*VLOOKUP('Données projet'!$B$12,Paramètres!$A$1:$I$89,5,0)</f>
        <v>181.94592</v>
      </c>
      <c r="CA86" s="13">
        <f t="shared" si="93"/>
        <v>45.754846212632849</v>
      </c>
      <c r="CB86" s="20">
        <f t="shared" si="64"/>
        <v>396.57883448700221</v>
      </c>
      <c r="CC86" s="59">
        <f t="shared" si="65"/>
        <v>668.46357996410575</v>
      </c>
      <c r="CD86" s="59">
        <f ca="1">AVERAGE(OFFSET($CC$3,0,0,'Données projet'!$E$12+1,1))-AVERAGE(OFFSET($H$3,0,0,'Données projet'!$E$12+1,1))</f>
        <v>260.51631161522039</v>
      </c>
      <c r="CE86" s="59">
        <f t="shared" si="94"/>
        <v>171.3469666102674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13.50999663515004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13.50999663515004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167.82976403567059</v>
      </c>
      <c r="T87" s="59">
        <f t="shared" si="88"/>
        <v>232.70925470547317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39.108909349994967</v>
      </c>
      <c r="AA87" s="21">
        <f>EXP(-LN(2)/25)*AA86+(1-EXP(-LN(2)/25))/(LN(2)/25)*Calculateur!V87*Calculateur!X87*VLOOKUP('Données projet'!$B$9,Paramètres!$A$1:$I$89,3,0)*0.475*44/12</f>
        <v>21.294266037837208</v>
      </c>
      <c r="AB87" s="21">
        <f>EXP(-LN(2)/2)*AB86+(1-EXP(-LN(2)/2))/(LN(2)/2)*V87*Y87*VLOOKUP('Données projet'!$B$9,Paramètres!$A$1:$I$89,3,0)*0.475*44/12</f>
        <v>8.5927914482483003E-3</v>
      </c>
      <c r="AC87" s="22">
        <f t="shared" si="57"/>
        <v>60.411768179280429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318.40000000000003</v>
      </c>
      <c r="AJ87" s="13">
        <f>AI87*VLOOKUP('Données projet'!$B$10,Paramètres!$A$1:$I$89,3,0)*VLOOKUP('Données projet'!$B$10,Paramètres!$A$1:$I$89,5,0)</f>
        <v>322.85760000000005</v>
      </c>
      <c r="AK87" s="13">
        <f t="shared" si="89"/>
        <v>75.947624920658441</v>
      </c>
      <c r="AL87" s="20">
        <f t="shared" si="58"/>
        <v>694.58576673681353</v>
      </c>
      <c r="AM87" s="59">
        <f t="shared" si="59"/>
        <v>966.84259726136384</v>
      </c>
      <c r="AN87" s="59">
        <f ca="1">AVERAGE(OFFSET($AM$3,0,0,'Données projet'!$E$10+1,1))-AVERAGE(OFFSET($H$3,0,0,'Données projet'!$E$10+1,1))</f>
        <v>542.51810435067659</v>
      </c>
      <c r="AO87" s="59">
        <f t="shared" si="90"/>
        <v>325.7263575945085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32.024223313944191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32.024223313944191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318.40000000000003</v>
      </c>
      <c r="BE87" s="13">
        <f>BD87*VLOOKUP('Données projet'!$B$11,Paramètres!$A$1:$I$89,3,0)*VLOOKUP('Données projet'!$B$11,Paramètres!$A$1:$I$89,5,0)</f>
        <v>288.08832000000001</v>
      </c>
      <c r="BF87" s="13">
        <f t="shared" si="91"/>
        <v>68.673460144735557</v>
      </c>
      <c r="BG87" s="20">
        <f t="shared" si="61"/>
        <v>621.36010041874772</v>
      </c>
      <c r="BH87" s="59">
        <f t="shared" si="62"/>
        <v>893.61693094329803</v>
      </c>
      <c r="BI87" s="59">
        <f ca="1">AVERAGE(OFFSET($BH$3,0,0,'Données projet'!$E$11+1,1))-AVERAGE(OFFSET($H$3,0,0,'Données projet'!$E$11+1,1))</f>
        <v>492.39485179035256</v>
      </c>
      <c r="BJ87" s="59">
        <f t="shared" si="92"/>
        <v>297.32483725004124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28.57546080321173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28.57546080321173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4.4000000000000004</v>
      </c>
      <c r="BY87" s="12">
        <f>IF('Données projet'!$A$114&gt;35,BY86+BX87-CG86,IF(A87&lt;'Données projet'!$A$114,$BV$205^A87,IF(A87='Données projet'!$A$114,'Données projet'!$B$114,BY86+BX87-CG86)))</f>
        <v>195.6</v>
      </c>
      <c r="BZ87" s="13">
        <f>BY87*VLOOKUP('Données projet'!$B$12,Paramètres!$A$1:$I$89,3,0)*VLOOKUP('Données projet'!$B$12,Paramètres!$A$1:$I$89,5,0)</f>
        <v>186.13296</v>
      </c>
      <c r="CA87" s="13">
        <f t="shared" si="93"/>
        <v>46.683984742595676</v>
      </c>
      <c r="CB87" s="20">
        <f t="shared" si="64"/>
        <v>405.48951209335405</v>
      </c>
      <c r="CC87" s="59">
        <f t="shared" si="65"/>
        <v>677.74634261790436</v>
      </c>
      <c r="CD87" s="59">
        <f ca="1">AVERAGE(OFFSET($CC$3,0,0,'Données projet'!$E$12+1,1))-AVERAGE(OFFSET($H$3,0,0,'Données projet'!$E$12+1,1))</f>
        <v>260.51631161522039</v>
      </c>
      <c r="CE87" s="59">
        <f t="shared" si="94"/>
        <v>171.3469666102674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13.245073841419035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13.245073841419035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167.82976403567059</v>
      </c>
      <c r="T88" s="59">
        <f t="shared" si="88"/>
        <v>232.70925470547317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38.342007491720878</v>
      </c>
      <c r="AA88" s="21">
        <f>EXP(-LN(2)/25)*AA87+(1-EXP(-LN(2)/25))/(LN(2)/25)*Calculateur!V88*Calculateur!X88*VLOOKUP('Données projet'!$B$9,Paramètres!$A$1:$I$89,3,0)*0.475*44/12</f>
        <v>20.711973213215767</v>
      </c>
      <c r="AB88" s="21">
        <f>EXP(-LN(2)/2)*AB87+(1-EXP(-LN(2)/2))/(LN(2)/2)*V88*Y88*VLOOKUP('Données projet'!$B$9,Paramètres!$A$1:$I$89,3,0)*0.475*44/12</f>
        <v>6.0760211023781477E-3</v>
      </c>
      <c r="AC88" s="22">
        <f t="shared" si="57"/>
        <v>59.060056726039029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325.00000000000006</v>
      </c>
      <c r="AJ88" s="13">
        <f>AI88*VLOOKUP('Données projet'!$B$10,Paramètres!$A$1:$I$89,3,0)*VLOOKUP('Données projet'!$B$10,Paramètres!$A$1:$I$89,5,0)</f>
        <v>329.55000000000013</v>
      </c>
      <c r="AK88" s="13">
        <f t="shared" si="89"/>
        <v>77.337003282690645</v>
      </c>
      <c r="AL88" s="20">
        <f t="shared" si="58"/>
        <v>708.661530717353</v>
      </c>
      <c r="AM88" s="59">
        <f t="shared" si="59"/>
        <v>981.28399144563446</v>
      </c>
      <c r="AN88" s="59">
        <f ca="1">AVERAGE(OFFSET($AM$3,0,0,'Données projet'!$E$10+1,1))-AVERAGE(OFFSET($H$3,0,0,'Données projet'!$E$10+1,1))</f>
        <v>542.51810435067659</v>
      </c>
      <c r="AO88" s="59">
        <f t="shared" si="90"/>
        <v>325.7263575945085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31.396247827605258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31.396247827605258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325.00000000000006</v>
      </c>
      <c r="BE88" s="13">
        <f>BD88*VLOOKUP('Données projet'!$B$11,Paramètres!$A$1:$I$89,3,0)*VLOOKUP('Données projet'!$B$11,Paramètres!$A$1:$I$89,5,0)</f>
        <v>294.06000000000006</v>
      </c>
      <c r="BF88" s="13">
        <f t="shared" si="91"/>
        <v>69.929765653573369</v>
      </c>
      <c r="BG88" s="20">
        <f t="shared" si="61"/>
        <v>633.94884184664033</v>
      </c>
      <c r="BH88" s="59">
        <f t="shared" si="62"/>
        <v>906.5713025749219</v>
      </c>
      <c r="BI88" s="59">
        <f ca="1">AVERAGE(OFFSET($BH$3,0,0,'Données projet'!$E$11+1,1))-AVERAGE(OFFSET($H$3,0,0,'Données projet'!$E$11+1,1))</f>
        <v>492.39485179035256</v>
      </c>
      <c r="BJ88" s="59">
        <f t="shared" si="92"/>
        <v>297.32483725004124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28.015113446170837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28.015113446170837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200</v>
      </c>
      <c r="BW88" s="12">
        <f>VLOOKUP(A88,'Données projet'!$A$113:$I$133,9,0)</f>
        <v>4.4000000000000004</v>
      </c>
      <c r="BX88" s="12">
        <f t="array" ref="BX88">INDEX(BW:BW,MIN(IF(ISNUMBER(BW88:BW284),ROW(BW88:BW284),"")))</f>
        <v>4.4000000000000004</v>
      </c>
      <c r="BY88" s="12">
        <f>IF('Données projet'!$A$114&gt;35,BY87+BX88-CG87,IF(A88&lt;'Données projet'!$A$114,$BV$205^A88,IF(A88='Données projet'!$A$114,'Données projet'!$B$114,BY87+BX88-CG87)))</f>
        <v>200</v>
      </c>
      <c r="BZ88" s="13">
        <f>BY88*VLOOKUP('Données projet'!$B$12,Paramètres!$A$1:$I$89,3,0)*VLOOKUP('Données projet'!$B$12,Paramètres!$A$1:$I$89,5,0)</f>
        <v>190.32</v>
      </c>
      <c r="CA88" s="13">
        <f t="shared" si="93"/>
        <v>47.61069337740188</v>
      </c>
      <c r="CB88" s="20">
        <f t="shared" si="64"/>
        <v>414.39595763230818</v>
      </c>
      <c r="CC88" s="59">
        <f t="shared" si="65"/>
        <v>687.01841836058975</v>
      </c>
      <c r="CD88" s="59">
        <f ca="1">AVERAGE(OFFSET($CC$3,0,0,'Données projet'!$E$12+1,1))-AVERAGE(OFFSET($H$3,0,0,'Données projet'!$E$12+1,1))</f>
        <v>260.51631161522039</v>
      </c>
      <c r="CE88" s="59">
        <f t="shared" si="94"/>
        <v>171.3469666102674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16.785045816832906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16.785045816832906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167.82976403567059</v>
      </c>
      <c r="T89" s="59">
        <f t="shared" si="88"/>
        <v>232.70925470547317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37.590144111123593</v>
      </c>
      <c r="AA89" s="21">
        <f>EXP(-LN(2)/25)*AA88+(1-EXP(-LN(2)/25))/(LN(2)/25)*Calculateur!V89*Calculateur!X89*VLOOKUP('Données projet'!$B$9,Paramètres!$A$1:$I$89,3,0)*0.475*44/12</f>
        <v>20.145603216505048</v>
      </c>
      <c r="AB89" s="21">
        <f>EXP(-LN(2)/2)*AB88+(1-EXP(-LN(2)/2))/(LN(2)/2)*V89*Y89*VLOOKUP('Données projet'!$B$9,Paramètres!$A$1:$I$89,3,0)*0.475*44/12</f>
        <v>4.2963957241241501E-3</v>
      </c>
      <c r="AC89" s="22">
        <f t="shared" si="57"/>
        <v>57.74004372335277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331.60000000000008</v>
      </c>
      <c r="AJ89" s="13">
        <f>AI89*VLOOKUP('Données projet'!$B$10,Paramètres!$A$1:$I$89,3,0)*VLOOKUP('Données projet'!$B$10,Paramètres!$A$1:$I$89,5,0)</f>
        <v>336.24240000000009</v>
      </c>
      <c r="AK89" s="13">
        <f t="shared" si="89"/>
        <v>78.723101051027399</v>
      </c>
      <c r="AL89" s="20">
        <f t="shared" si="58"/>
        <v>722.73158099720615</v>
      </c>
      <c r="AM89" s="59">
        <f t="shared" si="59"/>
        <v>995.71332906261091</v>
      </c>
      <c r="AN89" s="59">
        <f ca="1">AVERAGE(OFFSET($AM$3,0,0,'Données projet'!$E$10+1,1))-AVERAGE(OFFSET($H$3,0,0,'Données projet'!$E$10+1,1))</f>
        <v>542.51810435067659</v>
      </c>
      <c r="AO89" s="59">
        <f t="shared" si="90"/>
        <v>325.7263575945085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30.780586557526206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30.780586557526206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331.60000000000008</v>
      </c>
      <c r="BE89" s="13">
        <f>BD89*VLOOKUP('Données projet'!$B$11,Paramètres!$A$1:$I$89,3,0)*VLOOKUP('Données projet'!$B$11,Paramètres!$A$1:$I$89,5,0)</f>
        <v>300.03168000000005</v>
      </c>
      <c r="BF89" s="13">
        <f t="shared" si="91"/>
        <v>71.183104779714938</v>
      </c>
      <c r="BG89" s="20">
        <f t="shared" si="61"/>
        <v>646.53241682467024</v>
      </c>
      <c r="BH89" s="59">
        <f t="shared" si="62"/>
        <v>919.51416489007488</v>
      </c>
      <c r="BI89" s="59">
        <f ca="1">AVERAGE(OFFSET($BH$3,0,0,'Données projet'!$E$11+1,1))-AVERAGE(OFFSET($H$3,0,0,'Données projet'!$E$11+1,1))</f>
        <v>492.39485179035256</v>
      </c>
      <c r="BJ89" s="59">
        <f t="shared" si="92"/>
        <v>297.32483725004124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27.465754159023376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27.465754159023376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4.2</v>
      </c>
      <c r="BY89" s="12">
        <f>IF('Données projet'!$A$114&gt;35,BY88+BX89-CG88,IF(A89&lt;'Données projet'!$A$114,$BV$205^A89,IF(A89='Données projet'!$A$114,'Données projet'!$B$114,BY88+BX89-CG88)))</f>
        <v>190.2</v>
      </c>
      <c r="BZ89" s="13">
        <f>BY89*VLOOKUP('Données projet'!$B$12,Paramètres!$A$1:$I$89,3,0)*VLOOKUP('Données projet'!$B$12,Paramètres!$A$1:$I$89,5,0)</f>
        <v>180.99431999999999</v>
      </c>
      <c r="CA89" s="13">
        <f t="shared" si="93"/>
        <v>45.543333072238994</v>
      </c>
      <c r="CB89" s="20">
        <f t="shared" si="64"/>
        <v>394.55307910081621</v>
      </c>
      <c r="CC89" s="59">
        <f t="shared" si="65"/>
        <v>667.53482716622091</v>
      </c>
      <c r="CD89" s="59">
        <f ca="1">AVERAGE(OFFSET($CC$3,0,0,'Données projet'!$E$12+1,1))-AVERAGE(OFFSET($H$3,0,0,'Données projet'!$E$12+1,1))</f>
        <v>260.51631161522039</v>
      </c>
      <c r="CE89" s="59">
        <f t="shared" si="94"/>
        <v>171.3469666102674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16.455901306231855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16.455901306231855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167.82976403567059</v>
      </c>
      <c r="T90" s="59">
        <f t="shared" si="88"/>
        <v>232.70925470547317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36.853024312828445</v>
      </c>
      <c r="AA90" s="21">
        <f>EXP(-LN(2)/25)*AA89+(1-EXP(-LN(2)/25))/(LN(2)/25)*Calculateur!V90*Calculateur!X90*VLOOKUP('Données projet'!$B$9,Paramètres!$A$1:$I$89,3,0)*0.475*44/12</f>
        <v>19.594720637138487</v>
      </c>
      <c r="AB90" s="21">
        <f>EXP(-LN(2)/2)*AB89+(1-EXP(-LN(2)/2))/(LN(2)/2)*V90*Y90*VLOOKUP('Données projet'!$B$9,Paramètres!$A$1:$I$89,3,0)*0.475*44/12</f>
        <v>3.0380105511890738E-3</v>
      </c>
      <c r="AC90" s="22">
        <f t="shared" si="57"/>
        <v>56.450782960518119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338.2000000000001</v>
      </c>
      <c r="AJ90" s="13">
        <f>AI90*VLOOKUP('Données projet'!$B$10,Paramètres!$A$1:$I$89,3,0)*VLOOKUP('Données projet'!$B$10,Paramètres!$A$1:$I$89,5,0)</f>
        <v>342.93480000000011</v>
      </c>
      <c r="AK90" s="13">
        <f t="shared" si="89"/>
        <v>80.105991046658843</v>
      </c>
      <c r="AL90" s="20">
        <f t="shared" si="58"/>
        <v>736.79604440626429</v>
      </c>
      <c r="AM90" s="59">
        <f t="shared" si="59"/>
        <v>1010.1308469767391</v>
      </c>
      <c r="AN90" s="59">
        <f ca="1">AVERAGE(OFFSET($AM$3,0,0,'Données projet'!$E$10+1,1))-AVERAGE(OFFSET($H$3,0,0,'Données projet'!$E$10+1,1))</f>
        <v>542.51810435067659</v>
      </c>
      <c r="AO90" s="59">
        <f t="shared" si="90"/>
        <v>325.7263575945085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30.176998029437108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30.176998029437108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338.2000000000001</v>
      </c>
      <c r="BE90" s="13">
        <f>BD90*VLOOKUP('Données projet'!$B$11,Paramètres!$A$1:$I$89,3,0)*VLOOKUP('Données projet'!$B$11,Paramètres!$A$1:$I$89,5,0)</f>
        <v>306.00336000000004</v>
      </c>
      <c r="BF90" s="13">
        <f t="shared" si="91"/>
        <v>72.433543369450447</v>
      </c>
      <c r="BG90" s="20">
        <f t="shared" si="61"/>
        <v>659.11094003512619</v>
      </c>
      <c r="BH90" s="59">
        <f t="shared" si="62"/>
        <v>932.44574260560103</v>
      </c>
      <c r="BI90" s="59">
        <f ca="1">AVERAGE(OFFSET($BH$3,0,0,'Données projet'!$E$11+1,1))-AVERAGE(OFFSET($H$3,0,0,'Données projet'!$E$11+1,1))</f>
        <v>492.39485179035256</v>
      </c>
      <c r="BJ90" s="59">
        <f t="shared" si="92"/>
        <v>297.32483725004124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26.927167472420798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26.927167472420798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4.2</v>
      </c>
      <c r="BY90" s="12">
        <f>IF('Données projet'!$A$114&gt;35,BY89+BX90-CG89,IF(A90&lt;'Données projet'!$A$114,$BV$205^A90,IF(A90='Données projet'!$A$114,'Données projet'!$B$114,BY89+BX90-CG89)))</f>
        <v>194.39999999999998</v>
      </c>
      <c r="BZ90" s="13">
        <f>BY90*VLOOKUP('Données projet'!$B$12,Paramètres!$A$1:$I$89,3,0)*VLOOKUP('Données projet'!$B$12,Paramètres!$A$1:$I$89,5,0)</f>
        <v>184.99104</v>
      </c>
      <c r="CA90" s="13">
        <f t="shared" si="93"/>
        <v>46.430826882655644</v>
      </c>
      <c r="CB90" s="20">
        <f t="shared" si="64"/>
        <v>403.05975148729186</v>
      </c>
      <c r="CC90" s="59">
        <f t="shared" si="65"/>
        <v>676.39455405776675</v>
      </c>
      <c r="CD90" s="59">
        <f ca="1">AVERAGE(OFFSET($CC$3,0,0,'Données projet'!$E$12+1,1))-AVERAGE(OFFSET($H$3,0,0,'Données projet'!$E$12+1,1))</f>
        <v>260.51631161522039</v>
      </c>
      <c r="CE90" s="59">
        <f t="shared" si="94"/>
        <v>171.3469666102674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16.133211118725363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16.133211118725363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167.82976403567059</v>
      </c>
      <c r="T91" s="59">
        <f t="shared" si="88"/>
        <v>232.70925470547317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36.130358984179182</v>
      </c>
      <c r="AA91" s="21">
        <f>EXP(-LN(2)/25)*AA90+(1-EXP(-LN(2)/25))/(LN(2)/25)*Calculateur!V91*Calculateur!X91*VLOOKUP('Données projet'!$B$9,Paramètres!$A$1:$I$89,3,0)*0.475*44/12</f>
        <v>19.058901970874359</v>
      </c>
      <c r="AB91" s="21">
        <f>EXP(-LN(2)/2)*AB90+(1-EXP(-LN(2)/2))/(LN(2)/2)*V91*Y91*VLOOKUP('Données projet'!$B$9,Paramètres!$A$1:$I$89,3,0)*0.475*44/12</f>
        <v>2.1481978620620751E-3</v>
      </c>
      <c r="AC91" s="22">
        <f t="shared" si="57"/>
        <v>55.191409152915604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344.80000000000013</v>
      </c>
      <c r="AJ91" s="13">
        <f>AI91*VLOOKUP('Données projet'!$B$10,Paramètres!$A$1:$I$89,3,0)*VLOOKUP('Données projet'!$B$10,Paramètres!$A$1:$I$89,5,0)</f>
        <v>349.62720000000013</v>
      </c>
      <c r="AK91" s="13">
        <f t="shared" si="89"/>
        <v>81.485743085784506</v>
      </c>
      <c r="AL91" s="20">
        <f t="shared" si="58"/>
        <v>750.85504254107491</v>
      </c>
      <c r="AM91" s="59">
        <f t="shared" si="59"/>
        <v>1024.5367749102686</v>
      </c>
      <c r="AN91" s="59">
        <f ca="1">AVERAGE(OFFSET($AM$3,0,0,'Données projet'!$E$10+1,1))-AVERAGE(OFFSET($H$3,0,0,'Données projet'!$E$10+1,1))</f>
        <v>542.51810435067659</v>
      </c>
      <c r="AO91" s="59">
        <f t="shared" si="90"/>
        <v>325.7263575945085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29.585245504231189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29.585245504231189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344.80000000000013</v>
      </c>
      <c r="BE91" s="13">
        <f>BD91*VLOOKUP('Données projet'!$B$11,Paramètres!$A$1:$I$89,3,0)*VLOOKUP('Données projet'!$B$11,Paramètres!$A$1:$I$89,5,0)</f>
        <v>311.97504000000009</v>
      </c>
      <c r="BF91" s="13">
        <f t="shared" si="91"/>
        <v>73.681144552074599</v>
      </c>
      <c r="BG91" s="20">
        <f t="shared" si="61"/>
        <v>671.68452142819672</v>
      </c>
      <c r="BH91" s="59">
        <f t="shared" si="62"/>
        <v>945.36625379739041</v>
      </c>
      <c r="BI91" s="59">
        <f ca="1">AVERAGE(OFFSET($BH$3,0,0,'Données projet'!$E$11+1,1))-AVERAGE(OFFSET($H$3,0,0,'Données projet'!$E$11+1,1))</f>
        <v>492.39485179035256</v>
      </c>
      <c r="BJ91" s="59">
        <f t="shared" si="92"/>
        <v>297.32483725004124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26.399142142237054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26.399142142237054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4.2</v>
      </c>
      <c r="BY91" s="12">
        <f>IF('Données projet'!$A$114&gt;35,BY90+BX91-CG90,IF(A91&lt;'Données projet'!$A$114,$BV$205^A91,IF(A91='Données projet'!$A$114,'Données projet'!$B$114,BY90+BX91-CG90)))</f>
        <v>198.59999999999997</v>
      </c>
      <c r="BZ91" s="13">
        <f>BY91*VLOOKUP('Données projet'!$B$12,Paramètres!$A$1:$I$89,3,0)*VLOOKUP('Données projet'!$B$12,Paramètres!$A$1:$I$89,5,0)</f>
        <v>188.98775999999995</v>
      </c>
      <c r="CA91" s="13">
        <f t="shared" si="93"/>
        <v>47.316091431214247</v>
      </c>
      <c r="CB91" s="20">
        <f t="shared" si="64"/>
        <v>411.56254124269799</v>
      </c>
      <c r="CC91" s="59">
        <f t="shared" si="65"/>
        <v>685.24427361189169</v>
      </c>
      <c r="CD91" s="59">
        <f ca="1">AVERAGE(OFFSET($CC$3,0,0,'Données projet'!$E$12+1,1))-AVERAGE(OFFSET($H$3,0,0,'Données projet'!$E$12+1,1))</f>
        <v>260.51631161522039</v>
      </c>
      <c r="CE91" s="59">
        <f t="shared" si="94"/>
        <v>171.3469666102674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15.816848688974293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15.816848688974293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167.82976403567059</v>
      </c>
      <c r="T92" s="59">
        <f t="shared" si="88"/>
        <v>232.70925470547317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35.421864681842401</v>
      </c>
      <c r="AA92" s="21">
        <f>EXP(-LN(2)/25)*AA91+(1-EXP(-LN(2)/25))/(LN(2)/25)*Calculateur!V92*Calculateur!X92*VLOOKUP('Données projet'!$B$9,Paramètres!$A$1:$I$89,3,0)*0.475*44/12</f>
        <v>18.537735294216706</v>
      </c>
      <c r="AB92" s="21">
        <f>EXP(-LN(2)/2)*AB91+(1-EXP(-LN(2)/2))/(LN(2)/2)*V92*Y92*VLOOKUP('Données projet'!$B$9,Paramètres!$A$1:$I$89,3,0)*0.475*44/12</f>
        <v>1.5190052755945369E-3</v>
      </c>
      <c r="AC92" s="22">
        <f t="shared" si="57"/>
        <v>53.961118981334707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351.40000000000015</v>
      </c>
      <c r="AJ92" s="13">
        <f>AI92*VLOOKUP('Données projet'!$B$10,Paramètres!$A$1:$I$89,3,0)*VLOOKUP('Données projet'!$B$10,Paramètres!$A$1:$I$89,5,0)</f>
        <v>356.31960000000021</v>
      </c>
      <c r="AK92" s="13">
        <f t="shared" si="89"/>
        <v>82.862424158901803</v>
      </c>
      <c r="AL92" s="20">
        <f t="shared" si="58"/>
        <v>764.90869207675416</v>
      </c>
      <c r="AM92" s="59">
        <f t="shared" si="59"/>
        <v>1038.9313357882777</v>
      </c>
      <c r="AN92" s="59">
        <f ca="1">AVERAGE(OFFSET($AM$3,0,0,'Données projet'!$E$10+1,1))-AVERAGE(OFFSET($H$3,0,0,'Données projet'!$E$10+1,1))</f>
        <v>542.51810435067659</v>
      </c>
      <c r="AO92" s="59">
        <f t="shared" si="90"/>
        <v>325.7263575945085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29.005096885111154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29.005096885111154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351.40000000000015</v>
      </c>
      <c r="BE92" s="13">
        <f>BD92*VLOOKUP('Données projet'!$B$11,Paramètres!$A$1:$I$89,3,0)*VLOOKUP('Données projet'!$B$11,Paramètres!$A$1:$I$89,5,0)</f>
        <v>317.94672000000014</v>
      </c>
      <c r="BF92" s="13">
        <f t="shared" si="91"/>
        <v>74.925968901822259</v>
      </c>
      <c r="BG92" s="20">
        <f t="shared" si="61"/>
        <v>684.25326650400723</v>
      </c>
      <c r="BH92" s="59">
        <f t="shared" si="62"/>
        <v>958.27591021553076</v>
      </c>
      <c r="BI92" s="59">
        <f ca="1">AVERAGE(OFFSET($BH$3,0,0,'Données projet'!$E$11+1,1))-AVERAGE(OFFSET($H$3,0,0,'Données projet'!$E$11+1,1))</f>
        <v>492.39485179035256</v>
      </c>
      <c r="BJ92" s="59">
        <f t="shared" si="92"/>
        <v>297.32483725004124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25.881471066714564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25.881471066714564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4.2</v>
      </c>
      <c r="BY92" s="12">
        <f>IF('Données projet'!$A$114&gt;35,BY91+BX92-CG91,IF(A92&lt;'Données projet'!$A$114,$BV$205^A92,IF(A92='Données projet'!$A$114,'Données projet'!$B$114,BY91+BX92-CG91)))</f>
        <v>202.79999999999995</v>
      </c>
      <c r="BZ92" s="13">
        <f>BY92*VLOOKUP('Données projet'!$B$12,Paramètres!$A$1:$I$89,3,0)*VLOOKUP('Données projet'!$B$12,Paramètres!$A$1:$I$89,5,0)</f>
        <v>192.98447999999996</v>
      </c>
      <c r="CA92" s="13">
        <f t="shared" si="93"/>
        <v>48.199179293232802</v>
      </c>
      <c r="CB92" s="20">
        <f t="shared" si="64"/>
        <v>420.06153993571371</v>
      </c>
      <c r="CC92" s="59">
        <f t="shared" si="65"/>
        <v>694.0841836472373</v>
      </c>
      <c r="CD92" s="59">
        <f ca="1">AVERAGE(OFFSET($CC$3,0,0,'Données projet'!$E$12+1,1))-AVERAGE(OFFSET($H$3,0,0,'Données projet'!$E$12+1,1))</f>
        <v>260.51631161522039</v>
      </c>
      <c r="CE92" s="59">
        <f t="shared" si="94"/>
        <v>171.3469666102674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15.506689933508612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15.506689933508612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167.82976403567059</v>
      </c>
      <c r="T93" s="59">
        <f t="shared" si="88"/>
        <v>232.70925470547317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34.727263520635589</v>
      </c>
      <c r="AA93" s="21">
        <f>EXP(-LN(2)/25)*AA92+(1-EXP(-LN(2)/25))/(LN(2)/25)*Calculateur!V93*Calculateur!X93*VLOOKUP('Données projet'!$B$9,Paramètres!$A$1:$I$89,3,0)*0.475*44/12</f>
        <v>18.030819947739218</v>
      </c>
      <c r="AB93" s="21">
        <f>EXP(-LN(2)/2)*AB92+(1-EXP(-LN(2)/2))/(LN(2)/2)*V93*Y93*VLOOKUP('Données projet'!$B$9,Paramètres!$A$1:$I$89,3,0)*0.475*44/12</f>
        <v>1.0740989310310375E-3</v>
      </c>
      <c r="AC93" s="22">
        <f t="shared" si="57"/>
        <v>52.759157567305834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358.00000000000017</v>
      </c>
      <c r="AJ93" s="13">
        <f>AI93*VLOOKUP('Données projet'!$B$10,Paramètres!$A$1:$I$89,3,0)*VLOOKUP('Données projet'!$B$10,Paramètres!$A$1:$I$89,5,0)</f>
        <v>363.01200000000023</v>
      </c>
      <c r="AK93" s="13">
        <f t="shared" si="89"/>
        <v>84.23609859605908</v>
      </c>
      <c r="AL93" s="20">
        <f t="shared" si="58"/>
        <v>778.95710505480326</v>
      </c>
      <c r="AM93" s="59">
        <f t="shared" si="59"/>
        <v>1053.314746059031</v>
      </c>
      <c r="AN93" s="59">
        <f ca="1">AVERAGE(OFFSET($AM$3,0,0,'Données projet'!$E$10+1,1))-AVERAGE(OFFSET($H$3,0,0,'Données projet'!$E$10+1,1))</f>
        <v>542.51810435067659</v>
      </c>
      <c r="AO93" s="59">
        <f t="shared" si="90"/>
        <v>325.7263575945085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47.331006666007454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47.331006666007454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358.00000000000017</v>
      </c>
      <c r="BE93" s="13">
        <f>BD93*VLOOKUP('Données projet'!$B$11,Paramètres!$A$1:$I$89,3,0)*VLOOKUP('Données projet'!$B$11,Paramètres!$A$1:$I$89,5,0)</f>
        <v>323.91840000000013</v>
      </c>
      <c r="BF93" s="13">
        <f t="shared" si="91"/>
        <v>76.168074587293162</v>
      </c>
      <c r="BG93" s="20">
        <f t="shared" si="61"/>
        <v>696.8172765728691</v>
      </c>
      <c r="BH93" s="59">
        <f t="shared" si="62"/>
        <v>971.17491757709672</v>
      </c>
      <c r="BI93" s="59">
        <f ca="1">AVERAGE(OFFSET($BH$3,0,0,'Données projet'!$E$11+1,1))-AVERAGE(OFFSET($H$3,0,0,'Données projet'!$E$11+1,1))</f>
        <v>492.39485179035256</v>
      </c>
      <c r="BJ93" s="59">
        <f t="shared" si="92"/>
        <v>297.32483725004124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42.233821332745109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42.233821332745109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207</v>
      </c>
      <c r="BW93" s="12">
        <f>VLOOKUP(A93,'Données projet'!$A$113:$I$133,9,0)</f>
        <v>4.2</v>
      </c>
      <c r="BX93" s="12">
        <f t="array" ref="BX93">INDEX(BW:BW,MIN(IF(ISNUMBER(BW93:BW289),ROW(BW93:BW289),"")))</f>
        <v>4.2</v>
      </c>
      <c r="BY93" s="12">
        <f>IF('Données projet'!$A$114&gt;35,BY92+BX93-CG92,IF(A93&lt;'Données projet'!$A$114,$BV$205^A93,IF(A93='Données projet'!$A$114,'Données projet'!$B$114,BY92+BX93-CG92)))</f>
        <v>206.99999999999994</v>
      </c>
      <c r="BZ93" s="13">
        <f>BY93*VLOOKUP('Données projet'!$B$12,Paramètres!$A$1:$I$89,3,0)*VLOOKUP('Données projet'!$B$12,Paramètres!$A$1:$I$89,5,0)</f>
        <v>196.98119999999994</v>
      </c>
      <c r="CA93" s="13">
        <f t="shared" si="93"/>
        <v>49.080140741894134</v>
      </c>
      <c r="CB93" s="20">
        <f t="shared" si="64"/>
        <v>428.55683512546551</v>
      </c>
      <c r="CC93" s="59">
        <f t="shared" si="65"/>
        <v>702.91447612969318</v>
      </c>
      <c r="CD93" s="59">
        <f ca="1">AVERAGE(OFFSET($CC$3,0,0,'Données projet'!$E$12+1,1))-AVERAGE(OFFSET($H$3,0,0,'Données projet'!$E$12+1,1))</f>
        <v>260.51631161522039</v>
      </c>
      <c r="CE93" s="59">
        <f t="shared" si="94"/>
        <v>171.3469666102674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207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71.383888738672283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71.383888738672283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167.82976403567059</v>
      </c>
      <c r="T94" s="59">
        <f t="shared" si="88"/>
        <v>232.70925470547317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34.046283064535167</v>
      </c>
      <c r="AA94" s="21">
        <f>EXP(-LN(2)/25)*AA93+(1-EXP(-LN(2)/25))/(LN(2)/25)*Calculateur!V94*Calculateur!X94*VLOOKUP('Données projet'!$B$9,Paramètres!$A$1:$I$89,3,0)*0.475*44/12</f>
        <v>17.537766228068676</v>
      </c>
      <c r="AB94" s="21">
        <f>EXP(-LN(2)/2)*AB93+(1-EXP(-LN(2)/2))/(LN(2)/2)*V94*Y94*VLOOKUP('Données projet'!$B$9,Paramètres!$A$1:$I$89,3,0)*0.475*44/12</f>
        <v>7.5950263779726846E-4</v>
      </c>
      <c r="AC94" s="22">
        <f t="shared" si="57"/>
        <v>51.584808795241642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</v>
      </c>
      <c r="AI94" s="13">
        <f>IF('Données projet'!$A$62&gt;35,AI93+AH94-AQ93,IF(A94&lt;'Données projet'!$A$62,$AF$205^A94,IF(A94='Données projet'!$A$62,'Données projet'!$B$62,AI93+AH94-AQ93)))</f>
        <v>308.00000000000017</v>
      </c>
      <c r="AJ94" s="13">
        <f>AI94*VLOOKUP('Données projet'!$B$10,Paramètres!$A$1:$I$89,3,0)*VLOOKUP('Données projet'!$B$10,Paramètres!$A$1:$I$89,5,0)</f>
        <v>312.31200000000024</v>
      </c>
      <c r="AK94" s="13">
        <f t="shared" si="89"/>
        <v>73.751458791112086</v>
      </c>
      <c r="AL94" s="20">
        <f t="shared" si="58"/>
        <v>672.39385739452064</v>
      </c>
      <c r="AM94" s="59">
        <f t="shared" si="59"/>
        <v>947.08068423736563</v>
      </c>
      <c r="AN94" s="59">
        <f ca="1">AVERAGE(OFFSET($AM$3,0,0,'Données projet'!$E$10+1,1))-AVERAGE(OFFSET($H$3,0,0,'Données projet'!$E$10+1,1))</f>
        <v>542.51810435067659</v>
      </c>
      <c r="AO94" s="59">
        <f t="shared" si="90"/>
        <v>325.7263575945085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46.402874494350527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46.402874494350527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</v>
      </c>
      <c r="BD94" s="12">
        <f>IF('Données projet'!$A$88&gt;35,BD93+BC94-BL93,IF(A94&lt;'Données projet'!$A$88,$BA$205^A94,IF(A94='Données projet'!$A$88,'Données projet'!$B$88,BD93+BC94-BL93)))</f>
        <v>308.00000000000017</v>
      </c>
      <c r="BE94" s="13">
        <f>BD94*VLOOKUP('Données projet'!$B$11,Paramètres!$A$1:$I$89,3,0)*VLOOKUP('Données projet'!$B$11,Paramètres!$A$1:$I$89,5,0)</f>
        <v>278.67840000000018</v>
      </c>
      <c r="BF94" s="13">
        <f t="shared" si="91"/>
        <v>66.687639951856809</v>
      </c>
      <c r="BG94" s="20">
        <f t="shared" si="61"/>
        <v>601.51251958281762</v>
      </c>
      <c r="BH94" s="59">
        <f t="shared" si="62"/>
        <v>876.19934642566272</v>
      </c>
      <c r="BI94" s="59">
        <f ca="1">AVERAGE(OFFSET($BH$3,0,0,'Données projet'!$E$11+1,1))-AVERAGE(OFFSET($H$3,0,0,'Données projet'!$E$11+1,1))</f>
        <v>492.39485179035256</v>
      </c>
      <c r="BJ94" s="59">
        <f t="shared" si="92"/>
        <v>297.32483725004124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41.40564185649739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41.40564185649739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-5.6843418860808015E-14</v>
      </c>
      <c r="BZ94" s="13">
        <f>BY94*VLOOKUP('Données projet'!$B$12,Paramètres!$A$1:$I$89,3,0)*VLOOKUP('Données projet'!$B$12,Paramètres!$A$1:$I$89,5,0)</f>
        <v>-5.4092197387944907E-14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260.51631161522039</v>
      </c>
      <c r="CE94" s="59">
        <f t="shared" si="94"/>
        <v>171.3469666102674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69.984094220379845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69.984094220379845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167.82976403567059</v>
      </c>
      <c r="T95" s="59">
        <f t="shared" si="88"/>
        <v>232.70925470547317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33.378656219821814</v>
      </c>
      <c r="AA95" s="21">
        <f>EXP(-LN(2)/25)*AA94+(1-EXP(-LN(2)/25))/(LN(2)/25)*Calculateur!V95*Calculateur!X95*VLOOKUP('Données projet'!$B$9,Paramètres!$A$1:$I$89,3,0)*0.475*44/12</f>
        <v>17.058195088291097</v>
      </c>
      <c r="AB95" s="21">
        <f>EXP(-LN(2)/2)*AB94+(1-EXP(-LN(2)/2))/(LN(2)/2)*V95*Y95*VLOOKUP('Données projet'!$B$9,Paramètres!$A$1:$I$89,3,0)*0.475*44/12</f>
        <v>5.3704946551551877E-4</v>
      </c>
      <c r="AC95" s="22">
        <f t="shared" si="57"/>
        <v>50.437388357578421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</v>
      </c>
      <c r="AI95" s="13">
        <f>IF('Données projet'!$A$62&gt;35,AI94+AH95-AQ94,IF(A95&lt;'Données projet'!$A$62,$AF$205^A95,IF(A95='Données projet'!$A$62,'Données projet'!$B$62,AI94+AH95-AQ94)))</f>
        <v>314.00000000000017</v>
      </c>
      <c r="AJ95" s="13">
        <f>AI95*VLOOKUP('Données projet'!$B$10,Paramètres!$A$1:$I$89,3,0)*VLOOKUP('Données projet'!$B$10,Paramètres!$A$1:$I$89,5,0)</f>
        <v>318.39600000000019</v>
      </c>
      <c r="AK95" s="13">
        <f t="shared" si="89"/>
        <v>75.019512724335002</v>
      </c>
      <c r="AL95" s="20">
        <f t="shared" si="58"/>
        <v>685.19868466155049</v>
      </c>
      <c r="AM95" s="59">
        <f t="shared" si="59"/>
        <v>960.20898670466227</v>
      </c>
      <c r="AN95" s="59">
        <f ca="1">AVERAGE(OFFSET($AM$3,0,0,'Données projet'!$E$10+1,1))-AVERAGE(OFFSET($H$3,0,0,'Données projet'!$E$10+1,1))</f>
        <v>542.51810435067659</v>
      </c>
      <c r="AO95" s="59">
        <f t="shared" si="90"/>
        <v>325.7263575945085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45.492942428475068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45.492942428475068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</v>
      </c>
      <c r="BD95" s="12">
        <f>IF('Données projet'!$A$88&gt;35,BD94+BC95-BL94,IF(A95&lt;'Données projet'!$A$88,$BA$205^A95,IF(A95='Données projet'!$A$88,'Données projet'!$B$88,BD94+BC95-BL94)))</f>
        <v>314.00000000000017</v>
      </c>
      <c r="BE95" s="13">
        <f>BD95*VLOOKUP('Données projet'!$B$11,Paramètres!$A$1:$I$89,3,0)*VLOOKUP('Données projet'!$B$11,Paramètres!$A$1:$I$89,5,0)</f>
        <v>284.10720000000015</v>
      </c>
      <c r="BF95" s="13">
        <f t="shared" si="91"/>
        <v>67.834241327943772</v>
      </c>
      <c r="BG95" s="20">
        <f t="shared" si="61"/>
        <v>612.96467697950231</v>
      </c>
      <c r="BH95" s="59">
        <f t="shared" si="62"/>
        <v>887.97497902261398</v>
      </c>
      <c r="BI95" s="59">
        <f ca="1">AVERAGE(OFFSET($BH$3,0,0,'Données projet'!$E$11+1,1))-AVERAGE(OFFSET($H$3,0,0,'Données projet'!$E$11+1,1))</f>
        <v>492.39485179035256</v>
      </c>
      <c r="BJ95" s="59">
        <f t="shared" si="92"/>
        <v>297.32483725004124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40.593702474639286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40.593702474639286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-5.6843418860808015E-14</v>
      </c>
      <c r="BZ95" s="13">
        <f>BY95*VLOOKUP('Données projet'!$B$12,Paramètres!$A$1:$I$89,3,0)*VLOOKUP('Données projet'!$B$12,Paramètres!$A$1:$I$89,5,0)</f>
        <v>-5.4092197387944907E-14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260.51631161522039</v>
      </c>
      <c r="CE95" s="59">
        <f t="shared" si="94"/>
        <v>171.3469666102674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68.611748818800777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68.611748818800777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167.82976403567059</v>
      </c>
      <c r="T96" s="59">
        <f t="shared" si="88"/>
        <v>232.70925470547317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32.724121130321123</v>
      </c>
      <c r="AA96" s="21">
        <f>EXP(-LN(2)/25)*AA95+(1-EXP(-LN(2)/25))/(LN(2)/25)*Calculateur!V96*Calculateur!X96*VLOOKUP('Données projet'!$B$9,Paramètres!$A$1:$I$89,3,0)*0.475*44/12</f>
        <v>16.591737846550284</v>
      </c>
      <c r="AB96" s="21">
        <f>EXP(-LN(2)/2)*AB95+(1-EXP(-LN(2)/2))/(LN(2)/2)*V96*Y96*VLOOKUP('Données projet'!$B$9,Paramètres!$A$1:$I$89,3,0)*0.475*44/12</f>
        <v>3.7975131889863423E-4</v>
      </c>
      <c r="AC96" s="22">
        <f t="shared" si="57"/>
        <v>49.316238728190307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</v>
      </c>
      <c r="AI96" s="13">
        <f>IF('Données projet'!$A$62&gt;35,AI95+AH96-AQ95,IF(A96&lt;'Données projet'!$A$62,$AF$205^A96,IF(A96='Données projet'!$A$62,'Données projet'!$B$62,AI95+AH96-AQ95)))</f>
        <v>320.00000000000017</v>
      </c>
      <c r="AJ96" s="13">
        <f>AI96*VLOOKUP('Données projet'!$B$10,Paramètres!$A$1:$I$89,3,0)*VLOOKUP('Données projet'!$B$10,Paramètres!$A$1:$I$89,5,0)</f>
        <v>324.48000000000019</v>
      </c>
      <c r="AK96" s="13">
        <f t="shared" si="89"/>
        <v>76.284749200165578</v>
      </c>
      <c r="AL96" s="20">
        <f t="shared" si="58"/>
        <v>697.99860485695535</v>
      </c>
      <c r="AM96" s="59">
        <f t="shared" si="59"/>
        <v>973.32677052879126</v>
      </c>
      <c r="AN96" s="59">
        <f ca="1">AVERAGE(OFFSET($AM$3,0,0,'Données projet'!$E$10+1,1))-AVERAGE(OFFSET($H$3,0,0,'Données projet'!$E$10+1,1))</f>
        <v>542.51810435067659</v>
      </c>
      <c r="AO96" s="59">
        <f t="shared" si="90"/>
        <v>325.7263575945085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44.600853575407669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44.600853575407669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</v>
      </c>
      <c r="BD96" s="12">
        <f>IF('Données projet'!$A$88&gt;35,BD95+BC96-BL95,IF(A96&lt;'Données projet'!$A$88,$BA$205^A96,IF(A96='Données projet'!$A$88,'Données projet'!$B$88,BD95+BC96-BL95)))</f>
        <v>320.00000000000017</v>
      </c>
      <c r="BE96" s="13">
        <f>BD96*VLOOKUP('Données projet'!$B$11,Paramètres!$A$1:$I$89,3,0)*VLOOKUP('Données projet'!$B$11,Paramètres!$A$1:$I$89,5,0)</f>
        <v>289.53600000000012</v>
      </c>
      <c r="BF96" s="13">
        <f t="shared" si="91"/>
        <v>68.978295099044416</v>
      </c>
      <c r="BG96" s="20">
        <f t="shared" si="61"/>
        <v>624.41239729750248</v>
      </c>
      <c r="BH96" s="59">
        <f t="shared" si="62"/>
        <v>899.7405629693385</v>
      </c>
      <c r="BI96" s="59">
        <f ca="1">AVERAGE(OFFSET($BH$3,0,0,'Données projet'!$E$11+1,1))-AVERAGE(OFFSET($H$3,0,0,'Données projet'!$E$11+1,1))</f>
        <v>492.39485179035256</v>
      </c>
      <c r="BJ96" s="59">
        <f t="shared" si="92"/>
        <v>297.32483725004124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39.797684728825303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39.797684728825303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-5.6843418860808015E-14</v>
      </c>
      <c r="BZ96" s="13">
        <f>BY96*VLOOKUP('Données projet'!$B$12,Paramètres!$A$1:$I$89,3,0)*VLOOKUP('Données projet'!$B$12,Paramètres!$A$1:$I$89,5,0)</f>
        <v>-5.4092197387944907E-14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260.51631161522039</v>
      </c>
      <c r="CE96" s="59">
        <f t="shared" si="94"/>
        <v>171.3469666102674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67.266314273498622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67.266314273498622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167.82976403567059</v>
      </c>
      <c r="T97" s="59">
        <f t="shared" si="88"/>
        <v>232.70925470547317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32.082421074698551</v>
      </c>
      <c r="AA97" s="21">
        <f>EXP(-LN(2)/25)*AA96+(1-EXP(-LN(2)/25))/(LN(2)/25)*Calculateur!V97*Calculateur!X97*VLOOKUP('Données projet'!$B$9,Paramètres!$A$1:$I$89,3,0)*0.475*44/12</f>
        <v>16.138035902614796</v>
      </c>
      <c r="AB97" s="21">
        <f>EXP(-LN(2)/2)*AB96+(1-EXP(-LN(2)/2))/(LN(2)/2)*V97*Y97*VLOOKUP('Données projet'!$B$9,Paramètres!$A$1:$I$89,3,0)*0.475*44/12</f>
        <v>2.6852473275775938E-4</v>
      </c>
      <c r="AC97" s="22">
        <f t="shared" si="57"/>
        <v>48.220725502046108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</v>
      </c>
      <c r="AI97" s="13">
        <f>IF('Données projet'!$A$62&gt;35,AI96+AH97-AQ96,IF(A97&lt;'Données projet'!$A$62,$AF$205^A97,IF(A97='Données projet'!$A$62,'Données projet'!$B$62,AI96+AH97-AQ96)))</f>
        <v>326.00000000000017</v>
      </c>
      <c r="AJ97" s="13">
        <f>AI97*VLOOKUP('Données projet'!$B$10,Paramètres!$A$1:$I$89,3,0)*VLOOKUP('Données projet'!$B$10,Paramètres!$A$1:$I$89,5,0)</f>
        <v>330.56400000000019</v>
      </c>
      <c r="AK97" s="13">
        <f t="shared" si="89"/>
        <v>77.547227137682924</v>
      </c>
      <c r="AL97" s="20">
        <f t="shared" si="58"/>
        <v>710.79372059813147</v>
      </c>
      <c r="AM97" s="59">
        <f t="shared" si="59"/>
        <v>986.43423567537002</v>
      </c>
      <c r="AN97" s="59">
        <f ca="1">AVERAGE(OFFSET($AM$3,0,0,'Données projet'!$E$10+1,1))-AVERAGE(OFFSET($H$3,0,0,'Données projet'!$E$10+1,1))</f>
        <v>542.51810435067659</v>
      </c>
      <c r="AO97" s="59">
        <f t="shared" si="90"/>
        <v>325.7263575945085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43.726258040628451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43.726258040628451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</v>
      </c>
      <c r="BD97" s="12">
        <f>IF('Données projet'!$A$88&gt;35,BD96+BC97-BL96,IF(A97&lt;'Données projet'!$A$88,$BA$205^A97,IF(A97='Données projet'!$A$88,'Données projet'!$B$88,BD96+BC97-BL96)))</f>
        <v>326.00000000000017</v>
      </c>
      <c r="BE97" s="13">
        <f>BD97*VLOOKUP('Données projet'!$B$11,Paramètres!$A$1:$I$89,3,0)*VLOOKUP('Données projet'!$B$11,Paramètres!$A$1:$I$89,5,0)</f>
        <v>294.96480000000014</v>
      </c>
      <c r="BF97" s="13">
        <f t="shared" si="91"/>
        <v>70.119854541045058</v>
      </c>
      <c r="BG97" s="20">
        <f t="shared" si="61"/>
        <v>635.85577332565367</v>
      </c>
      <c r="BH97" s="59">
        <f t="shared" si="62"/>
        <v>911.49628840289211</v>
      </c>
      <c r="BI97" s="59">
        <f ca="1">AVERAGE(OFFSET($BH$3,0,0,'Données projet'!$E$11+1,1))-AVERAGE(OFFSET($H$3,0,0,'Données projet'!$E$11+1,1))</f>
        <v>492.39485179035256</v>
      </c>
      <c r="BJ97" s="59">
        <f t="shared" si="92"/>
        <v>297.32483725004124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39.017276405483848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39.017276405483848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-5.6843418860808015E-14</v>
      </c>
      <c r="BZ97" s="13">
        <f>BY97*VLOOKUP('Données projet'!$B$12,Paramètres!$A$1:$I$89,3,0)*VLOOKUP('Données projet'!$B$12,Paramètres!$A$1:$I$89,5,0)</f>
        <v>-5.4092197387944907E-14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260.51631161522039</v>
      </c>
      <c r="CE97" s="59">
        <f t="shared" si="94"/>
        <v>171.3469666102674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65.947262878995801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65.947262878995801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167.82976403567059</v>
      </c>
      <c r="T98" s="59">
        <f t="shared" si="88"/>
        <v>232.70925470547317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31.453304365768354</v>
      </c>
      <c r="AA98" s="21">
        <f>EXP(-LN(2)/25)*AA97+(1-EXP(-LN(2)/25))/(LN(2)/25)*Calculateur!V98*Calculateur!X98*VLOOKUP('Données projet'!$B$9,Paramètres!$A$1:$I$89,3,0)*0.475*44/12</f>
        <v>15.69674046219537</v>
      </c>
      <c r="AB98" s="21">
        <f>EXP(-LN(2)/2)*AB97+(1-EXP(-LN(2)/2))/(LN(2)/2)*V98*Y98*VLOOKUP('Données projet'!$B$9,Paramètres!$A$1:$I$89,3,0)*0.475*44/12</f>
        <v>1.8987565944931711E-4</v>
      </c>
      <c r="AC98" s="22">
        <f t="shared" si="57"/>
        <v>47.150234703623177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</v>
      </c>
      <c r="AI98" s="13">
        <f>IF('Données projet'!$A$62&gt;35,AI97+AH98-AQ97,IF(A98&lt;'Données projet'!$A$62,$AF$205^A98,IF(A98='Données projet'!$A$62,'Données projet'!$B$62,AI97+AH98-AQ97)))</f>
        <v>332.00000000000017</v>
      </c>
      <c r="AJ98" s="13">
        <f>AI98*VLOOKUP('Données projet'!$B$10,Paramètres!$A$1:$I$89,3,0)*VLOOKUP('Données projet'!$B$10,Paramètres!$A$1:$I$89,5,0)</f>
        <v>336.6480000000002</v>
      </c>
      <c r="AK98" s="13">
        <f t="shared" si="89"/>
        <v>78.807003163010378</v>
      </c>
      <c r="AL98" s="20">
        <f t="shared" si="58"/>
        <v>723.58413050891011</v>
      </c>
      <c r="AM98" s="59">
        <f t="shared" si="59"/>
        <v>999.5315764276761</v>
      </c>
      <c r="AN98" s="59">
        <f ca="1">AVERAGE(OFFSET($AM$3,0,0,'Données projet'!$E$10+1,1))-AVERAGE(OFFSET($H$3,0,0,'Données projet'!$E$10+1,1))</f>
        <v>542.51810435067659</v>
      </c>
      <c r="AO98" s="59">
        <f t="shared" si="90"/>
        <v>325.7263575945085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42.868812790835648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42.868812790835648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</v>
      </c>
      <c r="BD98" s="12">
        <f>IF('Données projet'!$A$88&gt;35,BD97+BC98-BL97,IF(A98&lt;'Données projet'!$A$88,$BA$205^A98,IF(A98='Données projet'!$A$88,'Données projet'!$B$88,BD97+BC98-BL97)))</f>
        <v>332.00000000000017</v>
      </c>
      <c r="BE98" s="13">
        <f>BD98*VLOOKUP('Données projet'!$B$11,Paramètres!$A$1:$I$89,3,0)*VLOOKUP('Données projet'!$B$11,Paramètres!$A$1:$I$89,5,0)</f>
        <v>300.39360000000016</v>
      </c>
      <c r="BF98" s="13">
        <f t="shared" si="91"/>
        <v>71.258970856492738</v>
      </c>
      <c r="BG98" s="20">
        <f t="shared" si="61"/>
        <v>647.29489424172516</v>
      </c>
      <c r="BH98" s="59">
        <f t="shared" si="62"/>
        <v>923.24234016049104</v>
      </c>
      <c r="BI98" s="59">
        <f ca="1">AVERAGE(OFFSET($BH$3,0,0,'Données projet'!$E$11+1,1))-AVERAGE(OFFSET($H$3,0,0,'Données projet'!$E$11+1,1))</f>
        <v>492.39485179035256</v>
      </c>
      <c r="BJ98" s="59">
        <f t="shared" si="92"/>
        <v>297.32483725004124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38.25217141336104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38.25217141336104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-5.6843418860808015E-14</v>
      </c>
      <c r="BZ98" s="13">
        <f>BY98*VLOOKUP('Données projet'!$B$12,Paramètres!$A$1:$I$89,3,0)*VLOOKUP('Données projet'!$B$12,Paramètres!$A$1:$I$89,5,0)</f>
        <v>-5.4092197387944907E-14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260.51631161522039</v>
      </c>
      <c r="CE98" s="59">
        <f t="shared" si="94"/>
        <v>171.3469666102674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64.654077277797271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64.654077277797271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167.82976403567059</v>
      </c>
      <c r="T99" s="59">
        <f t="shared" si="88"/>
        <v>232.70925470547317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30.836524251776975</v>
      </c>
      <c r="AA99" s="21">
        <f>EXP(-LN(2)/25)*AA98+(1-EXP(-LN(2)/25))/(LN(2)/25)*Calculateur!V99*Calculateur!X99*VLOOKUP('Données projet'!$B$9,Paramètres!$A$1:$I$89,3,0)*0.475*44/12</f>
        <v>15.267512268800932</v>
      </c>
      <c r="AB99" s="21">
        <f>EXP(-LN(2)/2)*AB98+(1-EXP(-LN(2)/2))/(LN(2)/2)*V99*Y99*VLOOKUP('Données projet'!$B$9,Paramètres!$A$1:$I$89,3,0)*0.475*44/12</f>
        <v>1.3426236637887969E-4</v>
      </c>
      <c r="AC99" s="22">
        <f t="shared" si="57"/>
        <v>46.104170782944287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</v>
      </c>
      <c r="AI99" s="13">
        <f>IF('Données projet'!$A$62&gt;35,AI98+AH99-AQ98,IF(A99&lt;'Données projet'!$A$62,$AF$205^A99,IF(A99='Données projet'!$A$62,'Données projet'!$B$62,AI98+AH99-AQ98)))</f>
        <v>338.00000000000017</v>
      </c>
      <c r="AJ99" s="13">
        <f>AI99*VLOOKUP('Données projet'!$B$10,Paramètres!$A$1:$I$89,3,0)*VLOOKUP('Données projet'!$B$10,Paramètres!$A$1:$I$89,5,0)</f>
        <v>342.7320000000002</v>
      </c>
      <c r="AK99" s="13">
        <f t="shared" si="89"/>
        <v>80.064131738348422</v>
      </c>
      <c r="AL99" s="20">
        <f t="shared" si="58"/>
        <v>736.36992944429039</v>
      </c>
      <c r="AM99" s="59">
        <f t="shared" si="59"/>
        <v>1012.6189816406778</v>
      </c>
      <c r="AN99" s="59">
        <f ca="1">AVERAGE(OFFSET($AM$3,0,0,'Données projet'!$E$10+1,1))-AVERAGE(OFFSET($H$3,0,0,'Données projet'!$E$10+1,1))</f>
        <v>542.51810435067659</v>
      </c>
      <c r="AO99" s="59">
        <f t="shared" si="90"/>
        <v>325.7263575945085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42.028181519401322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42.028181519401322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</v>
      </c>
      <c r="BD99" s="12">
        <f>IF('Données projet'!$A$88&gt;35,BD98+BC99-BL98,IF(A99&lt;'Données projet'!$A$88,$BA$205^A99,IF(A99='Données projet'!$A$88,'Données projet'!$B$88,BD98+BC99-BL98)))</f>
        <v>338.00000000000017</v>
      </c>
      <c r="BE99" s="13">
        <f>BD99*VLOOKUP('Données projet'!$B$11,Paramètres!$A$1:$I$89,3,0)*VLOOKUP('Données projet'!$B$11,Paramètres!$A$1:$I$89,5,0)</f>
        <v>305.82240000000013</v>
      </c>
      <c r="BF99" s="13">
        <f t="shared" si="91"/>
        <v>72.395693291268998</v>
      </c>
      <c r="BG99" s="20">
        <f t="shared" si="61"/>
        <v>658.72984581562707</v>
      </c>
      <c r="BH99" s="59">
        <f t="shared" si="62"/>
        <v>934.9788980120145</v>
      </c>
      <c r="BI99" s="59">
        <f ca="1">AVERAGE(OFFSET($BH$3,0,0,'Données projet'!$E$11+1,1))-AVERAGE(OFFSET($H$3,0,0,'Données projet'!$E$11+1,1))</f>
        <v>492.39485179035256</v>
      </c>
      <c r="BJ99" s="59">
        <f t="shared" si="92"/>
        <v>297.32483725004124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37.502069663465797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37.502069663465797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-5.6843418860808015E-14</v>
      </c>
      <c r="BZ99" s="13">
        <f>BY99*VLOOKUP('Données projet'!$B$12,Paramètres!$A$1:$I$89,3,0)*VLOOKUP('Données projet'!$B$12,Paramètres!$A$1:$I$89,5,0)</f>
        <v>-5.4092197387944907E-14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260.51631161522039</v>
      </c>
      <c r="CE99" s="59">
        <f t="shared" si="94"/>
        <v>171.3469666102674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63.386250257472916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63.386250257472916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167.82976403567059</v>
      </c>
      <c r="T100" s="59">
        <f t="shared" si="88"/>
        <v>232.70925470547317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30.231838819622244</v>
      </c>
      <c r="AA100" s="21">
        <f>EXP(-LN(2)/25)*AA99+(1-EXP(-LN(2)/25))/(LN(2)/25)*Calculateur!V100*Calculateur!X100*VLOOKUP('Données projet'!$B$9,Paramètres!$A$1:$I$89,3,0)*0.475*44/12</f>
        <v>14.850021342926995</v>
      </c>
      <c r="AB100" s="21">
        <f>EXP(-LN(2)/2)*AB99+(1-EXP(-LN(2)/2))/(LN(2)/2)*V100*Y100*VLOOKUP('Données projet'!$B$9,Paramètres!$A$1:$I$89,3,0)*0.475*44/12</f>
        <v>9.4937829724658557E-5</v>
      </c>
      <c r="AC100" s="22">
        <f t="shared" si="57"/>
        <v>45.081955100378963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</v>
      </c>
      <c r="AI100" s="13">
        <f>IF('Données projet'!$A$62&gt;35,AI99+AH100-AQ99,IF(A100&lt;'Données projet'!$A$62,$AF$205^A100,IF(A100='Données projet'!$A$62,'Données projet'!$B$62,AI99+AH100-AQ99)))</f>
        <v>344.00000000000017</v>
      </c>
      <c r="AJ100" s="13">
        <f>AI100*VLOOKUP('Données projet'!$B$10,Paramètres!$A$1:$I$89,3,0)*VLOOKUP('Données projet'!$B$10,Paramètres!$A$1:$I$89,5,0)</f>
        <v>348.8160000000002</v>
      </c>
      <c r="AK100" s="13">
        <f t="shared" si="89"/>
        <v>81.318665281585453</v>
      </c>
      <c r="AL100" s="20">
        <f t="shared" si="58"/>
        <v>749.15120869876171</v>
      </c>
      <c r="AM100" s="59">
        <f t="shared" si="59"/>
        <v>1025.6966349781446</v>
      </c>
      <c r="AN100" s="59">
        <f ca="1">AVERAGE(OFFSET($AM$3,0,0,'Données projet'!$E$10+1,1))-AVERAGE(OFFSET($H$3,0,0,'Données projet'!$E$10+1,1))</f>
        <v>542.51810435067659</v>
      </c>
      <c r="AO100" s="59">
        <f t="shared" si="90"/>
        <v>325.7263575945085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41.204034514465377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41.204034514465377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</v>
      </c>
      <c r="BD100" s="12">
        <f>IF('Données projet'!$A$88&gt;35,BD99+BC100-BL99,IF(A100&lt;'Données projet'!$A$88,$BA$205^A100,IF(A100='Données projet'!$A$88,'Données projet'!$B$88,BD99+BC100-BL99)))</f>
        <v>344.00000000000017</v>
      </c>
      <c r="BE100" s="13">
        <f>BD100*VLOOKUP('Données projet'!$B$11,Paramètres!$A$1:$I$89,3,0)*VLOOKUP('Données projet'!$B$11,Paramètres!$A$1:$I$89,5,0)</f>
        <v>311.25120000000015</v>
      </c>
      <c r="BF100" s="13">
        <f t="shared" si="91"/>
        <v>73.530069242745114</v>
      </c>
      <c r="BG100" s="20">
        <f t="shared" si="61"/>
        <v>670.1607105977813</v>
      </c>
      <c r="BH100" s="59">
        <f t="shared" si="62"/>
        <v>946.70613687716411</v>
      </c>
      <c r="BI100" s="59">
        <f ca="1">AVERAGE(OFFSET($BH$3,0,0,'Données projet'!$E$11+1,1))-AVERAGE(OFFSET($H$3,0,0,'Données projet'!$E$11+1,1))</f>
        <v>492.39485179035256</v>
      </c>
      <c r="BJ100" s="59">
        <f t="shared" si="92"/>
        <v>297.32483725004124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36.766676951369107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36.766676951369107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-5.6843418860808015E-14</v>
      </c>
      <c r="BZ100" s="13">
        <f>BY100*VLOOKUP('Données projet'!$B$12,Paramètres!$A$1:$I$89,3,0)*VLOOKUP('Données projet'!$B$12,Paramètres!$A$1:$I$89,5,0)</f>
        <v>-5.4092197387944907E-14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260.51631161522039</v>
      </c>
      <c r="CE100" s="59">
        <f t="shared" si="94"/>
        <v>171.3469666102674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62.143284551718992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62.143284551718992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167.82976403567059</v>
      </c>
      <c r="T101" s="59">
        <f t="shared" si="88"/>
        <v>232.70925470547317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29.639010899970373</v>
      </c>
      <c r="AA101" s="21">
        <f>EXP(-LN(2)/25)*AA100+(1-EXP(-LN(2)/25))/(LN(2)/25)*Calculateur!V101*Calculateur!X101*VLOOKUP('Données projet'!$B$9,Paramètres!$A$1:$I$89,3,0)*0.475*44/12</f>
        <v>14.443946728375975</v>
      </c>
      <c r="AB101" s="21">
        <f>EXP(-LN(2)/2)*AB100+(1-EXP(-LN(2)/2))/(LN(2)/2)*V101*Y101*VLOOKUP('Données projet'!$B$9,Paramètres!$A$1:$I$89,3,0)*0.475*44/12</f>
        <v>6.7131183189439846E-5</v>
      </c>
      <c r="AC101" s="22">
        <f t="shared" si="57"/>
        <v>44.083024759529536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</v>
      </c>
      <c r="AI101" s="13">
        <f>IF('Données projet'!$A$62&gt;35,AI100+AH101-AQ100,IF(A101&lt;'Données projet'!$A$62,$AF$205^A101,IF(A101='Données projet'!$A$62,'Données projet'!$B$62,AI100+AH101-AQ100)))</f>
        <v>350.00000000000017</v>
      </c>
      <c r="AJ101" s="13">
        <f>AI101*VLOOKUP('Données projet'!$B$10,Paramètres!$A$1:$I$89,3,0)*VLOOKUP('Données projet'!$B$10,Paramètres!$A$1:$I$89,5,0)</f>
        <v>354.9000000000002</v>
      </c>
      <c r="AK101" s="13">
        <f t="shared" si="89"/>
        <v>82.570654277328188</v>
      </c>
      <c r="AL101" s="20">
        <f t="shared" si="58"/>
        <v>761.92805619968021</v>
      </c>
      <c r="AM101" s="59">
        <f t="shared" si="59"/>
        <v>1038.7647151343117</v>
      </c>
      <c r="AN101" s="59">
        <f ca="1">AVERAGE(OFFSET($AM$3,0,0,'Données projet'!$E$10+1,1))-AVERAGE(OFFSET($H$3,0,0,'Données projet'!$E$10+1,1))</f>
        <v>542.51810435067659</v>
      </c>
      <c r="AO101" s="59">
        <f t="shared" si="90"/>
        <v>325.7263575945085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40.396048529616188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40.396048529616188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</v>
      </c>
      <c r="BD101" s="12">
        <f>IF('Données projet'!$A$88&gt;35,BD100+BC101-BL100,IF(A101&lt;'Données projet'!$A$88,$BA$205^A101,IF(A101='Données projet'!$A$88,'Données projet'!$B$88,BD100+BC101-BL100)))</f>
        <v>350.00000000000017</v>
      </c>
      <c r="BE101" s="13">
        <f>BD101*VLOOKUP('Données projet'!$B$11,Paramètres!$A$1:$I$89,3,0)*VLOOKUP('Données projet'!$B$11,Paramètres!$A$1:$I$89,5,0)</f>
        <v>316.68000000000012</v>
      </c>
      <c r="BF101" s="13">
        <f t="shared" si="91"/>
        <v>74.662144360177763</v>
      </c>
      <c r="BG101" s="20">
        <f t="shared" si="61"/>
        <v>681.58756809397642</v>
      </c>
      <c r="BH101" s="59">
        <f t="shared" si="62"/>
        <v>958.42422702860779</v>
      </c>
      <c r="BI101" s="59">
        <f ca="1">AVERAGE(OFFSET($BH$3,0,0,'Données projet'!$E$11+1,1))-AVERAGE(OFFSET($H$3,0,0,'Données projet'!$E$11+1,1))</f>
        <v>492.39485179035256</v>
      </c>
      <c r="BJ101" s="59">
        <f t="shared" si="92"/>
        <v>297.32483725004124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36.045704841811371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36.045704841811371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-5.6843418860808015E-14</v>
      </c>
      <c r="BZ101" s="13">
        <f>BY101*VLOOKUP('Données projet'!$B$12,Paramètres!$A$1:$I$89,3,0)*VLOOKUP('Données projet'!$B$12,Paramètres!$A$1:$I$89,5,0)</f>
        <v>-5.4092197387944907E-14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260.51631161522039</v>
      </c>
      <c r="CE101" s="59">
        <f t="shared" si="94"/>
        <v>171.3469666102674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60.924692645320683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60.924692645320683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167.82976403567059</v>
      </c>
      <c r="T102" s="59">
        <f t="shared" si="88"/>
        <v>232.70925470547317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29.057807974233548</v>
      </c>
      <c r="AA102" s="21">
        <f>EXP(-LN(2)/25)*AA101+(1-EXP(-LN(2)/25))/(LN(2)/25)*Calculateur!V102*Calculateur!X102*VLOOKUP('Données projet'!$B$9,Paramètres!$A$1:$I$89,3,0)*0.475*44/12</f>
        <v>14.048976245514387</v>
      </c>
      <c r="AB102" s="21">
        <f>EXP(-LN(2)/2)*AB101+(1-EXP(-LN(2)/2))/(LN(2)/2)*V102*Y102*VLOOKUP('Données projet'!$B$9,Paramètres!$A$1:$I$89,3,0)*0.475*44/12</f>
        <v>4.7468914862329279E-5</v>
      </c>
      <c r="AC102" s="22">
        <f t="shared" si="57"/>
        <v>43.106831688662801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</v>
      </c>
      <c r="AI102" s="13">
        <f>IF('Données projet'!$A$62&gt;35,AI101+AH102-AQ101,IF(A102&lt;'Données projet'!$A$62,$AF$205^A102,IF(A102='Données projet'!$A$62,'Données projet'!$B$62,AI101+AH102-AQ101)))</f>
        <v>356.00000000000017</v>
      </c>
      <c r="AJ102" s="13">
        <f>AI102*VLOOKUP('Données projet'!$B$10,Paramètres!$A$1:$I$89,3,0)*VLOOKUP('Données projet'!$B$10,Paramètres!$A$1:$I$89,5,0)</f>
        <v>360.98400000000021</v>
      </c>
      <c r="AK102" s="13">
        <f t="shared" si="89"/>
        <v>83.820147380102171</v>
      </c>
      <c r="AL102" s="20">
        <f t="shared" si="58"/>
        <v>774.70055668701161</v>
      </c>
      <c r="AM102" s="59">
        <f t="shared" si="59"/>
        <v>1051.8233960414218</v>
      </c>
      <c r="AN102" s="59">
        <f ca="1">AVERAGE(OFFSET($AM$3,0,0,'Données projet'!$E$10+1,1))-AVERAGE(OFFSET($H$3,0,0,'Données projet'!$E$10+1,1))</f>
        <v>542.51810435067659</v>
      </c>
      <c r="AO102" s="59">
        <f t="shared" si="90"/>
        <v>325.7263575945085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39.603906657107103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39.603906657107103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</v>
      </c>
      <c r="BD102" s="12">
        <f>IF('Données projet'!$A$88&gt;35,BD101+BC102-BL101,IF(A102&lt;'Données projet'!$A$88,$BA$205^A102,IF(A102='Données projet'!$A$88,'Données projet'!$B$88,BD101+BC102-BL101)))</f>
        <v>356.00000000000017</v>
      </c>
      <c r="BE102" s="13">
        <f>BD102*VLOOKUP('Données projet'!$B$11,Paramètres!$A$1:$I$89,3,0)*VLOOKUP('Données projet'!$B$11,Paramètres!$A$1:$I$89,5,0)</f>
        <v>322.10880000000014</v>
      </c>
      <c r="BF102" s="13">
        <f t="shared" si="91"/>
        <v>75.791962638025339</v>
      </c>
      <c r="BG102" s="20">
        <f t="shared" si="61"/>
        <v>693.01049492789434</v>
      </c>
      <c r="BH102" s="59">
        <f t="shared" si="62"/>
        <v>970.13333428230453</v>
      </c>
      <c r="BI102" s="59">
        <f ca="1">AVERAGE(OFFSET($BH$3,0,0,'Données projet'!$E$11+1,1))-AVERAGE(OFFSET($H$3,0,0,'Données projet'!$E$11+1,1))</f>
        <v>492.39485179035256</v>
      </c>
      <c r="BJ102" s="59">
        <f t="shared" si="92"/>
        <v>297.32483725004124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35.338870555572498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35.338870555572498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-5.6843418860808015E-14</v>
      </c>
      <c r="BZ102" s="13">
        <f>BY102*VLOOKUP('Données projet'!$B$12,Paramètres!$A$1:$I$89,3,0)*VLOOKUP('Données projet'!$B$12,Paramètres!$A$1:$I$89,5,0)</f>
        <v>-5.4092197387944907E-14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260.51631161522039</v>
      </c>
      <c r="CE102" s="59">
        <f t="shared" si="94"/>
        <v>171.3469666102674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59.729996582939172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59.729996582939172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167.82976403567059</v>
      </c>
      <c r="T103" s="59">
        <f t="shared" si="88"/>
        <v>232.70925470547317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28.48800208337164</v>
      </c>
      <c r="AA103" s="21">
        <f>EXP(-LN(2)/25)*AA102+(1-EXP(-LN(2)/25))/(LN(2)/25)*Calculateur!V103*Calculateur!X103*VLOOKUP('Données projet'!$B$9,Paramètres!$A$1:$I$89,3,0)*0.475*44/12</f>
        <v>13.664806251277245</v>
      </c>
      <c r="AB103" s="21">
        <f>EXP(-LN(2)/2)*AB102+(1-EXP(-LN(2)/2))/(LN(2)/2)*V103*Y103*VLOOKUP('Données projet'!$B$9,Paramètres!$A$1:$I$89,3,0)*0.475*44/12</f>
        <v>3.3565591594719923E-5</v>
      </c>
      <c r="AC103" s="22">
        <f t="shared" si="57"/>
        <v>42.152841900240475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362</v>
      </c>
      <c r="AG103" s="12">
        <f>VLOOKUP(A103,'Données projet'!$A$61:$I$81,9,0)</f>
        <v>6</v>
      </c>
      <c r="AH103" s="12">
        <f t="array" ref="AH103">INDEX(AG:AG,MIN(IF(ISNUMBER(AG103:AG299),ROW(AG103:AG299),"")))</f>
        <v>6</v>
      </c>
      <c r="AI103" s="13">
        <f>IF('Données projet'!$A$62&gt;35,AI102+AH103-AQ102,IF(A103&lt;'Données projet'!$A$62,$AF$205^A103,IF(A103='Données projet'!$A$62,'Données projet'!$B$62,AI102+AH103-AQ102)))</f>
        <v>362.00000000000017</v>
      </c>
      <c r="AJ103" s="13">
        <f>AI103*VLOOKUP('Données projet'!$B$10,Paramètres!$A$1:$I$89,3,0)*VLOOKUP('Données projet'!$B$10,Paramètres!$A$1:$I$89,5,0)</f>
        <v>367.06800000000021</v>
      </c>
      <c r="AK103" s="13">
        <f t="shared" si="89"/>
        <v>85.067191510398061</v>
      </c>
      <c r="AL103" s="20">
        <f t="shared" si="58"/>
        <v>787.4687918806103</v>
      </c>
      <c r="AM103" s="59">
        <f t="shared" si="59"/>
        <v>1064.8728470643196</v>
      </c>
      <c r="AN103" s="59">
        <f ca="1">AVERAGE(OFFSET($AM$3,0,0,'Données projet'!$E$10+1,1))-AVERAGE(OFFSET($H$3,0,0,'Données projet'!$E$10+1,1))</f>
        <v>542.51810435067659</v>
      </c>
      <c r="AO103" s="59">
        <f t="shared" si="90"/>
        <v>325.7263575945085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56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60.421220534360359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60.421220534360359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362</v>
      </c>
      <c r="BB103" s="12">
        <f>VLOOKUP(A103,'Données projet'!$A$87:$I$107,9,0)</f>
        <v>6</v>
      </c>
      <c r="BC103" s="12">
        <f t="array" ref="BC103">INDEX(BB:BB,MIN(IF(ISNUMBER(BB103:BB299),ROW(BB103:BB299),"")))</f>
        <v>6</v>
      </c>
      <c r="BD103" s="12">
        <f>IF('Données projet'!$A$88&gt;35,BD102+BC103-BL102,IF(A103&lt;'Données projet'!$A$88,$BA$205^A103,IF(A103='Données projet'!$A$88,'Données projet'!$B$88,BD102+BC103-BL102)))</f>
        <v>362.00000000000017</v>
      </c>
      <c r="BE103" s="13">
        <f>BD103*VLOOKUP('Données projet'!$B$11,Paramètres!$A$1:$I$89,3,0)*VLOOKUP('Données projet'!$B$11,Paramètres!$A$1:$I$89,5,0)</f>
        <v>327.53760000000017</v>
      </c>
      <c r="BF103" s="13">
        <f t="shared" si="91"/>
        <v>76.919566502794808</v>
      </c>
      <c r="BG103" s="20">
        <f t="shared" si="61"/>
        <v>704.42956499236789</v>
      </c>
      <c r="BH103" s="59">
        <f t="shared" si="62"/>
        <v>981.83362017607715</v>
      </c>
      <c r="BI103" s="59">
        <f ca="1">AVERAGE(OFFSET($BH$3,0,0,'Données projet'!$E$11+1,1))-AVERAGE(OFFSET($H$3,0,0,'Données projet'!$E$11+1,1))</f>
        <v>492.39485179035256</v>
      </c>
      <c r="BJ103" s="59">
        <f t="shared" si="92"/>
        <v>297.32483725004124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56</v>
      </c>
      <c r="BM103" s="16">
        <f>IF(ISNA(VLOOKUP(A103,'Données projet'!$A$87:$I$107,5,0)),0%,VLOOKUP(A103,'Données projet'!$A$87:$I$107,5,0)*VLOOKUP('Données projet'!$B$11,Paramètres!$A$1:$I$89,7,0))</f>
        <v>0.34400000000000003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53.914319861429249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53.914319861429249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-5.6843418860808015E-14</v>
      </c>
      <c r="BZ103" s="13">
        <f>BY103*VLOOKUP('Données projet'!$B$12,Paramètres!$A$1:$I$89,3,0)*VLOOKUP('Données projet'!$B$12,Paramètres!$A$1:$I$89,5,0)</f>
        <v>-5.4092197387944907E-14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260.51631161522039</v>
      </c>
      <c r="CE103" s="59">
        <f t="shared" si="94"/>
        <v>171.3469666102674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58.558727781648322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58.558727781648322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167.82976403567059</v>
      </c>
      <c r="T104" s="59">
        <f t="shared" si="88"/>
        <v>232.70925470547317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27.929369738482258</v>
      </c>
      <c r="AA104" s="21">
        <f>EXP(-LN(2)/25)*AA103+(1-EXP(-LN(2)/25))/(LN(2)/25)*Calculateur!V104*Calculateur!X104*VLOOKUP('Données projet'!$B$9,Paramètres!$A$1:$I$89,3,0)*0.475*44/12</f>
        <v>13.291141405735139</v>
      </c>
      <c r="AB104" s="21">
        <f>EXP(-LN(2)/2)*AB103+(1-EXP(-LN(2)/2))/(LN(2)/2)*V104*Y104*VLOOKUP('Données projet'!$B$9,Paramètres!$A$1:$I$89,3,0)*0.475*44/12</f>
        <v>2.3734457431164639E-5</v>
      </c>
      <c r="AC104" s="22">
        <f t="shared" si="57"/>
        <v>41.220534878674826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311.20000000000016</v>
      </c>
      <c r="AJ104" s="13">
        <f>AI104*VLOOKUP('Données projet'!$B$10,Paramètres!$A$1:$I$89,3,0)*VLOOKUP('Données projet'!$B$10,Paramètres!$A$1:$I$89,5,0)</f>
        <v>315.55680000000018</v>
      </c>
      <c r="AK104" s="13">
        <f t="shared" si="89"/>
        <v>74.42810851327107</v>
      </c>
      <c r="AL104" s="20">
        <f t="shared" si="58"/>
        <v>679.22371566061418</v>
      </c>
      <c r="AM104" s="59">
        <f t="shared" si="59"/>
        <v>956.90410820768852</v>
      </c>
      <c r="AN104" s="59">
        <f ca="1">AVERAGE(OFFSET($AM$3,0,0,'Données projet'!$E$10+1,1))-AVERAGE(OFFSET($H$3,0,0,'Données projet'!$E$10+1,1))</f>
        <v>542.51810435067659</v>
      </c>
      <c r="AO104" s="59">
        <f t="shared" si="90"/>
        <v>325.7263575945085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59.236397252987118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59.236397252987118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311.20000000000016</v>
      </c>
      <c r="BE104" s="13">
        <f>BD104*VLOOKUP('Données projet'!$B$11,Paramètres!$A$1:$I$89,3,0)*VLOOKUP('Données projet'!$B$11,Paramètres!$A$1:$I$89,5,0)</f>
        <v>281.57376000000011</v>
      </c>
      <c r="BF104" s="13">
        <f t="shared" si="91"/>
        <v>67.299481043335049</v>
      </c>
      <c r="BG104" s="20">
        <f t="shared" si="61"/>
        <v>607.62089481714213</v>
      </c>
      <c r="BH104" s="59">
        <f t="shared" si="62"/>
        <v>885.30128736421648</v>
      </c>
      <c r="BI104" s="59">
        <f ca="1">AVERAGE(OFFSET($BH$3,0,0,'Données projet'!$E$11+1,1))-AVERAGE(OFFSET($H$3,0,0,'Données projet'!$E$11+1,1))</f>
        <v>492.39485179035256</v>
      </c>
      <c r="BJ104" s="59">
        <f t="shared" si="92"/>
        <v>297.32483725004124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52.857092933434664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52.857092933434664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-5.6843418860808015E-14</v>
      </c>
      <c r="BZ104" s="13">
        <f>BY104*VLOOKUP('Données projet'!$B$12,Paramètres!$A$1:$I$89,3,0)*VLOOKUP('Données projet'!$B$12,Paramètres!$A$1:$I$89,5,0)</f>
        <v>-5.4092197387944907E-14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260.51631161522039</v>
      </c>
      <c r="CE104" s="59">
        <f t="shared" si="94"/>
        <v>171.3469666102674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57.410426847147356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57.410426847147356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167.82976403567059</v>
      </c>
      <c r="T105" s="59">
        <f t="shared" si="88"/>
        <v>232.70925470547317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27.381691833144071</v>
      </c>
      <c r="AA105" s="21">
        <f>EXP(-LN(2)/25)*AA104+(1-EXP(-LN(2)/25))/(LN(2)/25)*Calculateur!V105*Calculateur!X105*VLOOKUP('Données projet'!$B$9,Paramètres!$A$1:$I$89,3,0)*0.475*44/12</f>
        <v>12.927694445044562</v>
      </c>
      <c r="AB105" s="21">
        <f>EXP(-LN(2)/2)*AB104+(1-EXP(-LN(2)/2))/(LN(2)/2)*V105*Y105*VLOOKUP('Données projet'!$B$9,Paramètres!$A$1:$I$89,3,0)*0.475*44/12</f>
        <v>1.6782795797359961E-5</v>
      </c>
      <c r="AC105" s="22">
        <f t="shared" si="57"/>
        <v>40.30940306098443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316.40000000000015</v>
      </c>
      <c r="AJ105" s="13">
        <f>AI105*VLOOKUP('Données projet'!$B$10,Paramètres!$A$1:$I$89,3,0)*VLOOKUP('Données projet'!$B$10,Paramètres!$A$1:$I$89,5,0)</f>
        <v>320.8296000000002</v>
      </c>
      <c r="AK105" s="13">
        <f t="shared" si="89"/>
        <v>75.525942057150743</v>
      </c>
      <c r="AL105" s="20">
        <f t="shared" si="58"/>
        <v>690.31923574953782</v>
      </c>
      <c r="AM105" s="59">
        <f t="shared" si="59"/>
        <v>968.27117182452071</v>
      </c>
      <c r="AN105" s="59">
        <f ca="1">AVERAGE(OFFSET($AM$3,0,0,'Données projet'!$E$10+1,1))-AVERAGE(OFFSET($H$3,0,0,'Données projet'!$E$10+1,1))</f>
        <v>542.51810435067659</v>
      </c>
      <c r="AO105" s="59">
        <f t="shared" si="90"/>
        <v>325.7263575945085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58.074807633490764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58.074807633490764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316.40000000000015</v>
      </c>
      <c r="BE105" s="13">
        <f>BD105*VLOOKUP('Données projet'!$B$11,Paramètres!$A$1:$I$89,3,0)*VLOOKUP('Données projet'!$B$11,Paramètres!$A$1:$I$89,5,0)</f>
        <v>286.27872000000013</v>
      </c>
      <c r="BF105" s="13">
        <f t="shared" si="91"/>
        <v>68.292165517667613</v>
      </c>
      <c r="BG105" s="20">
        <f t="shared" si="61"/>
        <v>617.54429227660466</v>
      </c>
      <c r="BH105" s="59">
        <f t="shared" si="62"/>
        <v>895.49622835158766</v>
      </c>
      <c r="BI105" s="59">
        <f ca="1">AVERAGE(OFFSET($BH$3,0,0,'Données projet'!$E$11+1,1))-AVERAGE(OFFSET($H$3,0,0,'Données projet'!$E$11+1,1))</f>
        <v>492.39485179035256</v>
      </c>
      <c r="BJ105" s="59">
        <f t="shared" si="92"/>
        <v>297.32483725004124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51.820597580653299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51.820597580653299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-5.6843418860808015E-14</v>
      </c>
      <c r="BZ105" s="13">
        <f>BY105*VLOOKUP('Données projet'!$B$12,Paramètres!$A$1:$I$89,3,0)*VLOOKUP('Données projet'!$B$12,Paramètres!$A$1:$I$89,5,0)</f>
        <v>-5.4092197387944907E-14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260.51631161522039</v>
      </c>
      <c r="CE105" s="59">
        <f t="shared" si="94"/>
        <v>171.3469666102674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56.284643393577539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56.284643393577539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167.82976403567059</v>
      </c>
      <c r="T106" s="59">
        <f t="shared" si="88"/>
        <v>232.70925470547317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26.844753557479031</v>
      </c>
      <c r="AA106" s="21">
        <f>EXP(-LN(2)/25)*AA105+(1-EXP(-LN(2)/25))/(LN(2)/25)*Calculateur!V106*Calculateur!X106*VLOOKUP('Données projet'!$B$9,Paramètres!$A$1:$I$89,3,0)*0.475*44/12</f>
        <v>12.574185960606915</v>
      </c>
      <c r="AB106" s="21">
        <f>EXP(-LN(2)/2)*AB105+(1-EXP(-LN(2)/2))/(LN(2)/2)*V106*Y106*VLOOKUP('Données projet'!$B$9,Paramètres!$A$1:$I$89,3,0)*0.475*44/12</f>
        <v>1.186722871558232E-5</v>
      </c>
      <c r="AC106" s="22">
        <f t="shared" si="57"/>
        <v>39.418951385314664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321.60000000000014</v>
      </c>
      <c r="AJ106" s="13">
        <f>AI106*VLOOKUP('Données projet'!$B$10,Paramètres!$A$1:$I$89,3,0)*VLOOKUP('Données projet'!$B$10,Paramètres!$A$1:$I$89,5,0)</f>
        <v>326.10240000000016</v>
      </c>
      <c r="AK106" s="13">
        <f t="shared" si="89"/>
        <v>76.621677329562345</v>
      </c>
      <c r="AL106" s="20">
        <f t="shared" si="58"/>
        <v>701.41110134898815</v>
      </c>
      <c r="AM106" s="59">
        <f t="shared" si="59"/>
        <v>979.62987027875079</v>
      </c>
      <c r="AN106" s="59">
        <f ca="1">AVERAGE(OFFSET($AM$3,0,0,'Données projet'!$E$10+1,1))-AVERAGE(OFFSET($H$3,0,0,'Données projet'!$E$10+1,1))</f>
        <v>542.51810435067659</v>
      </c>
      <c r="AO106" s="59">
        <f t="shared" si="90"/>
        <v>325.7263575945085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56.935996077933019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56.935996077933019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321.60000000000014</v>
      </c>
      <c r="BE106" s="13">
        <f>BD106*VLOOKUP('Données projet'!$B$11,Paramètres!$A$1:$I$89,3,0)*VLOOKUP('Données projet'!$B$11,Paramètres!$A$1:$I$89,5,0)</f>
        <v>290.98368000000011</v>
      </c>
      <c r="BF106" s="13">
        <f t="shared" si="91"/>
        <v>69.282952690245423</v>
      </c>
      <c r="BG106" s="20">
        <f t="shared" si="61"/>
        <v>627.46438526884424</v>
      </c>
      <c r="BH106" s="59">
        <f t="shared" si="62"/>
        <v>905.68315419860687</v>
      </c>
      <c r="BI106" s="59">
        <f ca="1">AVERAGE(OFFSET($BH$3,0,0,'Données projet'!$E$11+1,1))-AVERAGE(OFFSET($H$3,0,0,'Données projet'!$E$11+1,1))</f>
        <v>492.39485179035256</v>
      </c>
      <c r="BJ106" s="59">
        <f t="shared" si="92"/>
        <v>297.32483725004124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50.804427269540234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50.804427269540234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-5.6843418860808015E-14</v>
      </c>
      <c r="BZ106" s="13">
        <f>BY106*VLOOKUP('Données projet'!$B$12,Paramètres!$A$1:$I$89,3,0)*VLOOKUP('Données projet'!$B$12,Paramètres!$A$1:$I$89,5,0)</f>
        <v>-5.4092197387944907E-14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260.51631161522039</v>
      </c>
      <c r="CE106" s="59">
        <f t="shared" si="94"/>
        <v>171.3469666102674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55.180935866872126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55.180935866872126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167.82976403567059</v>
      </c>
      <c r="T107" s="59">
        <f t="shared" si="88"/>
        <v>232.70925470547317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26.318344313899772</v>
      </c>
      <c r="AA107" s="21">
        <f>EXP(-LN(2)/25)*AA106+(1-EXP(-LN(2)/25))/(LN(2)/25)*Calculateur!V107*Calculateur!X107*VLOOKUP('Données projet'!$B$9,Paramètres!$A$1:$I$89,3,0)*0.475*44/12</f>
        <v>12.230344184266418</v>
      </c>
      <c r="AB107" s="21">
        <f>EXP(-LN(2)/2)*AB106+(1-EXP(-LN(2)/2))/(LN(2)/2)*V107*Y107*VLOOKUP('Données projet'!$B$9,Paramètres!$A$1:$I$89,3,0)*0.475*44/12</f>
        <v>8.3913978986799807E-6</v>
      </c>
      <c r="AC107" s="22">
        <f t="shared" si="57"/>
        <v>38.548696889564084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326.80000000000013</v>
      </c>
      <c r="AJ107" s="13">
        <f>AI107*VLOOKUP('Données projet'!$B$10,Paramètres!$A$1:$I$89,3,0)*VLOOKUP('Données projet'!$B$10,Paramètres!$A$1:$I$89,5,0)</f>
        <v>331.37520000000018</v>
      </c>
      <c r="AK107" s="13">
        <f t="shared" si="89"/>
        <v>77.715352174616967</v>
      </c>
      <c r="AL107" s="20">
        <f t="shared" si="58"/>
        <v>712.49937837079142</v>
      </c>
      <c r="AM107" s="59">
        <f t="shared" si="59"/>
        <v>990.98035120185227</v>
      </c>
      <c r="AN107" s="59">
        <f ca="1">AVERAGE(OFFSET($AM$3,0,0,'Données projet'!$E$10+1,1))-AVERAGE(OFFSET($H$3,0,0,'Données projet'!$E$10+1,1))</f>
        <v>542.51810435067659</v>
      </c>
      <c r="AO107" s="59">
        <f t="shared" si="90"/>
        <v>325.7263575945085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55.819515922373299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55.819515922373299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326.80000000000013</v>
      </c>
      <c r="BE107" s="13">
        <f>BD107*VLOOKUP('Données projet'!$B$11,Paramètres!$A$1:$I$89,3,0)*VLOOKUP('Données projet'!$B$11,Paramètres!$A$1:$I$89,5,0)</f>
        <v>295.68864000000013</v>
      </c>
      <c r="BF107" s="13">
        <f t="shared" si="91"/>
        <v>70.271876780519804</v>
      </c>
      <c r="BG107" s="20">
        <f t="shared" si="61"/>
        <v>637.38123339273886</v>
      </c>
      <c r="BH107" s="59">
        <f t="shared" si="62"/>
        <v>915.86220622379983</v>
      </c>
      <c r="BI107" s="59">
        <f ca="1">AVERAGE(OFFSET($BH$3,0,0,'Données projet'!$E$11+1,1))-AVERAGE(OFFSET($H$3,0,0,'Données projet'!$E$11+1,1))</f>
        <v>492.39485179035256</v>
      </c>
      <c r="BJ107" s="59">
        <f t="shared" si="92"/>
        <v>297.32483725004124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49.808183438425409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49.808183438425409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-5.6843418860808015E-14</v>
      </c>
      <c r="BZ107" s="13">
        <f>BY107*VLOOKUP('Données projet'!$B$12,Paramètres!$A$1:$I$89,3,0)*VLOOKUP('Données projet'!$B$12,Paramètres!$A$1:$I$89,5,0)</f>
        <v>-5.4092197387944907E-14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260.51631161522039</v>
      </c>
      <c r="CE107" s="59">
        <f t="shared" si="94"/>
        <v>171.3469666102674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54.098871371570283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54.098871371570283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167.82976403567059</v>
      </c>
      <c r="T108" s="59">
        <f t="shared" si="88"/>
        <v>232.70925470547317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25.802257634509164</v>
      </c>
      <c r="AA108" s="21">
        <f>EXP(-LN(2)/25)*AA107+(1-EXP(-LN(2)/25))/(LN(2)/25)*Calculateur!V108*Calculateur!X108*VLOOKUP('Données projet'!$B$9,Paramètres!$A$1:$I$89,3,0)*0.475*44/12</f>
        <v>11.895904779381805</v>
      </c>
      <c r="AB108" s="21">
        <f>EXP(-LN(2)/2)*AB107+(1-EXP(-LN(2)/2))/(LN(2)/2)*V108*Y108*VLOOKUP('Données projet'!$B$9,Paramètres!$A$1:$I$89,3,0)*0.475*44/12</f>
        <v>5.9336143577911598E-6</v>
      </c>
      <c r="AC108" s="22">
        <f t="shared" si="57"/>
        <v>37.69816834750533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332.00000000000011</v>
      </c>
      <c r="AJ108" s="13">
        <f>AI108*VLOOKUP('Données projet'!$B$10,Paramètres!$A$1:$I$89,3,0)*VLOOKUP('Données projet'!$B$10,Paramètres!$A$1:$I$89,5,0)</f>
        <v>336.64800000000014</v>
      </c>
      <c r="AK108" s="13">
        <f t="shared" si="89"/>
        <v>78.807003163010378</v>
      </c>
      <c r="AL108" s="20">
        <f t="shared" si="58"/>
        <v>723.58413050891011</v>
      </c>
      <c r="AM108" s="59">
        <f t="shared" si="59"/>
        <v>1002.3227585897819</v>
      </c>
      <c r="AN108" s="59">
        <f ca="1">AVERAGE(OFFSET($AM$3,0,0,'Données projet'!$E$10+1,1))-AVERAGE(OFFSET($H$3,0,0,'Données projet'!$E$10+1,1))</f>
        <v>542.51810435067659</v>
      </c>
      <c r="AO108" s="59">
        <f t="shared" si="90"/>
        <v>325.7263575945085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54.724929261678454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54.724929261678454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332.00000000000011</v>
      </c>
      <c r="BE108" s="13">
        <f>BD108*VLOOKUP('Données projet'!$B$11,Paramètres!$A$1:$I$89,3,0)*VLOOKUP('Données projet'!$B$11,Paramètres!$A$1:$I$89,5,0)</f>
        <v>300.39360000000011</v>
      </c>
      <c r="BF108" s="13">
        <f t="shared" si="91"/>
        <v>71.258970856492738</v>
      </c>
      <c r="BG108" s="20">
        <f t="shared" si="61"/>
        <v>647.29489424172505</v>
      </c>
      <c r="BH108" s="59">
        <f t="shared" si="62"/>
        <v>926.03352232259681</v>
      </c>
      <c r="BI108" s="59">
        <f ca="1">AVERAGE(OFFSET($BH$3,0,0,'Données projet'!$E$11+1,1))-AVERAGE(OFFSET($H$3,0,0,'Données projet'!$E$11+1,1))</f>
        <v>492.39485179035256</v>
      </c>
      <c r="BJ108" s="59">
        <f t="shared" si="92"/>
        <v>297.32483725004124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48.831475341190007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48.831475341190007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-5.6843418860808015E-14</v>
      </c>
      <c r="BZ108" s="13">
        <f>BY108*VLOOKUP('Données projet'!$B$12,Paramètres!$A$1:$I$89,3,0)*VLOOKUP('Données projet'!$B$12,Paramètres!$A$1:$I$89,5,0)</f>
        <v>-5.4092197387944907E-14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260.51631161522039</v>
      </c>
      <c r="CE108" s="59">
        <f t="shared" si="94"/>
        <v>171.3469666102674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53.038025501027136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53.038025501027136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167.82976403567059</v>
      </c>
      <c r="T109" s="59">
        <f t="shared" si="88"/>
        <v>232.70925470547317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25.296291100119614</v>
      </c>
      <c r="AA109" s="21">
        <f>EXP(-LN(2)/25)*AA108+(1-EXP(-LN(2)/25))/(LN(2)/25)*Calculateur!V109*Calculateur!X109*VLOOKUP('Données projet'!$B$9,Paramètres!$A$1:$I$89,3,0)*0.475*44/12</f>
        <v>11.570610637611166</v>
      </c>
      <c r="AB109" s="21">
        <f>EXP(-LN(2)/2)*AB108+(1-EXP(-LN(2)/2))/(LN(2)/2)*V109*Y109*VLOOKUP('Données projet'!$B$9,Paramètres!$A$1:$I$89,3,0)*0.475*44/12</f>
        <v>4.1956989493399904E-6</v>
      </c>
      <c r="AC109" s="22">
        <f t="shared" si="57"/>
        <v>36.866905933429727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337.2000000000001</v>
      </c>
      <c r="AJ109" s="13">
        <f>AI109*VLOOKUP('Données projet'!$B$10,Paramètres!$A$1:$I$89,3,0)*VLOOKUP('Données projet'!$B$10,Paramètres!$A$1:$I$89,5,0)</f>
        <v>341.9208000000001</v>
      </c>
      <c r="AK109" s="13">
        <f t="shared" si="89"/>
        <v>79.89666565413367</v>
      </c>
      <c r="AL109" s="20">
        <f t="shared" si="58"/>
        <v>734.66541934761642</v>
      </c>
      <c r="AM109" s="59">
        <f t="shared" si="59"/>
        <v>1013.6572329357455</v>
      </c>
      <c r="AN109" s="59">
        <f ca="1">AVERAGE(OFFSET($AM$3,0,0,'Données projet'!$E$10+1,1))-AVERAGE(OFFSET($H$3,0,0,'Données projet'!$E$10+1,1))</f>
        <v>542.51810435067659</v>
      </c>
      <c r="AO109" s="59">
        <f t="shared" si="90"/>
        <v>325.7263575945085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53.651806777767895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53.651806777767895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337.2000000000001</v>
      </c>
      <c r="BE109" s="13">
        <f>BD109*VLOOKUP('Données projet'!$B$11,Paramètres!$A$1:$I$89,3,0)*VLOOKUP('Données projet'!$B$11,Paramètres!$A$1:$I$89,5,0)</f>
        <v>305.09856000000008</v>
      </c>
      <c r="BF109" s="13">
        <f t="shared" si="91"/>
        <v>72.244266890878862</v>
      </c>
      <c r="BG109" s="20">
        <f t="shared" si="61"/>
        <v>657.20542350161418</v>
      </c>
      <c r="BH109" s="59">
        <f t="shared" si="62"/>
        <v>936.19723708974334</v>
      </c>
      <c r="BI109" s="59">
        <f ca="1">AVERAGE(OFFSET($BH$3,0,0,'Données projet'!$E$11+1,1))-AVERAGE(OFFSET($H$3,0,0,'Données projet'!$E$11+1,1))</f>
        <v>492.39485179035256</v>
      </c>
      <c r="BJ109" s="59">
        <f t="shared" si="92"/>
        <v>297.32483725004124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47.873919894008274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47.873919894008274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-5.6843418860808015E-14</v>
      </c>
      <c r="BZ109" s="13">
        <f>BY109*VLOOKUP('Données projet'!$B$12,Paramètres!$A$1:$I$89,3,0)*VLOOKUP('Données projet'!$B$12,Paramètres!$A$1:$I$89,5,0)</f>
        <v>-5.4092197387944907E-14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260.51631161522039</v>
      </c>
      <c r="CE109" s="59">
        <f t="shared" si="94"/>
        <v>171.3469666102674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51.99798217095325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51.99798217095325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167.82976403567059</v>
      </c>
      <c r="T110" s="59">
        <f t="shared" si="88"/>
        <v>232.70925470547317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24.80024626086033</v>
      </c>
      <c r="AA110" s="21">
        <f>EXP(-LN(2)/25)*AA109+(1-EXP(-LN(2)/25))/(LN(2)/25)*Calculateur!V110*Calculateur!X110*VLOOKUP('Données projet'!$B$9,Paramètres!$A$1:$I$89,3,0)*0.475*44/12</f>
        <v>11.25421168125372</v>
      </c>
      <c r="AB110" s="21">
        <f>EXP(-LN(2)/2)*AB109+(1-EXP(-LN(2)/2))/(LN(2)/2)*V110*Y110*VLOOKUP('Données projet'!$B$9,Paramètres!$A$1:$I$89,3,0)*0.475*44/12</f>
        <v>2.9668071788955799E-6</v>
      </c>
      <c r="AC110" s="22">
        <f t="shared" si="57"/>
        <v>36.054460908921229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342.40000000000009</v>
      </c>
      <c r="AJ110" s="13">
        <f>AI110*VLOOKUP('Données projet'!$B$10,Paramètres!$A$1:$I$89,3,0)*VLOOKUP('Données projet'!$B$10,Paramètres!$A$1:$I$89,5,0)</f>
        <v>347.19360000000012</v>
      </c>
      <c r="AK110" s="13">
        <f t="shared" si="89"/>
        <v>80.984373854243287</v>
      </c>
      <c r="AL110" s="20">
        <f t="shared" si="58"/>
        <v>745.74330446280726</v>
      </c>
      <c r="AM110" s="59">
        <f t="shared" si="59"/>
        <v>1024.9839113556809</v>
      </c>
      <c r="AN110" s="59">
        <f ca="1">AVERAGE(OFFSET($AM$3,0,0,'Données projet'!$E$10+1,1))-AVERAGE(OFFSET($H$3,0,0,'Données projet'!$E$10+1,1))</f>
        <v>542.51810435067659</v>
      </c>
      <c r="AO110" s="59">
        <f t="shared" si="90"/>
        <v>325.7263575945085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52.599727571226737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52.599727571226737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342.40000000000009</v>
      </c>
      <c r="BE110" s="13">
        <f>BD110*VLOOKUP('Données projet'!$B$11,Paramètres!$A$1:$I$89,3,0)*VLOOKUP('Données projet'!$B$11,Paramètres!$A$1:$I$89,5,0)</f>
        <v>309.80352000000005</v>
      </c>
      <c r="BF110" s="13">
        <f t="shared" si="91"/>
        <v>73.227795813703821</v>
      </c>
      <c r="BG110" s="20">
        <f t="shared" si="61"/>
        <v>667.11287504220093</v>
      </c>
      <c r="BH110" s="59">
        <f t="shared" si="62"/>
        <v>946.35348193507457</v>
      </c>
      <c r="BI110" s="59">
        <f ca="1">AVERAGE(OFFSET($BH$3,0,0,'Données projet'!$E$11+1,1))-AVERAGE(OFFSET($H$3,0,0,'Données projet'!$E$11+1,1))</f>
        <v>492.39485179035256</v>
      </c>
      <c r="BJ110" s="59">
        <f t="shared" si="92"/>
        <v>297.32483725004124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46.935141525094629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46.935141525094629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-5.6843418860808015E-14</v>
      </c>
      <c r="BZ110" s="13">
        <f>BY110*VLOOKUP('Données projet'!$B$12,Paramètres!$A$1:$I$89,3,0)*VLOOKUP('Données projet'!$B$12,Paramètres!$A$1:$I$89,5,0)</f>
        <v>-5.4092197387944907E-14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260.51631161522039</v>
      </c>
      <c r="CE110" s="59">
        <f t="shared" si="94"/>
        <v>171.3469666102674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50.978333456218323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50.978333456218323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167.82976403567059</v>
      </c>
      <c r="T111" s="59">
        <f t="shared" si="88"/>
        <v>232.70925470547317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24.313928558341445</v>
      </c>
      <c r="AA111" s="21">
        <f>EXP(-LN(2)/25)*AA110+(1-EXP(-LN(2)/25))/(LN(2)/25)*Calculateur!V111*Calculateur!X111*VLOOKUP('Données projet'!$B$9,Paramètres!$A$1:$I$89,3,0)*0.475*44/12</f>
        <v>10.946464670996566</v>
      </c>
      <c r="AB111" s="21">
        <f>EXP(-LN(2)/2)*AB110+(1-EXP(-LN(2)/2))/(LN(2)/2)*V111*Y111*VLOOKUP('Données projet'!$B$9,Paramètres!$A$1:$I$89,3,0)*0.475*44/12</f>
        <v>2.0978494746699952E-6</v>
      </c>
      <c r="AC111" s="22">
        <f t="shared" si="57"/>
        <v>35.260395327187481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347.60000000000008</v>
      </c>
      <c r="AJ111" s="13">
        <f>AI111*VLOOKUP('Données projet'!$B$10,Paramètres!$A$1:$I$89,3,0)*VLOOKUP('Données projet'!$B$10,Paramètres!$A$1:$I$89,5,0)</f>
        <v>352.46640000000008</v>
      </c>
      <c r="AK111" s="13">
        <f t="shared" si="89"/>
        <v>82.070160870997498</v>
      </c>
      <c r="AL111" s="20">
        <f t="shared" si="58"/>
        <v>756.81784351698741</v>
      </c>
      <c r="AM111" s="59">
        <f t="shared" si="59"/>
        <v>1036.3029277069868</v>
      </c>
      <c r="AN111" s="59">
        <f ca="1">AVERAGE(OFFSET($AM$3,0,0,'Données projet'!$E$10+1,1))-AVERAGE(OFFSET($H$3,0,0,'Données projet'!$E$10+1,1))</f>
        <v>542.51810435067659</v>
      </c>
      <c r="AO111" s="59">
        <f t="shared" si="90"/>
        <v>325.7263575945085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51.568278996220897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51.568278996220897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347.60000000000008</v>
      </c>
      <c r="BE111" s="13">
        <f>BD111*VLOOKUP('Données projet'!$B$11,Paramètres!$A$1:$I$89,3,0)*VLOOKUP('Données projet'!$B$11,Paramètres!$A$1:$I$89,5,0)</f>
        <v>314.50848000000008</v>
      </c>
      <c r="BF111" s="13">
        <f t="shared" si="91"/>
        <v>74.20958756161744</v>
      </c>
      <c r="BG111" s="20">
        <f t="shared" si="61"/>
        <v>677.01730100315046</v>
      </c>
      <c r="BH111" s="59">
        <f t="shared" si="62"/>
        <v>956.50238519314985</v>
      </c>
      <c r="BI111" s="59">
        <f ca="1">AVERAGE(OFFSET($BH$3,0,0,'Données projet'!$E$11+1,1))-AVERAGE(OFFSET($H$3,0,0,'Données projet'!$E$11+1,1))</f>
        <v>492.39485179035256</v>
      </c>
      <c r="BJ111" s="59">
        <f t="shared" si="92"/>
        <v>297.32483725004124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46.014772027397115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46.014772027397115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-5.6843418860808015E-14</v>
      </c>
      <c r="BZ111" s="13">
        <f>BY111*VLOOKUP('Données projet'!$B$12,Paramètres!$A$1:$I$89,3,0)*VLOOKUP('Données projet'!$B$12,Paramètres!$A$1:$I$89,5,0)</f>
        <v>-5.4092197387944907E-14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260.51631161522039</v>
      </c>
      <c r="CE111" s="59">
        <f t="shared" si="94"/>
        <v>171.3469666102674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49.978679430855038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49.978679430855038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167.82976403567059</v>
      </c>
      <c r="T112" s="59">
        <f t="shared" si="88"/>
        <v>232.70925470547317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23.837147249344447</v>
      </c>
      <c r="AA112" s="21">
        <f>EXP(-LN(2)/25)*AA111+(1-EXP(-LN(2)/25))/(LN(2)/25)*Calculateur!V112*Calculateur!X112*VLOOKUP('Données projet'!$B$9,Paramètres!$A$1:$I$89,3,0)*0.475*44/12</f>
        <v>10.647133018918606</v>
      </c>
      <c r="AB112" s="21">
        <f>EXP(-LN(2)/2)*AB111+(1-EXP(-LN(2)/2))/(LN(2)/2)*V112*Y112*VLOOKUP('Données projet'!$B$9,Paramètres!$A$1:$I$89,3,0)*0.475*44/12</f>
        <v>1.48340358944779E-6</v>
      </c>
      <c r="AC112" s="22">
        <f t="shared" si="57"/>
        <v>34.484281751666636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352.80000000000007</v>
      </c>
      <c r="AJ112" s="13">
        <f>AI112*VLOOKUP('Données projet'!$B$10,Paramètres!$A$1:$I$89,3,0)*VLOOKUP('Données projet'!$B$10,Paramètres!$A$1:$I$89,5,0)</f>
        <v>357.7392000000001</v>
      </c>
      <c r="AK112" s="13">
        <f t="shared" si="89"/>
        <v>83.154058764636403</v>
      </c>
      <c r="AL112" s="20">
        <f t="shared" si="58"/>
        <v>767.88909234840855</v>
      </c>
      <c r="AM112" s="59">
        <f t="shared" si="59"/>
        <v>1047.6144127009979</v>
      </c>
      <c r="AN112" s="59">
        <f ca="1">AVERAGE(OFFSET($AM$3,0,0,'Données projet'!$E$10+1,1))-AVERAGE(OFFSET($H$3,0,0,'Données projet'!$E$10+1,1))</f>
        <v>542.51810435067659</v>
      </c>
      <c r="AO112" s="59">
        <f t="shared" si="90"/>
        <v>325.7263575945085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50.557056498649416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50.557056498649416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352.80000000000007</v>
      </c>
      <c r="BE112" s="13">
        <f>BD112*VLOOKUP('Données projet'!$B$11,Paramètres!$A$1:$I$89,3,0)*VLOOKUP('Données projet'!$B$11,Paramètres!$A$1:$I$89,5,0)</f>
        <v>319.21344000000005</v>
      </c>
      <c r="BF112" s="13">
        <f t="shared" si="91"/>
        <v>75.18967112417171</v>
      </c>
      <c r="BG112" s="20">
        <f t="shared" si="61"/>
        <v>686.91875187459902</v>
      </c>
      <c r="BH112" s="59">
        <f t="shared" si="62"/>
        <v>966.6440722271883</v>
      </c>
      <c r="BI112" s="59">
        <f ca="1">AVERAGE(OFFSET($BH$3,0,0,'Données projet'!$E$11+1,1))-AVERAGE(OFFSET($H$3,0,0,'Données projet'!$E$11+1,1))</f>
        <v>492.39485179035256</v>
      </c>
      <c r="BJ112" s="59">
        <f t="shared" si="92"/>
        <v>297.32483725004124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45.112450414179484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45.112450414179484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-5.6843418860808015E-14</v>
      </c>
      <c r="BZ112" s="13">
        <f>BY112*VLOOKUP('Données projet'!$B$12,Paramètres!$A$1:$I$89,3,0)*VLOOKUP('Données projet'!$B$12,Paramètres!$A$1:$I$89,5,0)</f>
        <v>-5.4092197387944907E-14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260.51631161522039</v>
      </c>
      <c r="CE112" s="59">
        <f t="shared" si="94"/>
        <v>171.3469666102674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48.998628011200381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48.998628011200381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167.82976403567059</v>
      </c>
      <c r="T113" s="59">
        <f t="shared" si="88"/>
        <v>232.70925470547317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23.369715331008994</v>
      </c>
      <c r="AA113" s="21">
        <f>EXP(-LN(2)/25)*AA112+(1-EXP(-LN(2)/25))/(LN(2)/25)*Calculateur!V113*Calculateur!X113*VLOOKUP('Données projet'!$B$9,Paramètres!$A$1:$I$89,3,0)*0.475*44/12</f>
        <v>10.355986606607885</v>
      </c>
      <c r="AB113" s="21">
        <f>EXP(-LN(2)/2)*AB112+(1-EXP(-LN(2)/2))/(LN(2)/2)*V113*Y113*VLOOKUP('Données projet'!$B$9,Paramètres!$A$1:$I$89,3,0)*0.475*44/12</f>
        <v>1.0489247373349976E-6</v>
      </c>
      <c r="AC113" s="22">
        <f t="shared" si="57"/>
        <v>33.725702986541613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358.00000000000006</v>
      </c>
      <c r="AJ113" s="13">
        <f>AI113*VLOOKUP('Données projet'!$B$10,Paramètres!$A$1:$I$89,3,0)*VLOOKUP('Données projet'!$B$10,Paramètres!$A$1:$I$89,5,0)</f>
        <v>363.01200000000006</v>
      </c>
      <c r="AK113" s="13">
        <f t="shared" si="89"/>
        <v>84.236098596059009</v>
      </c>
      <c r="AL113" s="20">
        <f t="shared" si="58"/>
        <v>778.95710505480292</v>
      </c>
      <c r="AM113" s="59">
        <f t="shared" si="59"/>
        <v>1058.9184940096488</v>
      </c>
      <c r="AN113" s="59">
        <f ca="1">AVERAGE(OFFSET($AM$3,0,0,'Données projet'!$E$10+1,1))-AVERAGE(OFFSET($H$3,0,0,'Données projet'!$E$10+1,1))</f>
        <v>542.51810435067659</v>
      </c>
      <c r="AO113" s="59">
        <f t="shared" si="90"/>
        <v>325.7263575945085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69.231557008735933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69.231557008735933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358.00000000000006</v>
      </c>
      <c r="BE113" s="13">
        <f>BD113*VLOOKUP('Données projet'!$B$11,Paramètres!$A$1:$I$89,3,0)*VLOOKUP('Données projet'!$B$11,Paramètres!$A$1:$I$89,5,0)</f>
        <v>323.91840000000002</v>
      </c>
      <c r="BF113" s="13">
        <f t="shared" si="91"/>
        <v>76.168074587293091</v>
      </c>
      <c r="BG113" s="20">
        <f t="shared" si="61"/>
        <v>696.81727657286876</v>
      </c>
      <c r="BH113" s="59">
        <f t="shared" si="62"/>
        <v>976.77866552771457</v>
      </c>
      <c r="BI113" s="59">
        <f ca="1">AVERAGE(OFFSET($BH$3,0,0,'Données projet'!$E$11+1,1))-AVERAGE(OFFSET($H$3,0,0,'Données projet'!$E$11+1,1))</f>
        <v>492.39485179035256</v>
      </c>
      <c r="BJ113" s="59">
        <f t="shared" si="92"/>
        <v>297.32483725004124</v>
      </c>
      <c r="BK113" s="15">
        <f>IF(ISNA(VLOOKUP(A113,'Données projet'!$A$87:$I$107,3,0)),0,VLOOKUP(A113,'Données projet'!$A$87:$I$107,3,0))</f>
        <v>19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61.775850869333603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61.775850869333603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-5.6843418860808015E-14</v>
      </c>
      <c r="BZ113" s="13">
        <f>BY113*VLOOKUP('Données projet'!$B$12,Paramètres!$A$1:$I$89,3,0)*VLOOKUP('Données projet'!$B$12,Paramètres!$A$1:$I$89,5,0)</f>
        <v>-5.4092197387944907E-14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260.51631161522039</v>
      </c>
      <c r="CE113" s="59">
        <f t="shared" si="94"/>
        <v>171.3469666102674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48.037794802112813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48.037794802112813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167.82976403567059</v>
      </c>
      <c r="T114" s="59">
        <f t="shared" si="88"/>
        <v>232.70925470547317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22.911449467486783</v>
      </c>
      <c r="AA114" s="21">
        <f>EXP(-LN(2)/25)*AA113+(1-EXP(-LN(2)/25))/(LN(2)/25)*Calculateur!V114*Calculateur!X114*VLOOKUP('Données projet'!$B$9,Paramètres!$A$1:$I$89,3,0)*0.475*44/12</f>
        <v>10.072801608252526</v>
      </c>
      <c r="AB114" s="21">
        <f>EXP(-LN(2)/2)*AB113+(1-EXP(-LN(2)/2))/(LN(2)/2)*V114*Y114*VLOOKUP('Données projet'!$B$9,Paramètres!$A$1:$I$89,3,0)*0.475*44/12</f>
        <v>7.4170179472389498E-7</v>
      </c>
      <c r="AC114" s="22">
        <f t="shared" si="57"/>
        <v>32.984251817441105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311.50000000000006</v>
      </c>
      <c r="AJ114" s="13">
        <f>AI114*VLOOKUP('Données projet'!$B$10,Paramètres!$A$1:$I$89,3,0)*VLOOKUP('Données projet'!$B$10,Paramètres!$A$1:$I$89,5,0)</f>
        <v>315.8610000000001</v>
      </c>
      <c r="AK114" s="13">
        <f t="shared" si="89"/>
        <v>74.491502782151485</v>
      </c>
      <c r="AL114" s="20">
        <f t="shared" si="58"/>
        <v>679.86394234558054</v>
      </c>
      <c r="AM114" s="59">
        <f t="shared" si="59"/>
        <v>960.05730464020417</v>
      </c>
      <c r="AN114" s="59">
        <f ca="1">AVERAGE(OFFSET($AM$3,0,0,'Données projet'!$E$10+1,1))-AVERAGE(OFFSET($H$3,0,0,'Données projet'!$E$10+1,1))</f>
        <v>542.51810435067659</v>
      </c>
      <c r="AO114" s="59">
        <f t="shared" si="90"/>
        <v>325.7263575945085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67.873968402874823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67.873968402874823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311.50000000000006</v>
      </c>
      <c r="BE114" s="13">
        <f>BD114*VLOOKUP('Données projet'!$B$11,Paramètres!$A$1:$I$89,3,0)*VLOOKUP('Données projet'!$B$11,Paramètres!$A$1:$I$89,5,0)</f>
        <v>281.84520000000003</v>
      </c>
      <c r="BF114" s="13">
        <f t="shared" si="91"/>
        <v>67.356803491560484</v>
      </c>
      <c r="BG114" s="20">
        <f t="shared" si="61"/>
        <v>608.19348941446788</v>
      </c>
      <c r="BH114" s="59">
        <f t="shared" si="62"/>
        <v>888.38685170909139</v>
      </c>
      <c r="BI114" s="59">
        <f ca="1">AVERAGE(OFFSET($BH$3,0,0,'Données projet'!$E$11+1,1))-AVERAGE(OFFSET($H$3,0,0,'Données projet'!$E$11+1,1))</f>
        <v>492.39485179035256</v>
      </c>
      <c r="BJ114" s="59">
        <f t="shared" si="92"/>
        <v>297.32483725004124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60.564464113334452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60.564464113334452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-5.6843418860808015E-14</v>
      </c>
      <c r="BZ114" s="13">
        <f>BY114*VLOOKUP('Données projet'!$B$12,Paramètres!$A$1:$I$89,3,0)*VLOOKUP('Données projet'!$B$12,Paramètres!$A$1:$I$89,5,0)</f>
        <v>-5.4092197387944907E-14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260.51631161522039</v>
      </c>
      <c r="CE114" s="59">
        <f t="shared" si="94"/>
        <v>171.3469666102674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47.095802946205062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47.095802946205062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167.82976403567059</v>
      </c>
      <c r="T115" s="59">
        <f t="shared" si="88"/>
        <v>232.70925470547317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22.462169918033666</v>
      </c>
      <c r="AA115" s="21">
        <f>EXP(-LN(2)/25)*AA114+(1-EXP(-LN(2)/25))/(LN(2)/25)*Calculateur!V115*Calculateur!X115*VLOOKUP('Données projet'!$B$9,Paramètres!$A$1:$I$89,3,0)*0.475*44/12</f>
        <v>9.7973603185692451</v>
      </c>
      <c r="AB115" s="21">
        <f>EXP(-LN(2)/2)*AB114+(1-EXP(-LN(2)/2))/(LN(2)/2)*V115*Y115*VLOOKUP('Données projet'!$B$9,Paramètres!$A$1:$I$89,3,0)*0.475*44/12</f>
        <v>5.2446236866749879E-7</v>
      </c>
      <c r="AC115" s="22">
        <f t="shared" si="57"/>
        <v>32.259530761065285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316.00000000000006</v>
      </c>
      <c r="AJ115" s="13">
        <f>AI115*VLOOKUP('Données projet'!$B$10,Paramètres!$A$1:$I$89,3,0)*VLOOKUP('Données projet'!$B$10,Paramètres!$A$1:$I$89,5,0)</f>
        <v>320.42400000000009</v>
      </c>
      <c r="AK115" s="13">
        <f t="shared" si="89"/>
        <v>75.441568308852311</v>
      </c>
      <c r="AL115" s="20">
        <f t="shared" si="58"/>
        <v>689.46586480458461</v>
      </c>
      <c r="AM115" s="59">
        <f t="shared" si="59"/>
        <v>969.88717622015542</v>
      </c>
      <c r="AN115" s="59">
        <f ca="1">AVERAGE(OFFSET($AM$3,0,0,'Données projet'!$E$10+1,1))-AVERAGE(OFFSET($H$3,0,0,'Données projet'!$E$10+1,1))</f>
        <v>542.51810435067659</v>
      </c>
      <c r="AO115" s="59">
        <f t="shared" si="90"/>
        <v>325.7263575945085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66.543001281527353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66.543001281527353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316.00000000000006</v>
      </c>
      <c r="BE115" s="13">
        <f>BD115*VLOOKUP('Données projet'!$B$11,Paramètres!$A$1:$I$89,3,0)*VLOOKUP('Données projet'!$B$11,Paramètres!$A$1:$I$89,5,0)</f>
        <v>285.91680000000008</v>
      </c>
      <c r="BF115" s="13">
        <f t="shared" si="91"/>
        <v>68.215872977287546</v>
      </c>
      <c r="BG115" s="20">
        <f t="shared" si="61"/>
        <v>616.78107210210919</v>
      </c>
      <c r="BH115" s="59">
        <f t="shared" si="62"/>
        <v>897.20238351768012</v>
      </c>
      <c r="BI115" s="59">
        <f ca="1">AVERAGE(OFFSET($BH$3,0,0,'Données projet'!$E$11+1,1))-AVERAGE(OFFSET($H$3,0,0,'Données projet'!$E$11+1,1))</f>
        <v>492.39485179035256</v>
      </c>
      <c r="BJ115" s="59">
        <f t="shared" si="92"/>
        <v>297.32483725004124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59.376831912747484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59.376831912747484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-5.6843418860808015E-14</v>
      </c>
      <c r="BZ115" s="13">
        <f>BY115*VLOOKUP('Données projet'!$B$12,Paramètres!$A$1:$I$89,3,0)*VLOOKUP('Données projet'!$B$12,Paramètres!$A$1:$I$89,5,0)</f>
        <v>-5.4092197387944907E-14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260.51631161522039</v>
      </c>
      <c r="CE115" s="59">
        <f t="shared" si="94"/>
        <v>171.3469666102674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46.172282976033358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46.172282976033358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167.82976403567059</v>
      </c>
      <c r="T116" s="59">
        <f t="shared" si="88"/>
        <v>232.70925470547317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22.021700466511856</v>
      </c>
      <c r="AA116" s="21">
        <f>EXP(-LN(2)/25)*AA115+(1-EXP(-LN(2)/25))/(LN(2)/25)*Calculateur!V116*Calculateur!X116*VLOOKUP('Données projet'!$B$9,Paramètres!$A$1:$I$89,3,0)*0.475*44/12</f>
        <v>9.5294509854371814</v>
      </c>
      <c r="AB116" s="21">
        <f>EXP(-LN(2)/2)*AB115+(1-EXP(-LN(2)/2))/(LN(2)/2)*V116*Y116*VLOOKUP('Données projet'!$B$9,Paramètres!$A$1:$I$89,3,0)*0.475*44/12</f>
        <v>3.7085089736194749E-7</v>
      </c>
      <c r="AC116" s="22">
        <f t="shared" si="57"/>
        <v>31.551151822799937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320.50000000000006</v>
      </c>
      <c r="AJ116" s="13">
        <f>AI116*VLOOKUP('Données projet'!$B$10,Paramètres!$A$1:$I$89,3,0)*VLOOKUP('Données projet'!$B$10,Paramètres!$A$1:$I$89,5,0)</f>
        <v>324.98700000000008</v>
      </c>
      <c r="AK116" s="13">
        <f t="shared" si="89"/>
        <v>76.390060259999458</v>
      </c>
      <c r="AL116" s="20">
        <f t="shared" si="58"/>
        <v>699.06504661949918</v>
      </c>
      <c r="AM116" s="59">
        <f t="shared" si="59"/>
        <v>979.71035274838687</v>
      </c>
      <c r="AN116" s="59">
        <f ca="1">AVERAGE(OFFSET($AM$3,0,0,'Données projet'!$E$10+1,1))-AVERAGE(OFFSET($H$3,0,0,'Données projet'!$E$10+1,1))</f>
        <v>542.51810435067659</v>
      </c>
      <c r="AO116" s="59">
        <f t="shared" si="90"/>
        <v>325.7263575945085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65.238133613619723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65.238133613619723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320.50000000000006</v>
      </c>
      <c r="BE116" s="13">
        <f>BD116*VLOOKUP('Données projet'!$B$11,Paramètres!$A$1:$I$89,3,0)*VLOOKUP('Données projet'!$B$11,Paramètres!$A$1:$I$89,5,0)</f>
        <v>289.98840000000001</v>
      </c>
      <c r="BF116" s="13">
        <f t="shared" si="91"/>
        <v>69.073519602481582</v>
      </c>
      <c r="BG116" s="20">
        <f t="shared" si="61"/>
        <v>625.36617664098867</v>
      </c>
      <c r="BH116" s="59">
        <f t="shared" si="62"/>
        <v>906.01148276987624</v>
      </c>
      <c r="BI116" s="59">
        <f ca="1">AVERAGE(OFFSET($BH$3,0,0,'Données projet'!$E$11+1,1))-AVERAGE(OFFSET($H$3,0,0,'Données projet'!$E$11+1,1))</f>
        <v>492.39485179035256</v>
      </c>
      <c r="BJ116" s="59">
        <f t="shared" si="92"/>
        <v>297.32483725004124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58.212488455229909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58.212488455229909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-5.6843418860808015E-14</v>
      </c>
      <c r="BZ116" s="13">
        <f>BY116*VLOOKUP('Données projet'!$B$12,Paramètres!$A$1:$I$89,3,0)*VLOOKUP('Données projet'!$B$12,Paramètres!$A$1:$I$89,5,0)</f>
        <v>-5.4092197387944907E-14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260.51631161522039</v>
      </c>
      <c r="CE116" s="59">
        <f t="shared" si="94"/>
        <v>171.3469666102674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45.266872669185162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45.266872669185162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167.82976403567059</v>
      </c>
      <c r="T117" s="59">
        <f t="shared" si="88"/>
        <v>232.70925470547317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21.589868352274554</v>
      </c>
      <c r="AA117" s="21">
        <f>EXP(-LN(2)/25)*AA116+(1-EXP(-LN(2)/25))/(LN(2)/25)*Calculateur!V117*Calculateur!X117*VLOOKUP('Données projet'!$B$9,Paramètres!$A$1:$I$89,3,0)*0.475*44/12</f>
        <v>9.2688676471083546</v>
      </c>
      <c r="AB117" s="21">
        <f>EXP(-LN(2)/2)*AB116+(1-EXP(-LN(2)/2))/(LN(2)/2)*V117*Y117*VLOOKUP('Données projet'!$B$9,Paramètres!$A$1:$I$89,3,0)*0.475*44/12</f>
        <v>2.622311843337494E-7</v>
      </c>
      <c r="AC117" s="22">
        <f t="shared" si="57"/>
        <v>30.858736261614094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325.00000000000006</v>
      </c>
      <c r="AJ117" s="13">
        <f>AI117*VLOOKUP('Données projet'!$B$10,Paramètres!$A$1:$I$89,3,0)*VLOOKUP('Données projet'!$B$10,Paramètres!$A$1:$I$89,5,0)</f>
        <v>329.55000000000013</v>
      </c>
      <c r="AK117" s="13">
        <f t="shared" si="89"/>
        <v>77.337003282690645</v>
      </c>
      <c r="AL117" s="20">
        <f t="shared" si="58"/>
        <v>708.661530717353</v>
      </c>
      <c r="AM117" s="59">
        <f t="shared" si="59"/>
        <v>989.52694575205851</v>
      </c>
      <c r="AN117" s="59">
        <f ca="1">AVERAGE(OFFSET($AM$3,0,0,'Données projet'!$E$10+1,1))-AVERAGE(OFFSET($H$3,0,0,'Données projet'!$E$10+1,1))</f>
        <v>542.51810435067659</v>
      </c>
      <c r="AO117" s="59">
        <f t="shared" si="90"/>
        <v>325.7263575945085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63.958853604789077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63.958853604789077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325.00000000000006</v>
      </c>
      <c r="BE117" s="13">
        <f>BD117*VLOOKUP('Données projet'!$B$11,Paramètres!$A$1:$I$89,3,0)*VLOOKUP('Données projet'!$B$11,Paramètres!$A$1:$I$89,5,0)</f>
        <v>294.06000000000006</v>
      </c>
      <c r="BF117" s="13">
        <f t="shared" si="91"/>
        <v>69.929765653573369</v>
      </c>
      <c r="BG117" s="20">
        <f t="shared" si="61"/>
        <v>633.94884184664033</v>
      </c>
      <c r="BH117" s="59">
        <f t="shared" si="62"/>
        <v>914.81425688134573</v>
      </c>
      <c r="BI117" s="59">
        <f ca="1">AVERAGE(OFFSET($BH$3,0,0,'Données projet'!$E$11+1,1))-AVERAGE(OFFSET($H$3,0,0,'Données projet'!$E$11+1,1))</f>
        <v>492.39485179035256</v>
      </c>
      <c r="BJ117" s="59">
        <f t="shared" si="92"/>
        <v>297.32483725004124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57.070977062734869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57.070977062734869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-5.6843418860808015E-14</v>
      </c>
      <c r="BZ117" s="13">
        <f>BY117*VLOOKUP('Données projet'!$B$12,Paramètres!$A$1:$I$89,3,0)*VLOOKUP('Données projet'!$B$12,Paramètres!$A$1:$I$89,5,0)</f>
        <v>-5.4092197387944907E-14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260.51631161522039</v>
      </c>
      <c r="CE117" s="59">
        <f t="shared" si="94"/>
        <v>171.3469666102674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44.379216906208498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44.379216906208498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167.82976403567059</v>
      </c>
      <c r="T118" s="59">
        <f t="shared" si="88"/>
        <v>232.70925470547317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21.166504202405861</v>
      </c>
      <c r="AA118" s="21">
        <f>EXP(-LN(2)/25)*AA117+(1-EXP(-LN(2)/25))/(LN(2)/25)*Calculateur!V118*Calculateur!X118*VLOOKUP('Données projet'!$B$9,Paramètres!$A$1:$I$89,3,0)*0.475*44/12</f>
        <v>9.0154099738696107</v>
      </c>
      <c r="AB118" s="21">
        <f>EXP(-LN(2)/2)*AB117+(1-EXP(-LN(2)/2))/(LN(2)/2)*V118*Y118*VLOOKUP('Données projet'!$B$9,Paramètres!$A$1:$I$89,3,0)*0.475*44/12</f>
        <v>1.8542544868097374E-7</v>
      </c>
      <c r="AC118" s="22">
        <f t="shared" si="57"/>
        <v>30.181914361700919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329.50000000000006</v>
      </c>
      <c r="AJ118" s="13">
        <f>AI118*VLOOKUP('Données projet'!$B$10,Paramètres!$A$1:$I$89,3,0)*VLOOKUP('Données projet'!$B$10,Paramètres!$A$1:$I$89,5,0)</f>
        <v>334.11300000000006</v>
      </c>
      <c r="AK118" s="13">
        <f t="shared" si="89"/>
        <v>78.28242130227801</v>
      </c>
      <c r="AL118" s="20">
        <f t="shared" si="58"/>
        <v>718.25535876813422</v>
      </c>
      <c r="AM118" s="59">
        <f t="shared" si="59"/>
        <v>999.33706431123142</v>
      </c>
      <c r="AN118" s="59">
        <f ca="1">AVERAGE(OFFSET($AM$3,0,0,'Données projet'!$E$10+1,1))-AVERAGE(OFFSET($H$3,0,0,'Données projet'!$E$10+1,1))</f>
        <v>542.51810435067659</v>
      </c>
      <c r="AO118" s="59">
        <f t="shared" si="90"/>
        <v>325.7263575945085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62.704659496647842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62.704659496647842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329.50000000000006</v>
      </c>
      <c r="BE118" s="13">
        <f>BD118*VLOOKUP('Données projet'!$B$11,Paramètres!$A$1:$I$89,3,0)*VLOOKUP('Données projet'!$B$11,Paramètres!$A$1:$I$89,5,0)</f>
        <v>298.13160000000005</v>
      </c>
      <c r="BF118" s="13">
        <f t="shared" si="91"/>
        <v>70.784632764376099</v>
      </c>
      <c r="BG118" s="20">
        <f t="shared" si="61"/>
        <v>642.52910539795516</v>
      </c>
      <c r="BH118" s="59">
        <f t="shared" si="62"/>
        <v>923.61081094105248</v>
      </c>
      <c r="BI118" s="59">
        <f ca="1">AVERAGE(OFFSET($BH$3,0,0,'Données projet'!$E$11+1,1))-AVERAGE(OFFSET($H$3,0,0,'Données projet'!$E$11+1,1))</f>
        <v>492.39485179035256</v>
      </c>
      <c r="BJ118" s="59">
        <f t="shared" si="92"/>
        <v>297.32483725004124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55.951850012393457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55.951850012393457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-5.6843418860808015E-14</v>
      </c>
      <c r="BZ118" s="13">
        <f>BY118*VLOOKUP('Données projet'!$B$12,Paramètres!$A$1:$I$89,3,0)*VLOOKUP('Données projet'!$B$12,Paramètres!$A$1:$I$89,5,0)</f>
        <v>-5.4092197387944907E-14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260.51631161522039</v>
      </c>
      <c r="CE118" s="59">
        <f t="shared" si="94"/>
        <v>171.3469666102674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43.508967531327258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43.508967531327258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167.82976403567059</v>
      </c>
      <c r="T119" s="59">
        <f t="shared" si="88"/>
        <v>232.70925470547317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20.751441965289459</v>
      </c>
      <c r="AA119" s="21">
        <f>EXP(-LN(2)/25)*AA118+(1-EXP(-LN(2)/25))/(LN(2)/25)*Calculateur!V119*Calculateur!X119*VLOOKUP('Données projet'!$B$9,Paramètres!$A$1:$I$89,3,0)*0.475*44/12</f>
        <v>8.76888311403434</v>
      </c>
      <c r="AB119" s="21">
        <f>EXP(-LN(2)/2)*AB118+(1-EXP(-LN(2)/2))/(LN(2)/2)*V119*Y119*VLOOKUP('Données projet'!$B$9,Paramètres!$A$1:$I$89,3,0)*0.475*44/12</f>
        <v>1.311155921668747E-7</v>
      </c>
      <c r="AC119" s="22">
        <f t="shared" si="57"/>
        <v>29.520325210439388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334.00000000000006</v>
      </c>
      <c r="AJ119" s="13">
        <f>AI119*VLOOKUP('Données projet'!$B$10,Paramètres!$A$1:$I$89,3,0)*VLOOKUP('Données projet'!$B$10,Paramètres!$A$1:$I$89,5,0)</f>
        <v>338.6760000000001</v>
      </c>
      <c r="AK119" s="13">
        <f t="shared" si="89"/>
        <v>79.226337553065719</v>
      </c>
      <c r="AL119" s="20">
        <f t="shared" si="58"/>
        <v>727.84657123825627</v>
      </c>
      <c r="AM119" s="59">
        <f t="shared" si="59"/>
        <v>1009.1408151329778</v>
      </c>
      <c r="AN119" s="59">
        <f ca="1">AVERAGE(OFFSET($AM$3,0,0,'Données projet'!$E$10+1,1))-AVERAGE(OFFSET($H$3,0,0,'Données projet'!$E$10+1,1))</f>
        <v>542.51810435067659</v>
      </c>
      <c r="AO119" s="59">
        <f t="shared" si="90"/>
        <v>325.7263575945085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61.475059369984386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61.475059369984386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334.00000000000006</v>
      </c>
      <c r="BE119" s="13">
        <f>BD119*VLOOKUP('Données projet'!$B$11,Paramètres!$A$1:$I$89,3,0)*VLOOKUP('Données projet'!$B$11,Paramètres!$A$1:$I$89,5,0)</f>
        <v>302.20320000000004</v>
      </c>
      <c r="BF119" s="13">
        <f t="shared" si="91"/>
        <v>71.638141943842299</v>
      </c>
      <c r="BG119" s="20">
        <f t="shared" si="61"/>
        <v>651.10700388552539</v>
      </c>
      <c r="BH119" s="59">
        <f t="shared" si="62"/>
        <v>932.40124778024688</v>
      </c>
      <c r="BI119" s="59">
        <f ca="1">AVERAGE(OFFSET($BH$3,0,0,'Données projet'!$E$11+1,1))-AVERAGE(OFFSET($H$3,0,0,'Données projet'!$E$11+1,1))</f>
        <v>492.39485179035256</v>
      </c>
      <c r="BJ119" s="59">
        <f t="shared" si="92"/>
        <v>297.32483725004124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54.854668360909145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54.854668360909145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-5.6843418860808015E-14</v>
      </c>
      <c r="BZ119" s="13">
        <f>BY119*VLOOKUP('Données projet'!$B$12,Paramètres!$A$1:$I$89,3,0)*VLOOKUP('Données projet'!$B$12,Paramètres!$A$1:$I$89,5,0)</f>
        <v>-5.4092197387944907E-14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260.51631161522039</v>
      </c>
      <c r="CE119" s="59">
        <f t="shared" si="94"/>
        <v>171.3469666102674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42.65578321588773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42.65578321588773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167.82976403567059</v>
      </c>
      <c r="T120" s="59">
        <f t="shared" si="88"/>
        <v>232.70925470547317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20.344518845479943</v>
      </c>
      <c r="AA120" s="21">
        <f>EXP(-LN(2)/25)*AA119+(1-EXP(-LN(2)/25))/(LN(2)/25)*Calculateur!V120*Calculateur!X120*VLOOKUP('Données projet'!$B$9,Paramètres!$A$1:$I$89,3,0)*0.475*44/12</f>
        <v>8.5290975441455501</v>
      </c>
      <c r="AB120" s="21">
        <f>EXP(-LN(2)/2)*AB119+(1-EXP(-LN(2)/2))/(LN(2)/2)*V120*Y120*VLOOKUP('Données projet'!$B$9,Paramètres!$A$1:$I$89,3,0)*0.475*44/12</f>
        <v>9.2712724340486872E-8</v>
      </c>
      <c r="AC120" s="22">
        <f t="shared" si="57"/>
        <v>28.873616482338218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338.50000000000006</v>
      </c>
      <c r="AJ120" s="13">
        <f>AI120*VLOOKUP('Données projet'!$B$10,Paramètres!$A$1:$I$89,3,0)*VLOOKUP('Données projet'!$B$10,Paramètres!$A$1:$I$89,5,0)</f>
        <v>343.23900000000009</v>
      </c>
      <c r="AK120" s="13">
        <f t="shared" si="89"/>
        <v>80.168774607305807</v>
      </c>
      <c r="AL120" s="20">
        <f t="shared" si="58"/>
        <v>737.43520744105774</v>
      </c>
      <c r="AM120" s="59">
        <f t="shared" si="59"/>
        <v>1018.9383026221674</v>
      </c>
      <c r="AN120" s="59">
        <f ca="1">AVERAGE(OFFSET($AM$3,0,0,'Données projet'!$E$10+1,1))-AVERAGE(OFFSET($H$3,0,0,'Données projet'!$E$10+1,1))</f>
        <v>542.51810435067659</v>
      </c>
      <c r="AO120" s="59">
        <f t="shared" si="90"/>
        <v>325.7263575945085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60.269570951822779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60.269570951822779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338.50000000000006</v>
      </c>
      <c r="BE120" s="13">
        <f>BD120*VLOOKUP('Données projet'!$B$11,Paramètres!$A$1:$I$89,3,0)*VLOOKUP('Données projet'!$B$11,Paramètres!$A$1:$I$89,5,0)</f>
        <v>306.27480000000003</v>
      </c>
      <c r="BF120" s="13">
        <f t="shared" si="91"/>
        <v>72.490313602283052</v>
      </c>
      <c r="BG120" s="20">
        <f t="shared" si="61"/>
        <v>659.68257285730954</v>
      </c>
      <c r="BH120" s="59">
        <f t="shared" si="62"/>
        <v>941.18566803841918</v>
      </c>
      <c r="BI120" s="59">
        <f ca="1">AVERAGE(OFFSET($BH$3,0,0,'Données projet'!$E$11+1,1))-AVERAGE(OFFSET($H$3,0,0,'Données projet'!$E$11+1,1))</f>
        <v>492.39485179035256</v>
      </c>
      <c r="BJ120" s="59">
        <f t="shared" si="92"/>
        <v>297.32483725004124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53.779001772395709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53.779001772395709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-5.6843418860808015E-14</v>
      </c>
      <c r="BZ120" s="13">
        <f>BY120*VLOOKUP('Données projet'!$B$12,Paramètres!$A$1:$I$89,3,0)*VLOOKUP('Données projet'!$B$12,Paramètres!$A$1:$I$89,5,0)</f>
        <v>-5.4092197387944907E-14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260.51631161522039</v>
      </c>
      <c r="CE120" s="59">
        <f t="shared" si="94"/>
        <v>171.3469666102674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41.819329324482922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41.819329324482922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167.82976403567059</v>
      </c>
      <c r="T121" s="59">
        <f t="shared" si="88"/>
        <v>232.70925470547317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19.945575239851298</v>
      </c>
      <c r="AA121" s="21">
        <f>EXP(-LN(2)/25)*AA120+(1-EXP(-LN(2)/25))/(LN(2)/25)*Calculateur!V121*Calculateur!X121*VLOOKUP('Données projet'!$B$9,Paramètres!$A$1:$I$89,3,0)*0.475*44/12</f>
        <v>8.2958689232751439</v>
      </c>
      <c r="AB121" s="21">
        <f>EXP(-LN(2)/2)*AB120+(1-EXP(-LN(2)/2))/(LN(2)/2)*V121*Y121*VLOOKUP('Données projet'!$B$9,Paramètres!$A$1:$I$89,3,0)*0.475*44/12</f>
        <v>6.5557796083437349E-8</v>
      </c>
      <c r="AC121" s="22">
        <f t="shared" si="57"/>
        <v>28.241444228684237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343.00000000000006</v>
      </c>
      <c r="AJ121" s="13">
        <f>AI121*VLOOKUP('Données projet'!$B$10,Paramètres!$A$1:$I$89,3,0)*VLOOKUP('Données projet'!$B$10,Paramètres!$A$1:$I$89,5,0)</f>
        <v>347.80200000000008</v>
      </c>
      <c r="AK121" s="13">
        <f t="shared" si="89"/>
        <v>81.109754402608573</v>
      </c>
      <c r="AL121" s="20">
        <f t="shared" si="58"/>
        <v>747.02130558454337</v>
      </c>
      <c r="AM121" s="59">
        <f t="shared" si="59"/>
        <v>1028.7296289491437</v>
      </c>
      <c r="AN121" s="59">
        <f ca="1">AVERAGE(OFFSET($AM$3,0,0,'Données projet'!$E$10+1,1))-AVERAGE(OFFSET($H$3,0,0,'Données projet'!$E$10+1,1))</f>
        <v>542.51810435067659</v>
      </c>
      <c r="AO121" s="59">
        <f t="shared" si="90"/>
        <v>325.7263575945085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59.087721426265986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59.087721426265986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343.00000000000006</v>
      </c>
      <c r="BE121" s="13">
        <f>BD121*VLOOKUP('Données projet'!$B$11,Paramètres!$A$1:$I$89,3,0)*VLOOKUP('Données projet'!$B$11,Paramètres!$A$1:$I$89,5,0)</f>
        <v>310.34640000000007</v>
      </c>
      <c r="BF121" s="13">
        <f t="shared" si="91"/>
        <v>73.341167576153055</v>
      </c>
      <c r="BG121" s="20">
        <f t="shared" si="61"/>
        <v>668.25584686180002</v>
      </c>
      <c r="BH121" s="59">
        <f t="shared" si="62"/>
        <v>949.96417022640048</v>
      </c>
      <c r="BI121" s="59">
        <f ca="1">AVERAGE(OFFSET($BH$3,0,0,'Données projet'!$E$11+1,1))-AVERAGE(OFFSET($H$3,0,0,'Données projet'!$E$11+1,1))</f>
        <v>492.39485179035256</v>
      </c>
      <c r="BJ121" s="59">
        <f t="shared" si="92"/>
        <v>297.32483725004124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52.724428349591186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52.724428349591186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-5.6843418860808015E-14</v>
      </c>
      <c r="BZ121" s="13">
        <f>BY121*VLOOKUP('Données projet'!$B$12,Paramètres!$A$1:$I$89,3,0)*VLOOKUP('Données projet'!$B$12,Paramètres!$A$1:$I$89,5,0)</f>
        <v>-5.4092197387944907E-14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260.51631161522039</v>
      </c>
      <c r="CE121" s="59">
        <f t="shared" si="94"/>
        <v>171.3469666102674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40.999277783702063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40.999277783702063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167.82976403567059</v>
      </c>
      <c r="T122" s="59">
        <f t="shared" si="88"/>
        <v>232.70925470547317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19.554454674997459</v>
      </c>
      <c r="AA122" s="21">
        <f>EXP(-LN(2)/25)*AA121+(1-EXP(-LN(2)/25))/(LN(2)/25)*Calculateur!V122*Calculateur!X122*VLOOKUP('Données projet'!$B$9,Paramètres!$A$1:$I$89,3,0)*0.475*44/12</f>
        <v>8.0690179513073996</v>
      </c>
      <c r="AB122" s="21">
        <f>EXP(-LN(2)/2)*AB121+(1-EXP(-LN(2)/2))/(LN(2)/2)*V122*Y122*VLOOKUP('Données projet'!$B$9,Paramètres!$A$1:$I$89,3,0)*0.475*44/12</f>
        <v>4.6356362170243436E-8</v>
      </c>
      <c r="AC122" s="22">
        <f t="shared" si="57"/>
        <v>27.623472672661222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347.50000000000006</v>
      </c>
      <c r="AJ122" s="13">
        <f>AI122*VLOOKUP('Données projet'!$B$10,Paramètres!$A$1:$I$89,3,0)*VLOOKUP('Données projet'!$B$10,Paramètres!$A$1:$I$89,5,0)</f>
        <v>352.36500000000012</v>
      </c>
      <c r="AK122" s="13">
        <f t="shared" si="89"/>
        <v>82.049298267873581</v>
      </c>
      <c r="AL122" s="20">
        <f t="shared" si="58"/>
        <v>756.60490281654677</v>
      </c>
      <c r="AM122" s="59">
        <f t="shared" si="59"/>
        <v>1038.514894114476</v>
      </c>
      <c r="AN122" s="59">
        <f ca="1">AVERAGE(OFFSET($AM$3,0,0,'Données projet'!$E$10+1,1))-AVERAGE(OFFSET($H$3,0,0,'Données projet'!$E$10+1,1))</f>
        <v>542.51810435067659</v>
      </c>
      <c r="AO122" s="59">
        <f t="shared" si="90"/>
        <v>325.7263575945085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57.929047249048331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57.929047249048331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347.50000000000006</v>
      </c>
      <c r="BE122" s="13">
        <f>BD122*VLOOKUP('Données projet'!$B$11,Paramètres!$A$1:$I$89,3,0)*VLOOKUP('Données projet'!$B$11,Paramètres!$A$1:$I$89,5,0)</f>
        <v>314.41800000000001</v>
      </c>
      <c r="BF122" s="13">
        <f t="shared" si="91"/>
        <v>74.190723151497338</v>
      </c>
      <c r="BG122" s="20">
        <f t="shared" si="61"/>
        <v>676.82685948885785</v>
      </c>
      <c r="BH122" s="59">
        <f t="shared" si="62"/>
        <v>958.73685078678704</v>
      </c>
      <c r="BI122" s="59">
        <f ca="1">AVERAGE(OFFSET($BH$3,0,0,'Données projet'!$E$11+1,1))-AVERAGE(OFFSET($H$3,0,0,'Données projet'!$E$11+1,1))</f>
        <v>492.39485179035256</v>
      </c>
      <c r="BJ122" s="59">
        <f t="shared" si="92"/>
        <v>297.32483725004124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51.690534468381585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51.690534468381585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-5.6843418860808015E-14</v>
      </c>
      <c r="BZ122" s="13">
        <f>BY122*VLOOKUP('Données projet'!$B$12,Paramètres!$A$1:$I$89,3,0)*VLOOKUP('Données projet'!$B$12,Paramètres!$A$1:$I$89,5,0)</f>
        <v>-5.4092197387944907E-14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260.51631161522039</v>
      </c>
      <c r="CE122" s="59">
        <f t="shared" si="94"/>
        <v>171.3469666102674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40.195306953453866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40.195306953453866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167.82976403567059</v>
      </c>
      <c r="T123" s="59">
        <f t="shared" si="88"/>
        <v>232.70925470547317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19.171003745860414</v>
      </c>
      <c r="AA123" s="21">
        <f>EXP(-LN(2)/25)*AA122+(1-EXP(-LN(2)/25))/(LN(2)/25)*Calculateur!V123*Calculateur!X123*VLOOKUP('Données projet'!$B$9,Paramètres!$A$1:$I$89,3,0)*0.475*44/12</f>
        <v>7.8483702310976868</v>
      </c>
      <c r="AB123" s="21">
        <f>EXP(-LN(2)/2)*AB122+(1-EXP(-LN(2)/2))/(LN(2)/2)*V123*Y123*VLOOKUP('Données projet'!$B$9,Paramètres!$A$1:$I$89,3,0)*0.475*44/12</f>
        <v>3.2778898041718675E-8</v>
      </c>
      <c r="AC123" s="22">
        <f t="shared" si="57"/>
        <v>27.019374009737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352.00000000000006</v>
      </c>
      <c r="AJ123" s="13">
        <f>AI123*VLOOKUP('Données projet'!$B$10,Paramètres!$A$1:$I$89,3,0)*VLOOKUP('Données projet'!$B$10,Paramètres!$A$1:$I$89,5,0)</f>
        <v>356.92800000000005</v>
      </c>
      <c r="AK123" s="13">
        <f t="shared" si="89"/>
        <v>82.987426947838998</v>
      </c>
      <c r="AL123" s="20">
        <f t="shared" si="58"/>
        <v>766.18603526748632</v>
      </c>
      <c r="AM123" s="59">
        <f t="shared" si="59"/>
        <v>1048.2941960109629</v>
      </c>
      <c r="AN123" s="59">
        <f ca="1">AVERAGE(OFFSET($AM$3,0,0,'Données projet'!$E$10+1,1))-AVERAGE(OFFSET($H$3,0,0,'Données projet'!$E$10+1,1))</f>
        <v>542.51810435067659</v>
      </c>
      <c r="AO123" s="59">
        <f t="shared" si="90"/>
        <v>325.7263575945085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352</v>
      </c>
      <c r="AR123" s="16">
        <f>IF(ISNA(VLOOKUP(A123,'Données projet'!$A$61:$I$81,5,0)),0%,VLOOKUP(A123,'Données projet'!$A$61:$I$81,5,0)*VLOOKUP('Données projet'!$B$10,Paramètres!$A$1:$I$89,7,0))</f>
        <v>0.38700000000000001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209.49297330496202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209.49297330496202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352.00000000000006</v>
      </c>
      <c r="BE123" s="13">
        <f>BD123*VLOOKUP('Données projet'!$B$11,Paramètres!$A$1:$I$89,3,0)*VLOOKUP('Données projet'!$B$11,Paramètres!$A$1:$I$89,5,0)</f>
        <v>318.48960000000005</v>
      </c>
      <c r="BF123" s="13">
        <f t="shared" si="91"/>
        <v>75.038999086150298</v>
      </c>
      <c r="BG123" s="20">
        <f t="shared" si="61"/>
        <v>685.39564340837842</v>
      </c>
      <c r="BH123" s="59">
        <f t="shared" si="62"/>
        <v>967.50380415185509</v>
      </c>
      <c r="BI123" s="59">
        <f ca="1">AVERAGE(OFFSET($BH$3,0,0,'Données projet'!$E$11+1,1))-AVERAGE(OFFSET($H$3,0,0,'Données projet'!$E$11+1,1))</f>
        <v>492.39485179035256</v>
      </c>
      <c r="BJ123" s="59">
        <f t="shared" si="92"/>
        <v>297.32483725004124</v>
      </c>
      <c r="BK123" s="15">
        <f>IF(ISNA(VLOOKUP(A123,'Données projet'!$A$87:$I$107,3,0)),0,VLOOKUP(A123,'Données projet'!$A$87:$I$107,3,0))</f>
        <v>21</v>
      </c>
      <c r="BL123" s="15">
        <f>IF(ISNA(VLOOKUP(A123,'Données projet'!$A$87:$I$107,4,0)),0,VLOOKUP(A123,'Données projet'!$A$87:$I$107,4,0))</f>
        <v>352</v>
      </c>
      <c r="BM123" s="16">
        <f>IF(ISNA(VLOOKUP(A123,'Données projet'!$A$87:$I$107,5,0)),0%,VLOOKUP(A123,'Données projet'!$A$87:$I$107,5,0)*VLOOKUP('Données projet'!$B$11,Paramètres!$A$1:$I$89,7,0))</f>
        <v>0.38700000000000001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186.9321915644276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186.9321915644276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-5.6843418860808015E-14</v>
      </c>
      <c r="BZ123" s="13">
        <f>BY123*VLOOKUP('Données projet'!$B$12,Paramètres!$A$1:$I$89,3,0)*VLOOKUP('Données projet'!$B$12,Paramètres!$A$1:$I$89,5,0)</f>
        <v>-5.4092197387944907E-14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260.51631161522039</v>
      </c>
      <c r="CE123" s="59">
        <f t="shared" si="94"/>
        <v>171.3469666102674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39.407101500813049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39.407101500813049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167.82976403567059</v>
      </c>
      <c r="T124" s="59">
        <f t="shared" si="88"/>
        <v>232.70925470547317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18.795072055561771</v>
      </c>
      <c r="AA124" s="21">
        <f>EXP(-LN(2)/25)*AA123+(1-EXP(-LN(2)/25))/(LN(2)/25)*Calculateur!V124*Calculateur!X124*VLOOKUP('Données projet'!$B$9,Paramètres!$A$1:$I$89,3,0)*0.475*44/12</f>
        <v>7.6337561344004676</v>
      </c>
      <c r="AB124" s="21">
        <f>EXP(-LN(2)/2)*AB123+(1-EXP(-LN(2)/2))/(LN(2)/2)*V124*Y124*VLOOKUP('Données projet'!$B$9,Paramètres!$A$1:$I$89,3,0)*0.475*44/12</f>
        <v>2.3178181085121718E-8</v>
      </c>
      <c r="AC124" s="22">
        <f t="shared" si="57"/>
        <v>26.42882821314042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5.7639226724859328E-14</v>
      </c>
      <c r="AK124" s="13">
        <f t="shared" si="89"/>
        <v>9.2325701996134334E-13</v>
      </c>
      <c r="AL124" s="20">
        <f t="shared" si="58"/>
        <v>1.708394296311803E-12</v>
      </c>
      <c r="AM124" s="59">
        <f t="shared" si="59"/>
        <v>282.3028923921861</v>
      </c>
      <c r="AN124" s="59">
        <f ca="1">AVERAGE(OFFSET($AM$3,0,0,'Données projet'!$E$10+1,1))-AVERAGE(OFFSET($H$3,0,0,'Données projet'!$E$10+1,1))</f>
        <v>542.51810435067659</v>
      </c>
      <c r="AO124" s="59">
        <f t="shared" si="90"/>
        <v>325.7263575945085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205.38494387654839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205.38494387654839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5.1431925385259088E-14</v>
      </c>
      <c r="BF124" s="13">
        <f t="shared" si="91"/>
        <v>8.3482866290946129E-13</v>
      </c>
      <c r="BG124" s="20">
        <f t="shared" si="61"/>
        <v>1.5435705246133045E-12</v>
      </c>
      <c r="BH124" s="59">
        <f t="shared" si="62"/>
        <v>282.30289239218592</v>
      </c>
      <c r="BI124" s="59">
        <f ca="1">AVERAGE(OFFSET($BH$3,0,0,'Données projet'!$E$11+1,1))-AVERAGE(OFFSET($H$3,0,0,'Données projet'!$E$11+1,1))</f>
        <v>492.39485179035256</v>
      </c>
      <c r="BJ124" s="59">
        <f t="shared" si="92"/>
        <v>297.32483725004124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183.26656530522774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183.26656530522774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-5.4092197387944907E-14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260.51631161522039</v>
      </c>
      <c r="CE124" s="59">
        <f t="shared" si="94"/>
        <v>171.3469666102674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38.634352276340664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38.634352276340664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167.82976403567059</v>
      </c>
      <c r="T125" s="59">
        <f t="shared" si="88"/>
        <v>232.70925470547317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18.426512156414198</v>
      </c>
      <c r="AA125" s="21">
        <f>EXP(-LN(2)/25)*AA124+(1-EXP(-LN(2)/25))/(LN(2)/25)*Calculateur!V125*Calculateur!X125*VLOOKUP('Données projet'!$B$9,Paramètres!$A$1:$I$89,3,0)*0.475*44/12</f>
        <v>7.4250106714634994</v>
      </c>
      <c r="AB125" s="21">
        <f>EXP(-LN(2)/2)*AB124+(1-EXP(-LN(2)/2))/(LN(2)/2)*V125*Y125*VLOOKUP('Données projet'!$B$9,Paramètres!$A$1:$I$89,3,0)*0.475*44/12</f>
        <v>1.6389449020859337E-8</v>
      </c>
      <c r="AC125" s="22">
        <f t="shared" si="57"/>
        <v>25.851522844267148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5.7639226724859328E-14</v>
      </c>
      <c r="AK125" s="13">
        <f t="shared" si="89"/>
        <v>9.2325701996134334E-13</v>
      </c>
      <c r="AL125" s="20">
        <f t="shared" si="58"/>
        <v>1.708394296311803E-12</v>
      </c>
      <c r="AM125" s="59">
        <f t="shared" si="59"/>
        <v>282.4942458821435</v>
      </c>
      <c r="AN125" s="59">
        <f ca="1">AVERAGE(OFFSET($AM$3,0,0,'Données projet'!$E$10+1,1))-AVERAGE(OFFSET($H$3,0,0,'Données projet'!$E$10+1,1))</f>
        <v>542.51810435067659</v>
      </c>
      <c r="AO125" s="59">
        <f t="shared" si="90"/>
        <v>325.7263575945085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201.35747039957542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201.35747039957542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5.1431925385259088E-14</v>
      </c>
      <c r="BF125" s="13">
        <f t="shared" si="91"/>
        <v>8.3482866290946129E-13</v>
      </c>
      <c r="BG125" s="20">
        <f t="shared" si="61"/>
        <v>1.5435705246133045E-12</v>
      </c>
      <c r="BH125" s="59">
        <f t="shared" si="62"/>
        <v>282.49424588214333</v>
      </c>
      <c r="BI125" s="59">
        <f ca="1">AVERAGE(OFFSET($BH$3,0,0,'Données projet'!$E$11+1,1))-AVERAGE(OFFSET($H$3,0,0,'Données projet'!$E$11+1,1))</f>
        <v>492.39485179035256</v>
      </c>
      <c r="BJ125" s="59">
        <f t="shared" si="92"/>
        <v>297.32483725004124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179.67281974115954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179.67281974115954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-5.4092197387944907E-14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260.51631161522039</v>
      </c>
      <c r="CE125" s="59">
        <f t="shared" si="94"/>
        <v>171.3469666102674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37.876756192829696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37.876756192829696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167.82976403567059</v>
      </c>
      <c r="T126" s="59">
        <f t="shared" si="88"/>
        <v>232.70925470547317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18.065179492089566</v>
      </c>
      <c r="AA126" s="21">
        <f>EXP(-LN(2)/25)*AA125+(1-EXP(-LN(2)/25))/(LN(2)/25)*Calculateur!V126*Calculateur!X126*VLOOKUP('Données projet'!$B$9,Paramètres!$A$1:$I$89,3,0)*0.475*44/12</f>
        <v>7.2219733641879884</v>
      </c>
      <c r="AB126" s="21">
        <f>EXP(-LN(2)/2)*AB125+(1-EXP(-LN(2)/2))/(LN(2)/2)*V126*Y126*VLOOKUP('Données projet'!$B$9,Paramètres!$A$1:$I$89,3,0)*0.475*44/12</f>
        <v>1.1589090542560859E-8</v>
      </c>
      <c r="AC126" s="22">
        <f t="shared" si="57"/>
        <v>25.287152867866645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5.7639226724859328E-14</v>
      </c>
      <c r="AK126" s="13">
        <f t="shared" si="89"/>
        <v>9.2325701996134334E-13</v>
      </c>
      <c r="AL126" s="20">
        <f t="shared" si="58"/>
        <v>1.708394296311803E-12</v>
      </c>
      <c r="AM126" s="59">
        <f t="shared" si="59"/>
        <v>282.68227981685237</v>
      </c>
      <c r="AN126" s="59">
        <f ca="1">AVERAGE(OFFSET($AM$3,0,0,'Données projet'!$E$10+1,1))-AVERAGE(OFFSET($H$3,0,0,'Données projet'!$E$10+1,1))</f>
        <v>542.51810435067659</v>
      </c>
      <c r="AO126" s="59">
        <f t="shared" si="90"/>
        <v>325.7263575945085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197.40897322096961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197.40897322096961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5.1431925385259088E-14</v>
      </c>
      <c r="BF126" s="13">
        <f t="shared" si="91"/>
        <v>8.3482866290946129E-13</v>
      </c>
      <c r="BG126" s="20">
        <f t="shared" si="61"/>
        <v>1.5435705246133045E-12</v>
      </c>
      <c r="BH126" s="59">
        <f t="shared" si="62"/>
        <v>282.6822798168522</v>
      </c>
      <c r="BI126" s="59">
        <f ca="1">AVERAGE(OFFSET($BH$3,0,0,'Données projet'!$E$11+1,1))-AVERAGE(OFFSET($H$3,0,0,'Données projet'!$E$11+1,1))</f>
        <v>492.39485179035256</v>
      </c>
      <c r="BJ126" s="59">
        <f t="shared" si="92"/>
        <v>297.32483725004124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176.14954533563437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176.14954533563437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-5.4092197387944907E-14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260.51631161522039</v>
      </c>
      <c r="CE126" s="59">
        <f t="shared" si="94"/>
        <v>171.3469666102674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37.134016106428398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37.134016106428398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167.82976403567059</v>
      </c>
      <c r="T127" s="59">
        <f t="shared" si="88"/>
        <v>232.70925470547317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17.710932340921175</v>
      </c>
      <c r="AA127" s="21">
        <f>EXP(-LN(2)/25)*AA126+(1-EXP(-LN(2)/25))/(LN(2)/25)*Calculateur!V127*Calculateur!X127*VLOOKUP('Données projet'!$B$9,Paramètres!$A$1:$I$89,3,0)*0.475*44/12</f>
        <v>7.0244881227571945</v>
      </c>
      <c r="AB127" s="21">
        <f>EXP(-LN(2)/2)*AB126+(1-EXP(-LN(2)/2))/(LN(2)/2)*V127*Y127*VLOOKUP('Données projet'!$B$9,Paramètres!$A$1:$I$89,3,0)*0.475*44/12</f>
        <v>8.1947245104296687E-9</v>
      </c>
      <c r="AC127" s="22">
        <f t="shared" si="57"/>
        <v>24.735420471873095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5.7639226724859328E-14</v>
      </c>
      <c r="AK127" s="13">
        <f t="shared" si="89"/>
        <v>9.2325701996134334E-13</v>
      </c>
      <c r="AL127" s="20">
        <f t="shared" si="58"/>
        <v>1.708394296311803E-12</v>
      </c>
      <c r="AM127" s="59">
        <f t="shared" si="59"/>
        <v>282.86705178317504</v>
      </c>
      <c r="AN127" s="59">
        <f ca="1">AVERAGE(OFFSET($AM$3,0,0,'Données projet'!$E$10+1,1))-AVERAGE(OFFSET($H$3,0,0,'Données projet'!$E$10+1,1))</f>
        <v>542.51810435067659</v>
      </c>
      <c r="AO127" s="59">
        <f t="shared" si="90"/>
        <v>325.7263575945085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193.5379036636908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193.5379036636908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5.1431925385259088E-14</v>
      </c>
      <c r="BF127" s="13">
        <f t="shared" si="91"/>
        <v>8.3482866290946129E-13</v>
      </c>
      <c r="BG127" s="20">
        <f t="shared" si="61"/>
        <v>1.5435705246133045E-12</v>
      </c>
      <c r="BH127" s="59">
        <f t="shared" si="62"/>
        <v>282.86705178317487</v>
      </c>
      <c r="BI127" s="59">
        <f ca="1">AVERAGE(OFFSET($BH$3,0,0,'Données projet'!$E$11+1,1))-AVERAGE(OFFSET($H$3,0,0,'Données projet'!$E$11+1,1))</f>
        <v>492.39485179035256</v>
      </c>
      <c r="BJ127" s="59">
        <f t="shared" si="92"/>
        <v>297.32483725004124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172.69536019221636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172.69536019221636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-5.4092197387944907E-14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260.51631161522039</v>
      </c>
      <c r="CE127" s="59">
        <f t="shared" si="94"/>
        <v>171.3469666102674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36.405840700094707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36.405840700094707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167.82976403567059</v>
      </c>
      <c r="T128" s="59">
        <f t="shared" si="88"/>
        <v>232.70925470547317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17.363631760317769</v>
      </c>
      <c r="AA128" s="21">
        <f>EXP(-LN(2)/25)*AA127+(1-EXP(-LN(2)/25))/(LN(2)/25)*Calculateur!V128*Calculateur!X128*VLOOKUP('Données projet'!$B$9,Paramètres!$A$1:$I$89,3,0)*0.475*44/12</f>
        <v>6.8324031256386233</v>
      </c>
      <c r="AB128" s="21">
        <f>EXP(-LN(2)/2)*AB127+(1-EXP(-LN(2)/2))/(LN(2)/2)*V128*Y128*VLOOKUP('Données projet'!$B$9,Paramètres!$A$1:$I$89,3,0)*0.475*44/12</f>
        <v>5.7945452712804295E-9</v>
      </c>
      <c r="AC128" s="22">
        <f t="shared" si="57"/>
        <v>24.196034891750937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5.7639226724859328E-14</v>
      </c>
      <c r="AK128" s="13">
        <f t="shared" si="89"/>
        <v>9.2325701996134334E-13</v>
      </c>
      <c r="AL128" s="20">
        <f t="shared" si="58"/>
        <v>1.708394296311803E-12</v>
      </c>
      <c r="AM128" s="59">
        <f t="shared" si="59"/>
        <v>283.04861836897021</v>
      </c>
      <c r="AN128" s="59">
        <f ca="1">AVERAGE(OFFSET($AM$3,0,0,'Données projet'!$E$10+1,1))-AVERAGE(OFFSET($H$3,0,0,'Données projet'!$E$10+1,1))</f>
        <v>542.51810435067659</v>
      </c>
      <c r="AO128" s="59">
        <f t="shared" si="90"/>
        <v>325.7263575945085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189.74274341931093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189.74274341931093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5.1431925385259088E-14</v>
      </c>
      <c r="BF128" s="13">
        <f t="shared" si="91"/>
        <v>8.3482866290946129E-13</v>
      </c>
      <c r="BG128" s="20">
        <f t="shared" si="61"/>
        <v>1.5435705246133045E-12</v>
      </c>
      <c r="BH128" s="59">
        <f t="shared" si="62"/>
        <v>283.04861836897004</v>
      </c>
      <c r="BI128" s="59">
        <f ca="1">AVERAGE(OFFSET($BH$3,0,0,'Données projet'!$E$11+1,1))-AVERAGE(OFFSET($H$3,0,0,'Données projet'!$E$11+1,1))</f>
        <v>492.39485179035256</v>
      </c>
      <c r="BJ128" s="59">
        <f t="shared" si="92"/>
        <v>297.32483725004124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169.30890951261586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169.30890951261586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-5.4092197387944907E-14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260.51631161522039</v>
      </c>
      <c r="CE128" s="59">
        <f t="shared" si="94"/>
        <v>171.3469666102674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35.691944369336078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35.691944369336078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167.82976403567059</v>
      </c>
      <c r="T129" s="59">
        <f t="shared" si="88"/>
        <v>232.70925470547317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17.023141532267559</v>
      </c>
      <c r="AA129" s="21">
        <f>EXP(-LN(2)/25)*AA128+(1-EXP(-LN(2)/25))/(LN(2)/25)*Calculateur!V129*Calculateur!X129*VLOOKUP('Données projet'!$B$9,Paramètres!$A$1:$I$89,3,0)*0.475*44/12</f>
        <v>6.6455707028675706</v>
      </c>
      <c r="AB129" s="21">
        <f>EXP(-LN(2)/2)*AB128+(1-EXP(-LN(2)/2))/(LN(2)/2)*V129*Y129*VLOOKUP('Données projet'!$B$9,Paramètres!$A$1:$I$89,3,0)*0.475*44/12</f>
        <v>4.0973622552148343E-9</v>
      </c>
      <c r="AC129" s="22">
        <f t="shared" si="57"/>
        <v>23.668712239232491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5.7639226724859328E-14</v>
      </c>
      <c r="AK129" s="13">
        <f t="shared" si="89"/>
        <v>9.2325701996134334E-13</v>
      </c>
      <c r="AL129" s="20">
        <f t="shared" si="58"/>
        <v>1.708394296311803E-12</v>
      </c>
      <c r="AM129" s="59">
        <f t="shared" si="59"/>
        <v>283.22703518042391</v>
      </c>
      <c r="AN129" s="59">
        <f ca="1">AVERAGE(OFFSET($AM$3,0,0,'Données projet'!$E$10+1,1))-AVERAGE(OFFSET($H$3,0,0,'Données projet'!$E$10+1,1))</f>
        <v>542.51810435067659</v>
      </c>
      <c r="AO129" s="59">
        <f t="shared" si="90"/>
        <v>325.7263575945085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186.02200395250418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186.02200395250418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5.1431925385259088E-14</v>
      </c>
      <c r="BF129" s="13">
        <f t="shared" si="91"/>
        <v>8.3482866290946129E-13</v>
      </c>
      <c r="BG129" s="20">
        <f t="shared" si="61"/>
        <v>1.5435705246133045E-12</v>
      </c>
      <c r="BH129" s="59">
        <f t="shared" si="62"/>
        <v>283.22703518042374</v>
      </c>
      <c r="BI129" s="59">
        <f ca="1">AVERAGE(OFFSET($BH$3,0,0,'Données projet'!$E$11+1,1))-AVERAGE(OFFSET($H$3,0,0,'Données projet'!$E$11+1,1))</f>
        <v>492.39485179035256</v>
      </c>
      <c r="BJ129" s="59">
        <f t="shared" si="92"/>
        <v>297.32483725004124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165.98886506531136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165.98886506531136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-5.4092197387944907E-14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260.51631161522039</v>
      </c>
      <c r="CE129" s="59">
        <f t="shared" si="94"/>
        <v>171.3469666102674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34.992047110189858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34.992047110189858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167.82976403567059</v>
      </c>
      <c r="T130" s="59">
        <f t="shared" si="88"/>
        <v>232.70925470547317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16.689328109910882</v>
      </c>
      <c r="AA130" s="21">
        <f>EXP(-LN(2)/25)*AA129+(1-EXP(-LN(2)/25))/(LN(2)/25)*Calculateur!V130*Calculateur!X130*VLOOKUP('Données projet'!$B$9,Paramètres!$A$1:$I$89,3,0)*0.475*44/12</f>
        <v>6.4638472225222818</v>
      </c>
      <c r="AB130" s="21">
        <f>EXP(-LN(2)/2)*AB129+(1-EXP(-LN(2)/2))/(LN(2)/2)*V130*Y130*VLOOKUP('Données projet'!$B$9,Paramètres!$A$1:$I$89,3,0)*0.475*44/12</f>
        <v>2.8972726356402148E-9</v>
      </c>
      <c r="AC130" s="22">
        <f t="shared" si="57"/>
        <v>23.153175335330438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5.7639226724859328E-14</v>
      </c>
      <c r="AK130" s="13">
        <f t="shared" si="89"/>
        <v>9.2325701996134334E-13</v>
      </c>
      <c r="AL130" s="20">
        <f t="shared" si="58"/>
        <v>1.708394296311803E-12</v>
      </c>
      <c r="AM130" s="59">
        <f t="shared" si="59"/>
        <v>283.40235685907913</v>
      </c>
      <c r="AN130" s="59">
        <f ca="1">AVERAGE(OFFSET($AM$3,0,0,'Données projet'!$E$10+1,1))-AVERAGE(OFFSET($H$3,0,0,'Données projet'!$E$10+1,1))</f>
        <v>542.51810435067659</v>
      </c>
      <c r="AO130" s="59">
        <f t="shared" si="90"/>
        <v>325.7263575945085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182.37422591721452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182.37422591721452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5.1431925385259088E-14</v>
      </c>
      <c r="BF130" s="13">
        <f t="shared" si="91"/>
        <v>8.3482866290946129E-13</v>
      </c>
      <c r="BG130" s="20">
        <f t="shared" si="61"/>
        <v>1.5435705246133045E-12</v>
      </c>
      <c r="BH130" s="59">
        <f t="shared" si="62"/>
        <v>283.40235685907896</v>
      </c>
      <c r="BI130" s="59">
        <f ca="1">AVERAGE(OFFSET($BH$3,0,0,'Données projet'!$E$11+1,1))-AVERAGE(OFFSET($H$3,0,0,'Données projet'!$E$11+1,1))</f>
        <v>492.39485179035256</v>
      </c>
      <c r="BJ130" s="59">
        <f t="shared" si="92"/>
        <v>297.32483725004124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162.73392466459134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162.73392466459134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-5.4092197387944907E-14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260.51631161522039</v>
      </c>
      <c r="CE130" s="59">
        <f t="shared" si="94"/>
        <v>171.3469666102674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34.305874409400325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34.305874409400325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167.82976403567059</v>
      </c>
      <c r="T131" s="59">
        <f t="shared" si="88"/>
        <v>232.70925470547317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16.362060565160537</v>
      </c>
      <c r="AA131" s="21">
        <f>EXP(-LN(2)/25)*AA130+(1-EXP(-LN(2)/25))/(LN(2)/25)*Calculateur!V131*Calculateur!X131*VLOOKUP('Données projet'!$B$9,Paramètres!$A$1:$I$89,3,0)*0.475*44/12</f>
        <v>6.2870929803034583</v>
      </c>
      <c r="AB131" s="21">
        <f>EXP(-LN(2)/2)*AB130+(1-EXP(-LN(2)/2))/(LN(2)/2)*V131*Y131*VLOOKUP('Données projet'!$B$9,Paramètres!$A$1:$I$89,3,0)*0.475*44/12</f>
        <v>2.0486811276074172E-9</v>
      </c>
      <c r="AC131" s="22">
        <f t="shared" si="57"/>
        <v>22.649153547512675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5.7639226724859328E-14</v>
      </c>
      <c r="AK131" s="13">
        <f t="shared" si="89"/>
        <v>9.2325701996134334E-13</v>
      </c>
      <c r="AL131" s="20">
        <f t="shared" si="58"/>
        <v>1.708394296311803E-12</v>
      </c>
      <c r="AM131" s="59">
        <f t="shared" si="59"/>
        <v>283.57463709857024</v>
      </c>
      <c r="AN131" s="59">
        <f ca="1">AVERAGE(OFFSET($AM$3,0,0,'Données projet'!$E$10+1,1))-AVERAGE(OFFSET($H$3,0,0,'Données projet'!$E$10+1,1))</f>
        <v>542.51810435067659</v>
      </c>
      <c r="AO131" s="59">
        <f t="shared" si="90"/>
        <v>325.7263575945085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178.79797858427199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178.79797858427199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5.1431925385259088E-14</v>
      </c>
      <c r="BF131" s="13">
        <f t="shared" si="91"/>
        <v>8.3482866290946129E-13</v>
      </c>
      <c r="BG131" s="20">
        <f t="shared" si="61"/>
        <v>1.5435705246133045E-12</v>
      </c>
      <c r="BH131" s="59">
        <f t="shared" si="62"/>
        <v>283.57463709857007</v>
      </c>
      <c r="BI131" s="59">
        <f ca="1">AVERAGE(OFFSET($BH$3,0,0,'Données projet'!$E$11+1,1))-AVERAGE(OFFSET($H$3,0,0,'Données projet'!$E$11+1,1))</f>
        <v>492.39485179035256</v>
      </c>
      <c r="BJ131" s="59">
        <f t="shared" si="92"/>
        <v>297.32483725004124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159.54281165981186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159.54281165981186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-5.4092197387944907E-14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260.51631161522039</v>
      </c>
      <c r="CE131" s="59">
        <f t="shared" si="94"/>
        <v>171.3469666102674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33.633157136749247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33.633157136749247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167.82976403567059</v>
      </c>
      <c r="T132" s="59">
        <f t="shared" si="88"/>
        <v>232.70925470547317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16.041210537349254</v>
      </c>
      <c r="AA132" s="21">
        <f>EXP(-LN(2)/25)*AA131+(1-EXP(-LN(2)/25))/(LN(2)/25)*Calculateur!V132*Calculateur!X132*VLOOKUP('Données projet'!$B$9,Paramètres!$A$1:$I$89,3,0)*0.475*44/12</f>
        <v>6.1151720921332098</v>
      </c>
      <c r="AB132" s="21">
        <f>EXP(-LN(2)/2)*AB131+(1-EXP(-LN(2)/2))/(LN(2)/2)*V132*Y132*VLOOKUP('Données projet'!$B$9,Paramètres!$A$1:$I$89,3,0)*0.475*44/12</f>
        <v>1.4486363178201074E-9</v>
      </c>
      <c r="AC132" s="22">
        <f t="shared" ref="AC132:AC153" si="111">SUM(Z132:AB132)</f>
        <v>22.156382630931102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5.7639226724859328E-14</v>
      </c>
      <c r="AK132" s="13">
        <f t="shared" si="89"/>
        <v>9.2325701996134334E-13</v>
      </c>
      <c r="AL132" s="20">
        <f t="shared" ref="AL132:AL153" si="112">(AJ132+AK132)*0.475*44/12</f>
        <v>1.708394296311803E-12</v>
      </c>
      <c r="AM132" s="59">
        <f t="shared" ref="AM132:AM195" si="113">AL132+(AD132+AE132)*44/12</f>
        <v>283.74392866106706</v>
      </c>
      <c r="AN132" s="59">
        <f ca="1">AVERAGE(OFFSET($AM$3,0,0,'Données projet'!$E$10+1,1))-AVERAGE(OFFSET($H$3,0,0,'Données projet'!$E$10+1,1))</f>
        <v>542.51810435067659</v>
      </c>
      <c r="AO132" s="59">
        <f t="shared" si="90"/>
        <v>325.7263575945085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175.29185928023296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175.29185928023296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5.1431925385259088E-14</v>
      </c>
      <c r="BF132" s="13">
        <f t="shared" si="91"/>
        <v>8.3482866290946129E-13</v>
      </c>
      <c r="BG132" s="20">
        <f t="shared" ref="BG132:BG153" si="115">(BE132+BF132)*0.475*44/12</f>
        <v>1.5435705246133045E-12</v>
      </c>
      <c r="BH132" s="59">
        <f t="shared" ref="BH132:BH195" si="116">BG132+(AY132+AZ132)*44/12</f>
        <v>283.74392866106689</v>
      </c>
      <c r="BI132" s="59">
        <f ca="1">AVERAGE(OFFSET($BH$3,0,0,'Données projet'!$E$11+1,1))-AVERAGE(OFFSET($H$3,0,0,'Données projet'!$E$11+1,1))</f>
        <v>492.39485179035256</v>
      </c>
      <c r="BJ132" s="59">
        <f t="shared" si="92"/>
        <v>297.32483725004124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156.41427443466935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156.41427443466935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-5.4092197387944907E-14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260.51631161522039</v>
      </c>
      <c r="CE132" s="59">
        <f t="shared" si="94"/>
        <v>171.3469666102674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32.973631439497836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32.973631439497836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167.82976403567059</v>
      </c>
      <c r="T133" s="59">
        <f t="shared" ref="T133:T196" si="142">$T$3</f>
        <v>232.70925470547317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15.726652182884157</v>
      </c>
      <c r="AA133" s="21">
        <f>EXP(-LN(2)/25)*AA132+(1-EXP(-LN(2)/25))/(LN(2)/25)*Calculateur!V133*Calculateur!X133*VLOOKUP('Données projet'!$B$9,Paramètres!$A$1:$I$89,3,0)*0.475*44/12</f>
        <v>5.9479523896909035</v>
      </c>
      <c r="AB133" s="21">
        <f>EXP(-LN(2)/2)*AB132+(1-EXP(-LN(2)/2))/(LN(2)/2)*V133*Y133*VLOOKUP('Données projet'!$B$9,Paramètres!$A$1:$I$89,3,0)*0.475*44/12</f>
        <v>1.0243405638037086E-9</v>
      </c>
      <c r="AC133" s="22">
        <f t="shared" si="111"/>
        <v>21.6746045735994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5.7639226724859328E-14</v>
      </c>
      <c r="AK133" s="13">
        <f t="shared" ref="AK133:AK153" si="143">EXP(-1.0587+0.8836*LN(AJ133)+0.284)</f>
        <v>9.2325701996134334E-13</v>
      </c>
      <c r="AL133" s="20">
        <f t="shared" si="112"/>
        <v>1.708394296311803E-12</v>
      </c>
      <c r="AM133" s="59">
        <f t="shared" si="113"/>
        <v>283.91028339343382</v>
      </c>
      <c r="AN133" s="59">
        <f ca="1">AVERAGE(OFFSET($AM$3,0,0,'Données projet'!$E$10+1,1))-AVERAGE(OFFSET($H$3,0,0,'Données projet'!$E$10+1,1))</f>
        <v>542.51810435067659</v>
      </c>
      <c r="AO133" s="59">
        <f t="shared" ref="AO133:AO196" si="144">$AO$3</f>
        <v>325.7263575945085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171.85449283722451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171.85449283722451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5.1431925385259088E-14</v>
      </c>
      <c r="BF133" s="13">
        <f t="shared" ref="BF133:BF153" si="145">EXP(-1.0587+0.8836*LN(BE133)+0.284)</f>
        <v>8.3482866290946129E-13</v>
      </c>
      <c r="BG133" s="20">
        <f t="shared" si="115"/>
        <v>1.5435705246133045E-12</v>
      </c>
      <c r="BH133" s="59">
        <f t="shared" si="116"/>
        <v>283.91028339343364</v>
      </c>
      <c r="BI133" s="59">
        <f ca="1">AVERAGE(OFFSET($BH$3,0,0,'Données projet'!$E$11+1,1))-AVERAGE(OFFSET($H$3,0,0,'Données projet'!$E$11+1,1))</f>
        <v>492.39485179035256</v>
      </c>
      <c r="BJ133" s="59">
        <f t="shared" ref="BJ133:BJ196" si="146">$BJ$3</f>
        <v>297.32483725004124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153.3470859162926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153.3470859162926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-5.4092197387944907E-14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260.51631161522039</v>
      </c>
      <c r="CE133" s="59">
        <f t="shared" ref="CE133:CE196" si="148">$CE$3</f>
        <v>171.3469666102674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32.327038638898571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32.327038638898571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167.82976403567059</v>
      </c>
      <c r="T134" s="59">
        <f t="shared" si="142"/>
        <v>232.70925470547317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15.418262125888468</v>
      </c>
      <c r="AA134" s="21">
        <f>EXP(-LN(2)/25)*AA133+(1-EXP(-LN(2)/25))/(LN(2)/25)*Calculateur!V134*Calculateur!X134*VLOOKUP('Données projet'!$B$9,Paramètres!$A$1:$I$89,3,0)*0.475*44/12</f>
        <v>5.7853053188055839</v>
      </c>
      <c r="AB134" s="21">
        <f>EXP(-LN(2)/2)*AB133+(1-EXP(-LN(2)/2))/(LN(2)/2)*V134*Y134*VLOOKUP('Données projet'!$B$9,Paramètres!$A$1:$I$89,3,0)*0.475*44/12</f>
        <v>7.2431815891005369E-10</v>
      </c>
      <c r="AC134" s="22">
        <f t="shared" si="111"/>
        <v>21.203567445418368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5.7639226724859328E-14</v>
      </c>
      <c r="AK134" s="13">
        <f t="shared" si="143"/>
        <v>9.2325701996134334E-13</v>
      </c>
      <c r="AL134" s="20">
        <f t="shared" si="112"/>
        <v>1.708394296311803E-12</v>
      </c>
      <c r="AM134" s="59">
        <f t="shared" si="113"/>
        <v>284.07375224310744</v>
      </c>
      <c r="AN134" s="59">
        <f ca="1">AVERAGE(OFFSET($AM$3,0,0,'Données projet'!$E$10+1,1))-AVERAGE(OFFSET($H$3,0,0,'Données projet'!$E$10+1,1))</f>
        <v>542.51810435067659</v>
      </c>
      <c r="AO134" s="59">
        <f t="shared" si="144"/>
        <v>325.7263575945085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168.48453105357697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168.48453105357697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5.1431925385259088E-14</v>
      </c>
      <c r="BF134" s="13">
        <f t="shared" si="145"/>
        <v>8.3482866290946129E-13</v>
      </c>
      <c r="BG134" s="20">
        <f t="shared" si="115"/>
        <v>1.5435705246133045E-12</v>
      </c>
      <c r="BH134" s="59">
        <f t="shared" si="116"/>
        <v>284.07375224310726</v>
      </c>
      <c r="BI134" s="59">
        <f ca="1">AVERAGE(OFFSET($BH$3,0,0,'Données projet'!$E$11+1,1))-AVERAGE(OFFSET($H$3,0,0,'Données projet'!$E$11+1,1))</f>
        <v>492.39485179035256</v>
      </c>
      <c r="BJ134" s="59">
        <f t="shared" si="146"/>
        <v>297.32483725004124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150.34004309396096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150.34004309396096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-5.4092197387944907E-14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260.51631161522039</v>
      </c>
      <c r="CE134" s="59">
        <f t="shared" si="148"/>
        <v>171.3469666102674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31.693125128736394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31.693125128736394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167.82976403567059</v>
      </c>
      <c r="T135" s="59">
        <f t="shared" si="142"/>
        <v>232.70925470547317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15.115919409811104</v>
      </c>
      <c r="AA135" s="21">
        <f>EXP(-LN(2)/25)*AA134+(1-EXP(-LN(2)/25))/(LN(2)/25)*Calculateur!V135*Calculateur!X135*VLOOKUP('Données projet'!$B$9,Paramètres!$A$1:$I$89,3,0)*0.475*44/12</f>
        <v>5.6271058406268608</v>
      </c>
      <c r="AB135" s="21">
        <f>EXP(-LN(2)/2)*AB134+(1-EXP(-LN(2)/2))/(LN(2)/2)*V135*Y135*VLOOKUP('Données projet'!$B$9,Paramètres!$A$1:$I$89,3,0)*0.475*44/12</f>
        <v>5.1217028190185429E-10</v>
      </c>
      <c r="AC135" s="22">
        <f t="shared" si="111"/>
        <v>20.743025250950136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5.7639226724859328E-14</v>
      </c>
      <c r="AK135" s="13">
        <f t="shared" si="143"/>
        <v>9.2325701996134334E-13</v>
      </c>
      <c r="AL135" s="20">
        <f t="shared" si="112"/>
        <v>1.708394296311803E-12</v>
      </c>
      <c r="AM135" s="59">
        <f t="shared" si="113"/>
        <v>284.23438527370087</v>
      </c>
      <c r="AN135" s="59">
        <f ca="1">AVERAGE(OFFSET($AM$3,0,0,'Données projet'!$E$10+1,1))-AVERAGE(OFFSET($H$3,0,0,'Données projet'!$E$10+1,1))</f>
        <v>542.51810435067659</v>
      </c>
      <c r="AO135" s="59">
        <f t="shared" si="144"/>
        <v>325.7263575945085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165.18065216503302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165.18065216503302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5.1431925385259088E-14</v>
      </c>
      <c r="BF135" s="13">
        <f t="shared" si="145"/>
        <v>8.3482866290946129E-13</v>
      </c>
      <c r="BG135" s="20">
        <f t="shared" si="115"/>
        <v>1.5435705246133045E-12</v>
      </c>
      <c r="BH135" s="59">
        <f t="shared" si="116"/>
        <v>284.2343852737007</v>
      </c>
      <c r="BI135" s="59">
        <f ca="1">AVERAGE(OFFSET($BH$3,0,0,'Données projet'!$E$11+1,1))-AVERAGE(OFFSET($H$3,0,0,'Données projet'!$E$11+1,1))</f>
        <v>492.39485179035256</v>
      </c>
      <c r="BJ135" s="59">
        <f t="shared" si="146"/>
        <v>297.32483725004124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147.39196654726021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147.39196654726021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-5.4092197387944907E-14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260.51631161522039</v>
      </c>
      <c r="CE135" s="59">
        <f t="shared" si="148"/>
        <v>171.3469666102674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31.071642275859436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31.071642275859436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167.82976403567059</v>
      </c>
      <c r="T136" s="59">
        <f t="shared" si="142"/>
        <v>232.70925470547317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14.819505449985169</v>
      </c>
      <c r="AA136" s="21">
        <f>EXP(-LN(2)/25)*AA135+(1-EXP(-LN(2)/25))/(LN(2)/25)*Calculateur!V136*Calculateur!X136*VLOOKUP('Données projet'!$B$9,Paramètres!$A$1:$I$89,3,0)*0.475*44/12</f>
        <v>5.4732323354982837</v>
      </c>
      <c r="AB136" s="21">
        <f>EXP(-LN(2)/2)*AB135+(1-EXP(-LN(2)/2))/(LN(2)/2)*V136*Y136*VLOOKUP('Données projet'!$B$9,Paramètres!$A$1:$I$89,3,0)*0.475*44/12</f>
        <v>3.6215907945502684E-10</v>
      </c>
      <c r="AC136" s="22">
        <f t="shared" si="111"/>
        <v>20.292737785845613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5.7639226724859328E-14</v>
      </c>
      <c r="AK136" s="13">
        <f t="shared" si="143"/>
        <v>9.2325701996134334E-13</v>
      </c>
      <c r="AL136" s="20">
        <f t="shared" si="112"/>
        <v>1.708394296311803E-12</v>
      </c>
      <c r="AM136" s="59">
        <f t="shared" si="113"/>
        <v>284.3922316803351</v>
      </c>
      <c r="AN136" s="59">
        <f ca="1">AVERAGE(OFFSET($AM$3,0,0,'Données projet'!$E$10+1,1))-AVERAGE(OFFSET($H$3,0,0,'Données projet'!$E$10+1,1))</f>
        <v>542.51810435067659</v>
      </c>
      <c r="AO136" s="59">
        <f t="shared" si="144"/>
        <v>325.7263575945085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161.94156032632628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161.94156032632628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5.1431925385259088E-14</v>
      </c>
      <c r="BF136" s="13">
        <f t="shared" si="145"/>
        <v>8.3482866290946129E-13</v>
      </c>
      <c r="BG136" s="20">
        <f t="shared" si="115"/>
        <v>1.5435705246133045E-12</v>
      </c>
      <c r="BH136" s="59">
        <f t="shared" si="116"/>
        <v>284.39223168033493</v>
      </c>
      <c r="BI136" s="59">
        <f ca="1">AVERAGE(OFFSET($BH$3,0,0,'Données projet'!$E$11+1,1))-AVERAGE(OFFSET($H$3,0,0,'Données projet'!$E$11+1,1))</f>
        <v>492.39485179035256</v>
      </c>
      <c r="BJ136" s="59">
        <f t="shared" si="146"/>
        <v>297.32483725004124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144.50169998349114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144.50169998349114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-5.4092197387944907E-14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260.51631161522039</v>
      </c>
      <c r="CE136" s="59">
        <f t="shared" si="148"/>
        <v>171.3469666102674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30.462346322660281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30.462346322660281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167.82976403567059</v>
      </c>
      <c r="T137" s="59">
        <f t="shared" si="142"/>
        <v>232.70925470547317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14.528903987116756</v>
      </c>
      <c r="AA137" s="21">
        <f>EXP(-LN(2)/25)*AA136+(1-EXP(-LN(2)/25))/(LN(2)/25)*Calculateur!V137*Calculateur!X137*VLOOKUP('Données projet'!$B$9,Paramètres!$A$1:$I$89,3,0)*0.475*44/12</f>
        <v>5.3235665094593037</v>
      </c>
      <c r="AB137" s="21">
        <f>EXP(-LN(2)/2)*AB136+(1-EXP(-LN(2)/2))/(LN(2)/2)*V137*Y137*VLOOKUP('Données projet'!$B$9,Paramètres!$A$1:$I$89,3,0)*0.475*44/12</f>
        <v>2.5608514095092715E-10</v>
      </c>
      <c r="AC137" s="22">
        <f t="shared" si="111"/>
        <v>19.852470496832147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5.7639226724859328E-14</v>
      </c>
      <c r="AK137" s="13">
        <f t="shared" si="143"/>
        <v>9.2325701996134334E-13</v>
      </c>
      <c r="AL137" s="20">
        <f t="shared" si="112"/>
        <v>1.708394296311803E-12</v>
      </c>
      <c r="AM137" s="59">
        <f t="shared" si="113"/>
        <v>284.54733980470598</v>
      </c>
      <c r="AN137" s="59">
        <f ca="1">AVERAGE(OFFSET($AM$3,0,0,'Données projet'!$E$10+1,1))-AVERAGE(OFFSET($H$3,0,0,'Données projet'!$E$10+1,1))</f>
        <v>542.51810435067659</v>
      </c>
      <c r="AO137" s="59">
        <f t="shared" si="144"/>
        <v>325.7263575945085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158.76598510292564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158.76598510292564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5.1431925385259088E-14</v>
      </c>
      <c r="BF137" s="13">
        <f t="shared" si="145"/>
        <v>8.3482866290946129E-13</v>
      </c>
      <c r="BG137" s="20">
        <f t="shared" si="115"/>
        <v>1.5435705246133045E-12</v>
      </c>
      <c r="BH137" s="59">
        <f t="shared" si="116"/>
        <v>284.54733980470581</v>
      </c>
      <c r="BI137" s="59">
        <f ca="1">AVERAGE(OFFSET($BH$3,0,0,'Données projet'!$E$11+1,1))-AVERAGE(OFFSET($H$3,0,0,'Données projet'!$E$11+1,1))</f>
        <v>492.39485179035256</v>
      </c>
      <c r="BJ137" s="59">
        <f t="shared" si="146"/>
        <v>297.32483725004124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141.66810978414904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141.66810978414904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-5.4092197387944907E-14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260.51631161522039</v>
      </c>
      <c r="CE137" s="59">
        <f t="shared" si="148"/>
        <v>171.3469666102674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29.864998291469526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29.864998291469526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167.82976403567059</v>
      </c>
      <c r="T138" s="59">
        <f t="shared" si="142"/>
        <v>232.70925470547317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14.244001041685802</v>
      </c>
      <c r="AA138" s="21">
        <f>EXP(-LN(2)/25)*AA137+(1-EXP(-LN(2)/25))/(LN(2)/25)*Calculateur!V138*Calculateur!X138*VLOOKUP('Données projet'!$B$9,Paramètres!$A$1:$I$89,3,0)*0.475*44/12</f>
        <v>5.1779933033039436</v>
      </c>
      <c r="AB138" s="21">
        <f>EXP(-LN(2)/2)*AB137+(1-EXP(-LN(2)/2))/(LN(2)/2)*V138*Y138*VLOOKUP('Données projet'!$B$9,Paramètres!$A$1:$I$89,3,0)*0.475*44/12</f>
        <v>1.8107953972751342E-10</v>
      </c>
      <c r="AC138" s="22">
        <f t="shared" si="111"/>
        <v>19.421994345170823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5.7639226724859328E-14</v>
      </c>
      <c r="AK138" s="13">
        <f t="shared" si="143"/>
        <v>9.2325701996134334E-13</v>
      </c>
      <c r="AL138" s="20">
        <f t="shared" si="112"/>
        <v>1.708394296311803E-12</v>
      </c>
      <c r="AM138" s="59">
        <f t="shared" si="113"/>
        <v>284.69975714988885</v>
      </c>
      <c r="AN138" s="59">
        <f ca="1">AVERAGE(OFFSET($AM$3,0,0,'Données projet'!$E$10+1,1))-AVERAGE(OFFSET($H$3,0,0,'Données projet'!$E$10+1,1))</f>
        <v>542.51810435067659</v>
      </c>
      <c r="AO138" s="59">
        <f t="shared" si="144"/>
        <v>325.7263575945085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155.65268097274625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155.65268097274625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5.1431925385259088E-14</v>
      </c>
      <c r="BF138" s="13">
        <f t="shared" si="145"/>
        <v>8.3482866290946129E-13</v>
      </c>
      <c r="BG138" s="20">
        <f t="shared" si="115"/>
        <v>1.5435705246133045E-12</v>
      </c>
      <c r="BH138" s="59">
        <f t="shared" si="116"/>
        <v>284.69975714988868</v>
      </c>
      <c r="BI138" s="59">
        <f ca="1">AVERAGE(OFFSET($BH$3,0,0,'Données projet'!$E$11+1,1))-AVERAGE(OFFSET($H$3,0,0,'Données projet'!$E$11+1,1))</f>
        <v>492.39485179035256</v>
      </c>
      <c r="BJ138" s="59">
        <f t="shared" si="146"/>
        <v>297.32483725004124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138.89008456029666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138.89008456029666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-5.4092197387944907E-14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260.51631161522039</v>
      </c>
      <c r="CE138" s="59">
        <f t="shared" si="148"/>
        <v>171.3469666102674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29.279363890824101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29.279363890824101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167.82976403567059</v>
      </c>
      <c r="T139" s="59">
        <f t="shared" si="142"/>
        <v>232.70925470547317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13.964684869241113</v>
      </c>
      <c r="AA139" s="21">
        <f>EXP(-LN(2)/25)*AA138+(1-EXP(-LN(2)/25))/(LN(2)/25)*Calculateur!V139*Calculateur!X139*VLOOKUP('Données projet'!$B$9,Paramètres!$A$1:$I$89,3,0)*0.475*44/12</f>
        <v>5.0364008041262638</v>
      </c>
      <c r="AB139" s="21">
        <f>EXP(-LN(2)/2)*AB138+(1-EXP(-LN(2)/2))/(LN(2)/2)*V139*Y139*VLOOKUP('Données projet'!$B$9,Paramètres!$A$1:$I$89,3,0)*0.475*44/12</f>
        <v>1.2804257047546357E-10</v>
      </c>
      <c r="AC139" s="22">
        <f t="shared" si="111"/>
        <v>19.001085673495421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5.7639226724859328E-14</v>
      </c>
      <c r="AK139" s="13">
        <f t="shared" si="143"/>
        <v>9.2325701996134334E-13</v>
      </c>
      <c r="AL139" s="20">
        <f t="shared" si="112"/>
        <v>1.708394296311803E-12</v>
      </c>
      <c r="AM139" s="59">
        <f t="shared" si="113"/>
        <v>284.84953039488693</v>
      </c>
      <c r="AN139" s="59">
        <f ca="1">AVERAGE(OFFSET($AM$3,0,0,'Données projet'!$E$10+1,1))-AVERAGE(OFFSET($H$3,0,0,'Données projet'!$E$10+1,1))</f>
        <v>542.51810435067659</v>
      </c>
      <c r="AO139" s="59">
        <f t="shared" si="144"/>
        <v>325.7263575945085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152.60042683763166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152.60042683763166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5.1431925385259088E-14</v>
      </c>
      <c r="BF139" s="13">
        <f t="shared" si="145"/>
        <v>8.3482866290946129E-13</v>
      </c>
      <c r="BG139" s="20">
        <f t="shared" si="115"/>
        <v>1.5435705246133045E-12</v>
      </c>
      <c r="BH139" s="59">
        <f t="shared" si="116"/>
        <v>284.84953039488676</v>
      </c>
      <c r="BI139" s="59">
        <f ca="1">AVERAGE(OFFSET($BH$3,0,0,'Données projet'!$E$11+1,1))-AVERAGE(OFFSET($H$3,0,0,'Données projet'!$E$11+1,1))</f>
        <v>492.39485179035256</v>
      </c>
      <c r="BJ139" s="59">
        <f t="shared" si="146"/>
        <v>297.32483725004124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136.16653471665595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136.16653471665595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-5.4092197387944907E-14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260.51631161522039</v>
      </c>
      <c r="CE139" s="59">
        <f t="shared" si="148"/>
        <v>171.3469666102674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28.705213423573618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28.705213423573618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167.82976403567059</v>
      </c>
      <c r="T140" s="59">
        <f t="shared" si="142"/>
        <v>232.70925470547317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13.69084591657202</v>
      </c>
      <c r="AA140" s="21">
        <f>EXP(-LN(2)/25)*AA139+(1-EXP(-LN(2)/25))/(LN(2)/25)*Calculateur!V140*Calculateur!X140*VLOOKUP('Données projet'!$B$9,Paramètres!$A$1:$I$89,3,0)*0.475*44/12</f>
        <v>4.8986801592846234</v>
      </c>
      <c r="AB140" s="21">
        <f>EXP(-LN(2)/2)*AB139+(1-EXP(-LN(2)/2))/(LN(2)/2)*V140*Y140*VLOOKUP('Données projet'!$B$9,Paramètres!$A$1:$I$89,3,0)*0.475*44/12</f>
        <v>9.0539769863756711E-11</v>
      </c>
      <c r="AC140" s="22">
        <f t="shared" si="111"/>
        <v>18.589526075947184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5.7639226724859328E-14</v>
      </c>
      <c r="AK140" s="13">
        <f t="shared" si="143"/>
        <v>9.2325701996134334E-13</v>
      </c>
      <c r="AL140" s="20">
        <f t="shared" si="112"/>
        <v>1.708394296311803E-12</v>
      </c>
      <c r="AM140" s="59">
        <f t="shared" si="113"/>
        <v>284.99670540892708</v>
      </c>
      <c r="AN140" s="59">
        <f ca="1">AVERAGE(OFFSET($AM$3,0,0,'Données projet'!$E$10+1,1))-AVERAGE(OFFSET($H$3,0,0,'Données projet'!$E$10+1,1))</f>
        <v>542.51810435067659</v>
      </c>
      <c r="AO140" s="59">
        <f t="shared" si="144"/>
        <v>325.7263575945085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149.60802554441548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149.60802554441548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5.1431925385259088E-14</v>
      </c>
      <c r="BF140" s="13">
        <f t="shared" si="145"/>
        <v>8.3482866290946129E-13</v>
      </c>
      <c r="BG140" s="20">
        <f t="shared" si="115"/>
        <v>1.5435705246133045E-12</v>
      </c>
      <c r="BH140" s="59">
        <f t="shared" si="116"/>
        <v>284.99670540892691</v>
      </c>
      <c r="BI140" s="59">
        <f ca="1">AVERAGE(OFFSET($BH$3,0,0,'Données projet'!$E$11+1,1))-AVERAGE(OFFSET($H$3,0,0,'Données projet'!$E$11+1,1))</f>
        <v>492.39485179035256</v>
      </c>
      <c r="BJ140" s="59">
        <f t="shared" si="146"/>
        <v>297.32483725004124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133.49639202424765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133.49639202424765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-5.4092197387944907E-14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260.51631161522039</v>
      </c>
      <c r="CE140" s="59">
        <f t="shared" si="148"/>
        <v>171.3469666102674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28.142321696788713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28.142321696788713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167.82976403567059</v>
      </c>
      <c r="T141" s="59">
        <f t="shared" si="142"/>
        <v>232.70925470547317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13.422376778739499</v>
      </c>
      <c r="AA141" s="21">
        <f>EXP(-LN(2)/25)*AA140+(1-EXP(-LN(2)/25))/(LN(2)/25)*Calculateur!V141*Calculateur!X141*VLOOKUP('Données projet'!$B$9,Paramètres!$A$1:$I$89,3,0)*0.475*44/12</f>
        <v>4.7647254927185916</v>
      </c>
      <c r="AB141" s="21">
        <f>EXP(-LN(2)/2)*AB140+(1-EXP(-LN(2)/2))/(LN(2)/2)*V141*Y141*VLOOKUP('Données projet'!$B$9,Paramètres!$A$1:$I$89,3,0)*0.475*44/12</f>
        <v>6.4021285237731786E-11</v>
      </c>
      <c r="AC141" s="22">
        <f t="shared" si="111"/>
        <v>18.187102271522111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5.7639226724859328E-14</v>
      </c>
      <c r="AK141" s="13">
        <f t="shared" si="143"/>
        <v>9.2325701996134334E-13</v>
      </c>
      <c r="AL141" s="20">
        <f t="shared" si="112"/>
        <v>1.708394296311803E-12</v>
      </c>
      <c r="AM141" s="59">
        <f t="shared" si="113"/>
        <v>285.14132726550764</v>
      </c>
      <c r="AN141" s="59">
        <f ca="1">AVERAGE(OFFSET($AM$3,0,0,'Données projet'!$E$10+1,1))-AVERAGE(OFFSET($H$3,0,0,'Données projet'!$E$10+1,1))</f>
        <v>542.51810435067659</v>
      </c>
      <c r="AO141" s="59">
        <f t="shared" si="144"/>
        <v>325.7263575945085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146.67430341537471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146.67430341537471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5.1431925385259088E-14</v>
      </c>
      <c r="BF141" s="13">
        <f t="shared" si="145"/>
        <v>8.3482866290946129E-13</v>
      </c>
      <c r="BG141" s="20">
        <f t="shared" si="115"/>
        <v>1.5435705246133045E-12</v>
      </c>
      <c r="BH141" s="59">
        <f t="shared" si="116"/>
        <v>285.14132726550747</v>
      </c>
      <c r="BI141" s="59">
        <f ca="1">AVERAGE(OFFSET($BH$3,0,0,'Données projet'!$E$11+1,1))-AVERAGE(OFFSET($H$3,0,0,'Données projet'!$E$11+1,1))</f>
        <v>492.39485179035256</v>
      </c>
      <c r="BJ141" s="59">
        <f t="shared" si="146"/>
        <v>297.32483725004124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130.87860920141128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130.87860920141128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-5.4092197387944907E-14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260.51631161522039</v>
      </c>
      <c r="CE141" s="59">
        <f t="shared" si="148"/>
        <v>171.3469666102674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27.590467933436006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27.590467933436006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167.82976403567059</v>
      </c>
      <c r="T142" s="59">
        <f t="shared" si="142"/>
        <v>232.70925470547317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13.15917215694987</v>
      </c>
      <c r="AA142" s="21">
        <f>EXP(-LN(2)/25)*AA141+(1-EXP(-LN(2)/25))/(LN(2)/25)*Calculateur!V142*Calculateur!X142*VLOOKUP('Données projet'!$B$9,Paramètres!$A$1:$I$89,3,0)*0.475*44/12</f>
        <v>4.6344338235541782</v>
      </c>
      <c r="AB142" s="21">
        <f>EXP(-LN(2)/2)*AB141+(1-EXP(-LN(2)/2))/(LN(2)/2)*V142*Y142*VLOOKUP('Données projet'!$B$9,Paramètres!$A$1:$I$89,3,0)*0.475*44/12</f>
        <v>4.5269884931878356E-11</v>
      </c>
      <c r="AC142" s="22">
        <f t="shared" si="111"/>
        <v>17.793605980549316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5.7639226724859328E-14</v>
      </c>
      <c r="AK142" s="13">
        <f t="shared" si="143"/>
        <v>9.2325701996134334E-13</v>
      </c>
      <c r="AL142" s="20">
        <f t="shared" si="112"/>
        <v>1.708394296311803E-12</v>
      </c>
      <c r="AM142" s="59">
        <f t="shared" si="113"/>
        <v>285.2834402562026</v>
      </c>
      <c r="AN142" s="59">
        <f ca="1">AVERAGE(OFFSET($AM$3,0,0,'Données projet'!$E$10+1,1))-AVERAGE(OFFSET($H$3,0,0,'Données projet'!$E$10+1,1))</f>
        <v>542.51810435067659</v>
      </c>
      <c r="AO142" s="59">
        <f t="shared" si="144"/>
        <v>325.7263575945085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143.79810978789061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143.79810978789061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5.1431925385259088E-14</v>
      </c>
      <c r="BF142" s="13">
        <f t="shared" si="145"/>
        <v>8.3482866290946129E-13</v>
      </c>
      <c r="BG142" s="20">
        <f t="shared" si="115"/>
        <v>1.5435705246133045E-12</v>
      </c>
      <c r="BH142" s="59">
        <f t="shared" si="116"/>
        <v>285.28344025620243</v>
      </c>
      <c r="BI142" s="59">
        <f ca="1">AVERAGE(OFFSET($BH$3,0,0,'Données projet'!$E$11+1,1))-AVERAGE(OFFSET($H$3,0,0,'Données projet'!$E$11+1,1))</f>
        <v>492.39485179035256</v>
      </c>
      <c r="BJ142" s="59">
        <f t="shared" si="146"/>
        <v>297.32483725004124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128.31215950304085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128.31215950304085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-5.4092197387944907E-14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260.51631161522039</v>
      </c>
      <c r="CE142" s="59">
        <f t="shared" si="148"/>
        <v>171.3469666102674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27.049435685785088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27.049435685785088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167.82976403567059</v>
      </c>
      <c r="T143" s="59">
        <f t="shared" si="142"/>
        <v>232.70925470547317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12.901128817254568</v>
      </c>
      <c r="AA143" s="21">
        <f>EXP(-LN(2)/25)*AA142+(1-EXP(-LN(2)/25))/(LN(2)/25)*Calculateur!V143*Calculateur!X143*VLOOKUP('Données projet'!$B$9,Paramètres!$A$1:$I$89,3,0)*0.475*44/12</f>
        <v>4.5077049869348063</v>
      </c>
      <c r="AB143" s="21">
        <f>EXP(-LN(2)/2)*AB142+(1-EXP(-LN(2)/2))/(LN(2)/2)*V143*Y143*VLOOKUP('Données projet'!$B$9,Paramètres!$A$1:$I$89,3,0)*0.475*44/12</f>
        <v>3.2010642618865893E-11</v>
      </c>
      <c r="AC143" s="22">
        <f t="shared" si="111"/>
        <v>17.408833804221384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5.7639226724859328E-14</v>
      </c>
      <c r="AK143" s="13">
        <f t="shared" si="143"/>
        <v>9.2325701996134334E-13</v>
      </c>
      <c r="AL143" s="20">
        <f t="shared" si="112"/>
        <v>1.708394296311803E-12</v>
      </c>
      <c r="AM143" s="59">
        <f t="shared" si="113"/>
        <v>285.42308790422607</v>
      </c>
      <c r="AN143" s="59">
        <f ca="1">AVERAGE(OFFSET($AM$3,0,0,'Données projet'!$E$10+1,1))-AVERAGE(OFFSET($H$3,0,0,'Données projet'!$E$10+1,1))</f>
        <v>542.51810435067659</v>
      </c>
      <c r="AO143" s="59">
        <f t="shared" si="144"/>
        <v>325.7263575945085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140.97831656313659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140.97831656313659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5.1431925385259088E-14</v>
      </c>
      <c r="BF143" s="13">
        <f t="shared" si="145"/>
        <v>8.3482866290946129E-13</v>
      </c>
      <c r="BG143" s="20">
        <f t="shared" si="115"/>
        <v>1.5435705246133045E-12</v>
      </c>
      <c r="BH143" s="59">
        <f t="shared" si="116"/>
        <v>285.42308790422589</v>
      </c>
      <c r="BI143" s="59">
        <f ca="1">AVERAGE(OFFSET($BH$3,0,0,'Données projet'!$E$11+1,1))-AVERAGE(OFFSET($H$3,0,0,'Données projet'!$E$11+1,1))</f>
        <v>492.39485179035256</v>
      </c>
      <c r="BJ143" s="59">
        <f t="shared" si="146"/>
        <v>297.32483725004124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125.79603631787572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125.79603631787572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-5.4092197387944907E-14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260.51631161522039</v>
      </c>
      <c r="CE143" s="59">
        <f t="shared" si="148"/>
        <v>171.3469666102674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26.519012750513518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26.519012750513518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167.82976403567059</v>
      </c>
      <c r="T144" s="59">
        <f t="shared" si="142"/>
        <v>232.70925470547317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12.648145550059795</v>
      </c>
      <c r="AA144" s="21">
        <f>EXP(-LN(2)/25)*AA143+(1-EXP(-LN(2)/25))/(LN(2)/25)*Calculateur!V144*Calculateur!X144*VLOOKUP('Données projet'!$B$9,Paramètres!$A$1:$I$89,3,0)*0.475*44/12</f>
        <v>4.3844415570171709</v>
      </c>
      <c r="AB144" s="21">
        <f>EXP(-LN(2)/2)*AB143+(1-EXP(-LN(2)/2))/(LN(2)/2)*V144*Y144*VLOOKUP('Données projet'!$B$9,Paramètres!$A$1:$I$89,3,0)*0.475*44/12</f>
        <v>2.2634942465939178E-11</v>
      </c>
      <c r="AC144" s="22">
        <f t="shared" si="111"/>
        <v>17.032587107099598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5.7639226724859328E-14</v>
      </c>
      <c r="AK144" s="13">
        <f t="shared" si="143"/>
        <v>9.2325701996134334E-13</v>
      </c>
      <c r="AL144" s="20">
        <f t="shared" si="112"/>
        <v>1.708394296311803E-12</v>
      </c>
      <c r="AM144" s="59">
        <f t="shared" si="113"/>
        <v>285.56031297776173</v>
      </c>
      <c r="AN144" s="59">
        <f ca="1">AVERAGE(OFFSET($AM$3,0,0,'Données projet'!$E$10+1,1))-AVERAGE(OFFSET($H$3,0,0,'Données projet'!$E$10+1,1))</f>
        <v>542.51810435067659</v>
      </c>
      <c r="AO144" s="59">
        <f t="shared" si="144"/>
        <v>325.7263575945085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138.21381776361594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138.21381776361594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5.1431925385259088E-14</v>
      </c>
      <c r="BF144" s="13">
        <f t="shared" si="145"/>
        <v>8.3482866290946129E-13</v>
      </c>
      <c r="BG144" s="20">
        <f t="shared" si="115"/>
        <v>1.5435705246133045E-12</v>
      </c>
      <c r="BH144" s="59">
        <f t="shared" si="116"/>
        <v>285.56031297776155</v>
      </c>
      <c r="BI144" s="59">
        <f ca="1">AVERAGE(OFFSET($BH$3,0,0,'Données projet'!$E$11+1,1))-AVERAGE(OFFSET($H$3,0,0,'Données projet'!$E$11+1,1))</f>
        <v>492.39485179035256</v>
      </c>
      <c r="BJ144" s="59">
        <f t="shared" si="146"/>
        <v>297.32483725004124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123.32925277368807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123.32925277368807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-5.4092197387944907E-14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260.51631161522039</v>
      </c>
      <c r="CE144" s="59">
        <f t="shared" si="148"/>
        <v>171.3469666102674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25.998991085476575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25.998991085476575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167.82976403567059</v>
      </c>
      <c r="T145" s="59">
        <f t="shared" si="142"/>
        <v>232.70925470547317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12.400123130430153</v>
      </c>
      <c r="AA145" s="21">
        <f>EXP(-LN(2)/25)*AA144+(1-EXP(-LN(2)/25))/(LN(2)/25)*Calculateur!V145*Calculateur!X145*VLOOKUP('Données projet'!$B$9,Paramètres!$A$1:$I$89,3,0)*0.475*44/12</f>
        <v>4.2645487720727759</v>
      </c>
      <c r="AB145" s="21">
        <f>EXP(-LN(2)/2)*AB144+(1-EXP(-LN(2)/2))/(LN(2)/2)*V145*Y145*VLOOKUP('Données projet'!$B$9,Paramètres!$A$1:$I$89,3,0)*0.475*44/12</f>
        <v>1.6005321309432947E-11</v>
      </c>
      <c r="AC145" s="22">
        <f t="shared" si="111"/>
        <v>16.664671902518933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5.7639226724859328E-14</v>
      </c>
      <c r="AK145" s="13">
        <f t="shared" si="143"/>
        <v>9.2325701996134334E-13</v>
      </c>
      <c r="AL145" s="20">
        <f t="shared" si="112"/>
        <v>1.708394296311803E-12</v>
      </c>
      <c r="AM145" s="59">
        <f t="shared" si="113"/>
        <v>285.69515750306078</v>
      </c>
      <c r="AN145" s="59">
        <f ca="1">AVERAGE(OFFSET($AM$3,0,0,'Données projet'!$E$10+1,1))-AVERAGE(OFFSET($H$3,0,0,'Données projet'!$E$10+1,1))</f>
        <v>542.51810435067659</v>
      </c>
      <c r="AO145" s="59">
        <f t="shared" si="144"/>
        <v>325.7263575945085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135.50352909937612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135.50352909937612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5.1431925385259088E-14</v>
      </c>
      <c r="BF145" s="13">
        <f t="shared" si="145"/>
        <v>8.3482866290946129E-13</v>
      </c>
      <c r="BG145" s="20">
        <f t="shared" si="115"/>
        <v>1.5435705246133045E-12</v>
      </c>
      <c r="BH145" s="59">
        <f t="shared" si="116"/>
        <v>285.69515750306061</v>
      </c>
      <c r="BI145" s="59">
        <f ca="1">AVERAGE(OFFSET($BH$3,0,0,'Données projet'!$E$11+1,1))-AVERAGE(OFFSET($H$3,0,0,'Données projet'!$E$11+1,1))</f>
        <v>492.39485179035256</v>
      </c>
      <c r="BJ145" s="59">
        <f t="shared" si="146"/>
        <v>297.32483725004124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120.91084135021254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120.91084135021254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-5.4092197387944907E-14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260.51631161522039</v>
      </c>
      <c r="CE145" s="59">
        <f t="shared" si="148"/>
        <v>171.3469666102674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25.489166728109112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25.489166728109112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167.82976403567059</v>
      </c>
      <c r="T146" s="59">
        <f t="shared" si="142"/>
        <v>232.70925470547317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12.15696427917071</v>
      </c>
      <c r="AA146" s="21">
        <f>EXP(-LN(2)/25)*AA145+(1-EXP(-LN(2)/25))/(LN(2)/25)*Calculateur!V146*Calculateur!X146*VLOOKUP('Données projet'!$B$9,Paramètres!$A$1:$I$89,3,0)*0.475*44/12</f>
        <v>4.1479344616375728</v>
      </c>
      <c r="AB146" s="21">
        <f>EXP(-LN(2)/2)*AB145+(1-EXP(-LN(2)/2))/(LN(2)/2)*V146*Y146*VLOOKUP('Données projet'!$B$9,Paramètres!$A$1:$I$89,3,0)*0.475*44/12</f>
        <v>1.1317471232969589E-11</v>
      </c>
      <c r="AC146" s="22">
        <f t="shared" si="111"/>
        <v>16.304898740819603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5.7639226724859328E-14</v>
      </c>
      <c r="AK146" s="13">
        <f t="shared" si="143"/>
        <v>9.2325701996134334E-13</v>
      </c>
      <c r="AL146" s="20">
        <f t="shared" si="112"/>
        <v>1.708394296311803E-12</v>
      </c>
      <c r="AM146" s="59">
        <f t="shared" si="113"/>
        <v>285.82766277731315</v>
      </c>
      <c r="AN146" s="59">
        <f ca="1">AVERAGE(OFFSET($AM$3,0,0,'Données projet'!$E$10+1,1))-AVERAGE(OFFSET($H$3,0,0,'Données projet'!$E$10+1,1))</f>
        <v>542.51810435067659</v>
      </c>
      <c r="AO146" s="59">
        <f t="shared" si="144"/>
        <v>325.7263575945085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132.84638754272919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132.84638754272919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5.1431925385259088E-14</v>
      </c>
      <c r="BF146" s="13">
        <f t="shared" si="145"/>
        <v>8.3482866290946129E-13</v>
      </c>
      <c r="BG146" s="20">
        <f t="shared" si="115"/>
        <v>1.5435705246133045E-12</v>
      </c>
      <c r="BH146" s="59">
        <f t="shared" si="116"/>
        <v>285.82766277731298</v>
      </c>
      <c r="BI146" s="59">
        <f ca="1">AVERAGE(OFFSET($BH$3,0,0,'Données projet'!$E$11+1,1))-AVERAGE(OFFSET($H$3,0,0,'Données projet'!$E$11+1,1))</f>
        <v>492.39485179035256</v>
      </c>
      <c r="BJ146" s="59">
        <f t="shared" si="146"/>
        <v>297.32483725004124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118.53985349966605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118.53985349966605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-5.4092197387944907E-14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260.51631161522039</v>
      </c>
      <c r="CE146" s="59">
        <f t="shared" si="148"/>
        <v>171.3469666102674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24.989339715427473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24.989339715427473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167.82976403567059</v>
      </c>
      <c r="T147" s="59">
        <f t="shared" si="142"/>
        <v>232.70925470547317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11.918573624672211</v>
      </c>
      <c r="AA147" s="21">
        <f>EXP(-LN(2)/25)*AA146+(1-EXP(-LN(2)/25))/(LN(2)/25)*Calculateur!V147*Calculateur!X147*VLOOKUP('Données projet'!$B$9,Paramètres!$A$1:$I$89,3,0)*0.475*44/12</f>
        <v>4.0345089756537007</v>
      </c>
      <c r="AB147" s="21">
        <f>EXP(-LN(2)/2)*AB146+(1-EXP(-LN(2)/2))/(LN(2)/2)*V147*Y147*VLOOKUP('Données projet'!$B$9,Paramètres!$A$1:$I$89,3,0)*0.475*44/12</f>
        <v>8.0026606547164733E-12</v>
      </c>
      <c r="AC147" s="22">
        <f t="shared" si="111"/>
        <v>15.953082600333914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5.7639226724859328E-14</v>
      </c>
      <c r="AK147" s="13">
        <f t="shared" si="143"/>
        <v>9.2325701996134334E-13</v>
      </c>
      <c r="AL147" s="20">
        <f t="shared" si="112"/>
        <v>1.708394296311803E-12</v>
      </c>
      <c r="AM147" s="59">
        <f t="shared" si="113"/>
        <v>285.95786938129459</v>
      </c>
      <c r="AN147" s="59">
        <f ca="1">AVERAGE(OFFSET($AM$3,0,0,'Données projet'!$E$10+1,1))-AVERAGE(OFFSET($H$3,0,0,'Données projet'!$E$10+1,1))</f>
        <v>542.51810435067659</v>
      </c>
      <c r="AO147" s="59">
        <f t="shared" si="144"/>
        <v>325.7263575945085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130.2413509113118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130.2413509113118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5.1431925385259088E-14</v>
      </c>
      <c r="BF147" s="13">
        <f t="shared" si="145"/>
        <v>8.3482866290946129E-13</v>
      </c>
      <c r="BG147" s="20">
        <f t="shared" si="115"/>
        <v>1.5435705246133045E-12</v>
      </c>
      <c r="BH147" s="59">
        <f t="shared" si="116"/>
        <v>285.95786938129442</v>
      </c>
      <c r="BI147" s="59">
        <f ca="1">AVERAGE(OFFSET($BH$3,0,0,'Données projet'!$E$11+1,1))-AVERAGE(OFFSET($H$3,0,0,'Données projet'!$E$11+1,1))</f>
        <v>492.39485179035256</v>
      </c>
      <c r="BJ147" s="59">
        <f t="shared" si="146"/>
        <v>297.32483725004124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116.21535927470899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116.21535927470899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-5.4092197387944907E-14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260.51631161522039</v>
      </c>
      <c r="CE147" s="59">
        <f t="shared" si="148"/>
        <v>171.3469666102674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24.499314005600144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24.499314005600144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167.82976403567059</v>
      </c>
      <c r="T148" s="59">
        <f t="shared" si="142"/>
        <v>232.70925470547317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11.684857665504486</v>
      </c>
      <c r="AA148" s="21">
        <f>EXP(-LN(2)/25)*AA147+(1-EXP(-LN(2)/25))/(LN(2)/25)*Calculateur!V148*Calculateur!X148*VLOOKUP('Données projet'!$B$9,Paramètres!$A$1:$I$89,3,0)*0.475*44/12</f>
        <v>3.9241851155488443</v>
      </c>
      <c r="AB148" s="21">
        <f>EXP(-LN(2)/2)*AB147+(1-EXP(-LN(2)/2))/(LN(2)/2)*V148*Y148*VLOOKUP('Données projet'!$B$9,Paramètres!$A$1:$I$89,3,0)*0.475*44/12</f>
        <v>5.6587356164847944E-12</v>
      </c>
      <c r="AC148" s="22">
        <f t="shared" si="111"/>
        <v>15.60904278105899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5.7639226724859328E-14</v>
      </c>
      <c r="AK148" s="13">
        <f t="shared" si="143"/>
        <v>9.2325701996134334E-13</v>
      </c>
      <c r="AL148" s="20">
        <f t="shared" si="112"/>
        <v>1.708394296311803E-12</v>
      </c>
      <c r="AM148" s="59">
        <f t="shared" si="113"/>
        <v>286.08581719179529</v>
      </c>
      <c r="AN148" s="59">
        <f ca="1">AVERAGE(OFFSET($AM$3,0,0,'Données projet'!$E$10+1,1))-AVERAGE(OFFSET($H$3,0,0,'Données projet'!$E$10+1,1))</f>
        <v>542.51810435067659</v>
      </c>
      <c r="AO148" s="59">
        <f t="shared" si="144"/>
        <v>325.7263575945085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127.68739745932105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127.68739745932105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5.1431925385259088E-14</v>
      </c>
      <c r="BF148" s="13">
        <f t="shared" si="145"/>
        <v>8.3482866290946129E-13</v>
      </c>
      <c r="BG148" s="20">
        <f t="shared" si="115"/>
        <v>1.5435705246133045E-12</v>
      </c>
      <c r="BH148" s="59">
        <f t="shared" si="116"/>
        <v>286.08581719179512</v>
      </c>
      <c r="BI148" s="59">
        <f ca="1">AVERAGE(OFFSET($BH$3,0,0,'Données projet'!$E$11+1,1))-AVERAGE(OFFSET($H$3,0,0,'Données projet'!$E$11+1,1))</f>
        <v>492.39485179035256</v>
      </c>
      <c r="BJ148" s="59">
        <f t="shared" si="146"/>
        <v>297.32483725004124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113.93644696370185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113.93644696370185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-5.4092197387944907E-14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260.51631161522039</v>
      </c>
      <c r="CE148" s="59">
        <f t="shared" si="148"/>
        <v>171.3469666102674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24.018897401056361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24.018897401056361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167.82976403567059</v>
      </c>
      <c r="T149" s="59">
        <f t="shared" si="142"/>
        <v>232.70925470547317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11.455724733743381</v>
      </c>
      <c r="AA149" s="21">
        <f>EXP(-LN(2)/25)*AA148+(1-EXP(-LN(2)/25))/(LN(2)/25)*Calculateur!V149*Calculateur!X149*VLOOKUP('Données projet'!$B$9,Paramètres!$A$1:$I$89,3,0)*0.475*44/12</f>
        <v>3.8168780672002347</v>
      </c>
      <c r="AB149" s="21">
        <f>EXP(-LN(2)/2)*AB148+(1-EXP(-LN(2)/2))/(LN(2)/2)*V149*Y149*VLOOKUP('Données projet'!$B$9,Paramètres!$A$1:$I$89,3,0)*0.475*44/12</f>
        <v>4.0013303273582367E-12</v>
      </c>
      <c r="AC149" s="22">
        <f t="shared" si="111"/>
        <v>15.272602800947618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5.7639226724859328E-14</v>
      </c>
      <c r="AK149" s="13">
        <f t="shared" si="143"/>
        <v>9.2325701996134334E-13</v>
      </c>
      <c r="AL149" s="20">
        <f t="shared" si="112"/>
        <v>1.708394296311803E-12</v>
      </c>
      <c r="AM149" s="59">
        <f t="shared" si="113"/>
        <v>286.21154539383235</v>
      </c>
      <c r="AN149" s="59">
        <f ca="1">AVERAGE(OFFSET($AM$3,0,0,'Données projet'!$E$10+1,1))-AVERAGE(OFFSET($H$3,0,0,'Données projet'!$E$10+1,1))</f>
        <v>542.51810435067659</v>
      </c>
      <c r="AO149" s="59">
        <f t="shared" si="144"/>
        <v>325.7263575945085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125.18352547676604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125.18352547676604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5.1431925385259088E-14</v>
      </c>
      <c r="BF149" s="13">
        <f t="shared" si="145"/>
        <v>8.3482866290946129E-13</v>
      </c>
      <c r="BG149" s="20">
        <f t="shared" si="115"/>
        <v>1.5435705246133045E-12</v>
      </c>
      <c r="BH149" s="59">
        <f t="shared" si="116"/>
        <v>286.21154539383218</v>
      </c>
      <c r="BI149" s="59">
        <f ca="1">AVERAGE(OFFSET($BH$3,0,0,'Données projet'!$E$11+1,1))-AVERAGE(OFFSET($H$3,0,0,'Données projet'!$E$11+1,1))</f>
        <v>492.39485179035256</v>
      </c>
      <c r="BJ149" s="59">
        <f t="shared" si="146"/>
        <v>297.32483725004124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111.70222273311431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111.70222273311431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-5.4092197387944907E-14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260.51631161522039</v>
      </c>
      <c r="CE149" s="59">
        <f t="shared" si="148"/>
        <v>171.3469666102674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23.547901473102485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23.547901473102485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167.82976403567059</v>
      </c>
      <c r="T150" s="59">
        <f t="shared" si="142"/>
        <v>232.70925470547317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11.231084959016822</v>
      </c>
      <c r="AA150" s="21">
        <f>EXP(-LN(2)/25)*AA149+(1-EXP(-LN(2)/25))/(LN(2)/25)*Calculateur!V150*Calculateur!X150*VLOOKUP('Données projet'!$B$9,Paramètres!$A$1:$I$89,3,0)*0.475*44/12</f>
        <v>3.7125053357317501</v>
      </c>
      <c r="AB150" s="21">
        <f>EXP(-LN(2)/2)*AB149+(1-EXP(-LN(2)/2))/(LN(2)/2)*V150*Y150*VLOOKUP('Données projet'!$B$9,Paramètres!$A$1:$I$89,3,0)*0.475*44/12</f>
        <v>2.8293678082423972E-12</v>
      </c>
      <c r="AC150" s="22">
        <f t="shared" si="111"/>
        <v>14.943590294751402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5.7639226724859328E-14</v>
      </c>
      <c r="AK150" s="13">
        <f t="shared" si="143"/>
        <v>9.2325701996134334E-13</v>
      </c>
      <c r="AL150" s="20">
        <f t="shared" si="112"/>
        <v>1.708394296311803E-12</v>
      </c>
      <c r="AM150" s="59">
        <f t="shared" si="113"/>
        <v>286.33509249265012</v>
      </c>
      <c r="AN150" s="59">
        <f ca="1">AVERAGE(OFFSET($AM$3,0,0,'Données projet'!$E$10+1,1))-AVERAGE(OFFSET($H$3,0,0,'Données projet'!$E$10+1,1))</f>
        <v>542.51810435067659</v>
      </c>
      <c r="AO150" s="59">
        <f t="shared" si="144"/>
        <v>325.7263575945085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122.72875289657782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122.72875289657782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5.1431925385259088E-14</v>
      </c>
      <c r="BF150" s="13">
        <f t="shared" si="145"/>
        <v>8.3482866290946129E-13</v>
      </c>
      <c r="BG150" s="20">
        <f t="shared" si="115"/>
        <v>1.5435705246133045E-12</v>
      </c>
      <c r="BH150" s="59">
        <f t="shared" si="116"/>
        <v>286.33509249264995</v>
      </c>
      <c r="BI150" s="59">
        <f ca="1">AVERAGE(OFFSET($BH$3,0,0,'Données projet'!$E$11+1,1))-AVERAGE(OFFSET($H$3,0,0,'Données projet'!$E$11+1,1))</f>
        <v>492.39485179035256</v>
      </c>
      <c r="BJ150" s="59">
        <f t="shared" si="146"/>
        <v>297.32483725004124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109.51181027694636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109.51181027694636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-5.4092197387944907E-14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260.51631161522039</v>
      </c>
      <c r="CE150" s="59">
        <f t="shared" si="148"/>
        <v>171.3469666102674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23.086141488016636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23.086141488016636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167.82976403567059</v>
      </c>
      <c r="T151" s="59">
        <f t="shared" si="142"/>
        <v>232.70925470547317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11.010850233255917</v>
      </c>
      <c r="AA151" s="21">
        <f>EXP(-LN(2)/25)*AA150+(1-EXP(-LN(2)/25))/(LN(2)/25)*Calculateur!V151*Calculateur!X151*VLOOKUP('Données projet'!$B$9,Paramètres!$A$1:$I$89,3,0)*0.475*44/12</f>
        <v>3.6109866820939946</v>
      </c>
      <c r="AB151" s="21">
        <f>EXP(-LN(2)/2)*AB150+(1-EXP(-LN(2)/2))/(LN(2)/2)*V151*Y151*VLOOKUP('Données projet'!$B$9,Paramètres!$A$1:$I$89,3,0)*0.475*44/12</f>
        <v>2.0006651636791183E-12</v>
      </c>
      <c r="AC151" s="22">
        <f t="shared" si="111"/>
        <v>14.621836915351912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5.7639226724859328E-14</v>
      </c>
      <c r="AK151" s="13">
        <f t="shared" si="143"/>
        <v>9.2325701996134334E-13</v>
      </c>
      <c r="AL151" s="20">
        <f t="shared" si="112"/>
        <v>1.708394296311803E-12</v>
      </c>
      <c r="AM151" s="59">
        <f t="shared" si="113"/>
        <v>286.4564963255134</v>
      </c>
      <c r="AN151" s="59">
        <f ca="1">AVERAGE(OFFSET($AM$3,0,0,'Données projet'!$E$10+1,1))-AVERAGE(OFFSET($H$3,0,0,'Données projet'!$E$10+1,1))</f>
        <v>542.51810435067659</v>
      </c>
      <c r="AO151" s="59">
        <f t="shared" si="144"/>
        <v>325.7263575945085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120.32211690942367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120.32211690942367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5.1431925385259088E-14</v>
      </c>
      <c r="BF151" s="13">
        <f t="shared" si="145"/>
        <v>8.3482866290946129E-13</v>
      </c>
      <c r="BG151" s="20">
        <f t="shared" si="115"/>
        <v>1.5435705246133045E-12</v>
      </c>
      <c r="BH151" s="59">
        <f t="shared" si="116"/>
        <v>286.45649632551323</v>
      </c>
      <c r="BI151" s="59">
        <f ca="1">AVERAGE(OFFSET($BH$3,0,0,'Données projet'!$E$11+1,1))-AVERAGE(OFFSET($H$3,0,0,'Données projet'!$E$11+1,1))</f>
        <v>492.39485179035256</v>
      </c>
      <c r="BJ151" s="59">
        <f t="shared" si="146"/>
        <v>297.32483725004124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107.36435047302419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107.36435047302419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-5.4092197387944907E-14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260.51631161522039</v>
      </c>
      <c r="CE151" s="59">
        <f t="shared" si="148"/>
        <v>171.3469666102674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22.633436334592538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22.633436334592538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167.82976403567059</v>
      </c>
      <c r="T152" s="59">
        <f t="shared" si="142"/>
        <v>232.70925470547317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10.794934176137266</v>
      </c>
      <c r="AA152" s="21">
        <f>EXP(-LN(2)/25)*AA151+(1-EXP(-LN(2)/25))/(LN(2)/25)*Calculateur!V152*Calculateur!X152*VLOOKUP('Données projet'!$B$9,Paramètres!$A$1:$I$89,3,0)*0.475*44/12</f>
        <v>3.5122440613785977</v>
      </c>
      <c r="AB152" s="21">
        <f>EXP(-LN(2)/2)*AB151+(1-EXP(-LN(2)/2))/(LN(2)/2)*V152*Y152*VLOOKUP('Données projet'!$B$9,Paramètres!$A$1:$I$89,3,0)*0.475*44/12</f>
        <v>1.4146839041211986E-12</v>
      </c>
      <c r="AC152" s="22">
        <f t="shared" si="111"/>
        <v>14.307178237517277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5.7639226724859328E-14</v>
      </c>
      <c r="AK152" s="13">
        <f t="shared" si="143"/>
        <v>9.2325701996134334E-13</v>
      </c>
      <c r="AL152" s="20">
        <f t="shared" si="112"/>
        <v>1.708394296311803E-12</v>
      </c>
      <c r="AM152" s="59">
        <f t="shared" si="113"/>
        <v>286.57579407329479</v>
      </c>
      <c r="AN152" s="59">
        <f ca="1">AVERAGE(OFFSET($AM$3,0,0,'Données projet'!$E$10+1,1))-AVERAGE(OFFSET($H$3,0,0,'Données projet'!$E$10+1,1))</f>
        <v>542.51810435067659</v>
      </c>
      <c r="AO152" s="59">
        <f t="shared" si="144"/>
        <v>325.7263575945085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117.9626735860746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117.9626735860746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5.1431925385259088E-14</v>
      </c>
      <c r="BF152" s="13">
        <f t="shared" si="145"/>
        <v>8.3482866290946129E-13</v>
      </c>
      <c r="BG152" s="20">
        <f t="shared" si="115"/>
        <v>1.5435705246133045E-12</v>
      </c>
      <c r="BH152" s="59">
        <f t="shared" si="116"/>
        <v>286.57579407329462</v>
      </c>
      <c r="BI152" s="59">
        <f ca="1">AVERAGE(OFFSET($BH$3,0,0,'Données projet'!$E$11+1,1))-AVERAGE(OFFSET($H$3,0,0,'Données projet'!$E$11+1,1))</f>
        <v>492.39485179035256</v>
      </c>
      <c r="BJ152" s="59">
        <f t="shared" si="146"/>
        <v>297.32483725004124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105.25900104603579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105.25900104603579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-5.4092197387944907E-14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260.51631161522039</v>
      </c>
      <c r="CE152" s="59">
        <f t="shared" si="148"/>
        <v>171.3469666102674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22.18960845310421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22.18960845310421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167.82976403567059</v>
      </c>
      <c r="T153" s="59">
        <f t="shared" si="142"/>
        <v>232.70925470547317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10.58325210120292</v>
      </c>
      <c r="AA153" s="21">
        <f>EXP(-LN(2)/25)*AA152+(1-EXP(-LN(2)/25))/(LN(2)/25)*Calculateur!V153*Calculateur!X153*VLOOKUP('Données projet'!$B$9,Paramètres!$A$1:$I$89,3,0)*0.475*44/12</f>
        <v>3.4162015628193121</v>
      </c>
      <c r="AB153" s="21">
        <f>EXP(-LN(2)/2)*AB152+(1-EXP(-LN(2)/2))/(LN(2)/2)*V153*Y153*VLOOKUP('Données projet'!$B$9,Paramètres!$A$1:$I$89,3,0)*0.475*44/12</f>
        <v>1.0003325818395592E-12</v>
      </c>
      <c r="AC153" s="22">
        <f t="shared" si="111"/>
        <v>13.999453664023232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5.7639226724859328E-14</v>
      </c>
      <c r="AK153" s="13">
        <f t="shared" si="143"/>
        <v>9.2325701996134334E-13</v>
      </c>
      <c r="AL153" s="20">
        <f t="shared" si="112"/>
        <v>1.708394296311803E-12</v>
      </c>
      <c r="AM153" s="59">
        <f t="shared" si="113"/>
        <v>286.69302227186205</v>
      </c>
      <c r="AN153" s="59">
        <f ca="1">AVERAGE(OFFSET($AM$3,0,0,'Données projet'!$E$10+1,1))-AVERAGE(OFFSET($H$3,0,0,'Données projet'!$E$10+1,1))</f>
        <v>542.51810435067659</v>
      </c>
      <c r="AO153" s="59">
        <f t="shared" si="144"/>
        <v>325.7263575945085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115.64949750717808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115.64949750717808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5.1431925385259088E-14</v>
      </c>
      <c r="BF153" s="13">
        <f t="shared" si="145"/>
        <v>8.3482866290946129E-13</v>
      </c>
      <c r="BG153" s="20">
        <f t="shared" si="115"/>
        <v>1.5435705246133045E-12</v>
      </c>
      <c r="BH153" s="59">
        <f t="shared" si="116"/>
        <v>286.69302227186188</v>
      </c>
      <c r="BI153" s="59">
        <f ca="1">AVERAGE(OFFSET($BH$3,0,0,'Données projet'!$E$11+1,1))-AVERAGE(OFFSET($H$3,0,0,'Données projet'!$E$11+1,1))</f>
        <v>492.39485179035256</v>
      </c>
      <c r="BJ153" s="59">
        <f t="shared" si="146"/>
        <v>297.32483725004124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103.19493623717428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103.19493623717428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-5.4092197387944907E-14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260.51631161522039</v>
      </c>
      <c r="CE153" s="59">
        <f t="shared" si="148"/>
        <v>171.3469666102674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21.75448376566359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21.75448376566359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167.82976403567059</v>
      </c>
      <c r="T154" s="59">
        <f t="shared" si="142"/>
        <v>232.70925470547317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10.375720982644719</v>
      </c>
      <c r="AA154" s="21">
        <f>EXP(-LN(2)/25)*AA153+(1-EXP(-LN(2)/25))/(LN(2)/25)*Calculateur!V154*Calculateur!X154*VLOOKUP('Données projet'!$B$9,Paramètres!$A$1:$I$89,3,0)*0.475*44/12</f>
        <v>3.3227853514337857</v>
      </c>
      <c r="AB154" s="21">
        <f>EXP(-LN(2)/2)*AB153+(1-EXP(-LN(2)/2))/(LN(2)/2)*V154*Y154*VLOOKUP('Données projet'!$B$9,Paramètres!$A$1:$I$89,3,0)*0.475*44/12</f>
        <v>7.0734195206059931E-13</v>
      </c>
      <c r="AC154" s="22">
        <f t="shared" ref="AC154:AC203" si="163">SUM(Z154:AB154)</f>
        <v>13.698506334079212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5.7639226724859328E-14</v>
      </c>
      <c r="AK154" s="13">
        <f t="shared" ref="AK154:AK203" si="164">EXP(-1.0587+0.8836*LN(AJ154)+0.284)</f>
        <v>9.2325701996134334E-13</v>
      </c>
      <c r="AL154" s="20">
        <f t="shared" ref="AL154:AL203" si="165">(AJ154+AK154)*0.475*44/12</f>
        <v>1.708394296311803E-12</v>
      </c>
      <c r="AM154" s="59">
        <f t="shared" si="113"/>
        <v>286.80821682326706</v>
      </c>
      <c r="AN154" s="59">
        <f ca="1">AVERAGE(OFFSET($AM$3,0,0,'Données projet'!$E$10+1,1))-AVERAGE(OFFSET($H$3,0,0,'Données projet'!$E$10+1,1))</f>
        <v>542.51810435067659</v>
      </c>
      <c r="AO154" s="59">
        <f t="shared" si="144"/>
        <v>325.7263575945085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113.38168140029063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113.38168140029063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5.1431925385259088E-14</v>
      </c>
      <c r="BF154" s="13">
        <f t="shared" ref="BF154:BF203" si="167">EXP(-1.0587+0.8836*LN(BE154)+0.284)</f>
        <v>8.3482866290946129E-13</v>
      </c>
      <c r="BG154" s="20">
        <f t="shared" ref="BG154:BG203" si="168">(BE154+BF154)*0.475*44/12</f>
        <v>1.5435705246133045E-12</v>
      </c>
      <c r="BH154" s="59">
        <f t="shared" si="116"/>
        <v>286.80821682326689</v>
      </c>
      <c r="BI154" s="59">
        <f ca="1">AVERAGE(OFFSET($BH$3,0,0,'Données projet'!$E$11+1,1))-AVERAGE(OFFSET($H$3,0,0,'Données projet'!$E$11+1,1))</f>
        <v>492.39485179035256</v>
      </c>
      <c r="BJ154" s="59">
        <f t="shared" si="146"/>
        <v>297.32483725004124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101.17134648025932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101.17134648025932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-5.4092197387944907E-14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260.51631161522039</v>
      </c>
      <c r="CE154" s="59">
        <f t="shared" si="148"/>
        <v>171.3469666102674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21.327891607943826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21.327891607943826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167.82976403567059</v>
      </c>
      <c r="T155" s="59">
        <f t="shared" si="142"/>
        <v>232.70925470547317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10.172259422739961</v>
      </c>
      <c r="AA155" s="21">
        <f>EXP(-LN(2)/25)*AA154+(1-EXP(-LN(2)/25))/(LN(2)/25)*Calculateur!V155*Calculateur!X155*VLOOKUP('Données projet'!$B$9,Paramètres!$A$1:$I$89,3,0)*0.475*44/12</f>
        <v>3.2319236112611414</v>
      </c>
      <c r="AB155" s="21">
        <f>EXP(-LN(2)/2)*AB154+(1-EXP(-LN(2)/2))/(LN(2)/2)*V155*Y155*VLOOKUP('Données projet'!$B$9,Paramètres!$A$1:$I$89,3,0)*0.475*44/12</f>
        <v>5.0016629091977958E-13</v>
      </c>
      <c r="AC155" s="22">
        <f t="shared" si="163"/>
        <v>13.404183034001603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5.7639226724859328E-14</v>
      </c>
      <c r="AK155" s="13">
        <f t="shared" si="164"/>
        <v>9.2325701996134334E-13</v>
      </c>
      <c r="AL155" s="20">
        <f t="shared" si="165"/>
        <v>1.708394296311803E-12</v>
      </c>
      <c r="AM155" s="59">
        <f t="shared" si="113"/>
        <v>286.9214130067416</v>
      </c>
      <c r="AN155" s="59">
        <f ca="1">AVERAGE(OFFSET($AM$3,0,0,'Données projet'!$E$10+1,1))-AVERAGE(OFFSET($H$3,0,0,'Données projet'!$E$10+1,1))</f>
        <v>542.51810435067659</v>
      </c>
      <c r="AO155" s="59">
        <f t="shared" si="144"/>
        <v>325.7263575945085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111.158335784028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111.158335784028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5.1431925385259088E-14</v>
      </c>
      <c r="BF155" s="13">
        <f t="shared" si="167"/>
        <v>8.3482866290946129E-13</v>
      </c>
      <c r="BG155" s="20">
        <f t="shared" si="168"/>
        <v>1.5435705246133045E-12</v>
      </c>
      <c r="BH155" s="59">
        <f t="shared" si="116"/>
        <v>286.92141300674143</v>
      </c>
      <c r="BI155" s="59">
        <f ca="1">AVERAGE(OFFSET($BH$3,0,0,'Données projet'!$E$11+1,1))-AVERAGE(OFFSET($H$3,0,0,'Données projet'!$E$11+1,1))</f>
        <v>492.39485179035256</v>
      </c>
      <c r="BJ155" s="59">
        <f t="shared" si="146"/>
        <v>297.32483725004124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99.187438084209589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99.187438084209589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-5.4092197387944907E-14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260.51631161522039</v>
      </c>
      <c r="CE155" s="59">
        <f t="shared" si="148"/>
        <v>171.3469666102674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20.909664662241422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20.909664662241422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167.82976403567059</v>
      </c>
      <c r="T156" s="59">
        <f t="shared" si="142"/>
        <v>232.70925470547317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9.9727876199256382</v>
      </c>
      <c r="AA156" s="21">
        <f>EXP(-LN(2)/25)*AA155+(1-EXP(-LN(2)/25))/(LN(2)/25)*Calculateur!V156*Calculateur!X156*VLOOKUP('Données projet'!$B$9,Paramètres!$A$1:$I$89,3,0)*0.475*44/12</f>
        <v>3.1435464901517296</v>
      </c>
      <c r="AB156" s="21">
        <f>EXP(-LN(2)/2)*AB155+(1-EXP(-LN(2)/2))/(LN(2)/2)*V156*Y156*VLOOKUP('Données projet'!$B$9,Paramètres!$A$1:$I$89,3,0)*0.475*44/12</f>
        <v>3.5367097603029965E-13</v>
      </c>
      <c r="AC156" s="22">
        <f t="shared" si="163"/>
        <v>13.116334110077721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5.7639226724859328E-14</v>
      </c>
      <c r="AK156" s="13">
        <f t="shared" si="164"/>
        <v>9.2325701996134334E-13</v>
      </c>
      <c r="AL156" s="20">
        <f t="shared" si="165"/>
        <v>1.708394296311803E-12</v>
      </c>
      <c r="AM156" s="59">
        <f t="shared" si="113"/>
        <v>287.0326454895017</v>
      </c>
      <c r="AN156" s="59">
        <f ca="1">AVERAGE(OFFSET($AM$3,0,0,'Données projet'!$E$10+1,1))-AVERAGE(OFFSET($H$3,0,0,'Données projet'!$E$10+1,1))</f>
        <v>542.51810435067659</v>
      </c>
      <c r="AO156" s="59">
        <f t="shared" si="144"/>
        <v>325.7263575945085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108.97858861919336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108.97858861919336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5.1431925385259088E-14</v>
      </c>
      <c r="BF156" s="13">
        <f t="shared" si="167"/>
        <v>8.3482866290946129E-13</v>
      </c>
      <c r="BG156" s="20">
        <f t="shared" si="168"/>
        <v>1.5435705246133045E-12</v>
      </c>
      <c r="BH156" s="59">
        <f t="shared" si="116"/>
        <v>287.03264548950153</v>
      </c>
      <c r="BI156" s="59">
        <f ca="1">AVERAGE(OFFSET($BH$3,0,0,'Données projet'!$E$11+1,1))-AVERAGE(OFFSET($H$3,0,0,'Données projet'!$E$11+1,1))</f>
        <v>492.39485179035256</v>
      </c>
      <c r="BJ156" s="59">
        <f t="shared" si="146"/>
        <v>297.32483725004124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97.242432921741752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97.242432921741752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-5.4092197387944907E-14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260.51631161522039</v>
      </c>
      <c r="CE156" s="59">
        <f t="shared" si="148"/>
        <v>171.3469666102674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20.499638891850996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20.499638891850996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167.82976403567059</v>
      </c>
      <c r="T157" s="59">
        <f t="shared" si="142"/>
        <v>232.70925470547317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9.7772273374987186</v>
      </c>
      <c r="AA157" s="21">
        <f>EXP(-LN(2)/25)*AA156+(1-EXP(-LN(2)/25))/(LN(2)/25)*Calculateur!V157*Calculateur!X157*VLOOKUP('Données projet'!$B$9,Paramètres!$A$1:$I$89,3,0)*0.475*44/12</f>
        <v>3.0575860460666053</v>
      </c>
      <c r="AB157" s="21">
        <f>EXP(-LN(2)/2)*AB156+(1-EXP(-LN(2)/2))/(LN(2)/2)*V157*Y157*VLOOKUP('Données projet'!$B$9,Paramètres!$A$1:$I$89,3,0)*0.475*44/12</f>
        <v>2.5008314545988979E-13</v>
      </c>
      <c r="AC157" s="22">
        <f t="shared" si="163"/>
        <v>12.834813383565574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5.7639226724859328E-14</v>
      </c>
      <c r="AK157" s="13">
        <f t="shared" si="164"/>
        <v>9.2325701996134334E-13</v>
      </c>
      <c r="AL157" s="20">
        <f t="shared" si="165"/>
        <v>1.708394296311803E-12</v>
      </c>
      <c r="AM157" s="59">
        <f t="shared" si="113"/>
        <v>287.14194833736445</v>
      </c>
      <c r="AN157" s="59">
        <f ca="1">AVERAGE(OFFSET($AM$3,0,0,'Données projet'!$E$10+1,1))-AVERAGE(OFFSET($H$3,0,0,'Données projet'!$E$10+1,1))</f>
        <v>542.51810435067659</v>
      </c>
      <c r="AO157" s="59">
        <f t="shared" si="144"/>
        <v>325.7263575945085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106.84158496674664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106.84158496674664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5.1431925385259088E-14</v>
      </c>
      <c r="BF157" s="13">
        <f t="shared" si="167"/>
        <v>8.3482866290946129E-13</v>
      </c>
      <c r="BG157" s="20">
        <f t="shared" si="168"/>
        <v>1.5435705246133045E-12</v>
      </c>
      <c r="BH157" s="59">
        <f t="shared" si="116"/>
        <v>287.14194833736428</v>
      </c>
      <c r="BI157" s="59">
        <f ca="1">AVERAGE(OFFSET($BH$3,0,0,'Données projet'!$E$11+1,1))-AVERAGE(OFFSET($H$3,0,0,'Données projet'!$E$11+1,1))</f>
        <v>492.39485179035256</v>
      </c>
      <c r="BJ157" s="59">
        <f t="shared" si="146"/>
        <v>297.32483725004124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95.335568124173903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95.335568124173903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-5.4092197387944907E-14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260.51631161522039</v>
      </c>
      <c r="CE157" s="59">
        <f t="shared" si="148"/>
        <v>171.3469666102674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20.097653476726901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20.097653476726901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167.82976403567059</v>
      </c>
      <c r="T158" s="59">
        <f t="shared" si="142"/>
        <v>232.70925470547317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9.5855018729301964</v>
      </c>
      <c r="AA158" s="21">
        <f>EXP(-LN(2)/25)*AA157+(1-EXP(-LN(2)/25))/(LN(2)/25)*Calculateur!V158*Calculateur!X158*VLOOKUP('Données projet'!$B$9,Paramètres!$A$1:$I$89,3,0)*0.475*44/12</f>
        <v>2.9739761948454522</v>
      </c>
      <c r="AB158" s="21">
        <f>EXP(-LN(2)/2)*AB157+(1-EXP(-LN(2)/2))/(LN(2)/2)*V158*Y158*VLOOKUP('Données projet'!$B$9,Paramètres!$A$1:$I$89,3,0)*0.475*44/12</f>
        <v>1.7683548801514983E-13</v>
      </c>
      <c r="AC158" s="22">
        <f t="shared" si="163"/>
        <v>12.559478067775826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5.7639226724859328E-14</v>
      </c>
      <c r="AK158" s="13">
        <f t="shared" si="164"/>
        <v>9.2325701996134334E-13</v>
      </c>
      <c r="AL158" s="20">
        <f t="shared" si="165"/>
        <v>1.708394296311803E-12</v>
      </c>
      <c r="AM158" s="59">
        <f t="shared" si="113"/>
        <v>287.24935502518139</v>
      </c>
      <c r="AN158" s="59">
        <f ca="1">AVERAGE(OFFSET($AM$3,0,0,'Données projet'!$E$10+1,1))-AVERAGE(OFFSET($H$3,0,0,'Données projet'!$E$10+1,1))</f>
        <v>542.51810435067659</v>
      </c>
      <c r="AO158" s="59">
        <f t="shared" si="144"/>
        <v>325.7263575945085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104.74648665248087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104.74648665248087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5.1431925385259088E-14</v>
      </c>
      <c r="BF158" s="13">
        <f t="shared" si="167"/>
        <v>8.3482866290946129E-13</v>
      </c>
      <c r="BG158" s="20">
        <f t="shared" si="168"/>
        <v>1.5435705246133045E-12</v>
      </c>
      <c r="BH158" s="59">
        <f t="shared" si="116"/>
        <v>287.24935502518122</v>
      </c>
      <c r="BI158" s="59">
        <f ca="1">AVERAGE(OFFSET($BH$3,0,0,'Données projet'!$E$11+1,1))-AVERAGE(OFFSET($H$3,0,0,'Données projet'!$E$11+1,1))</f>
        <v>492.39485179035256</v>
      </c>
      <c r="BJ158" s="59">
        <f t="shared" si="146"/>
        <v>297.32483725004124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93.466095782213671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93.466095782213671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-5.4092197387944907E-14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260.51631161522039</v>
      </c>
      <c r="CE158" s="59">
        <f t="shared" si="148"/>
        <v>171.3469666102674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19.703550750406496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19.703550750406496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167.82976403567059</v>
      </c>
      <c r="T159" s="59">
        <f t="shared" si="142"/>
        <v>232.70925470547317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9.3975360277808768</v>
      </c>
      <c r="AA159" s="21">
        <f>EXP(-LN(2)/25)*AA158+(1-EXP(-LN(2)/25))/(LN(2)/25)*Calculateur!V159*Calculateur!X159*VLOOKUP('Données projet'!$B$9,Paramètres!$A$1:$I$89,3,0)*0.475*44/12</f>
        <v>2.8926526594027924</v>
      </c>
      <c r="AB159" s="21">
        <f>EXP(-LN(2)/2)*AB158+(1-EXP(-LN(2)/2))/(LN(2)/2)*V159*Y159*VLOOKUP('Données projet'!$B$9,Paramètres!$A$1:$I$89,3,0)*0.475*44/12</f>
        <v>1.250415727299449E-13</v>
      </c>
      <c r="AC159" s="22">
        <f t="shared" si="163"/>
        <v>12.290188687183793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5.7639226724859328E-14</v>
      </c>
      <c r="AK159" s="13">
        <f t="shared" si="164"/>
        <v>9.2325701996134334E-13</v>
      </c>
      <c r="AL159" s="20">
        <f t="shared" si="165"/>
        <v>1.708394296311803E-12</v>
      </c>
      <c r="AM159" s="59">
        <f t="shared" si="113"/>
        <v>287.35489844709002</v>
      </c>
      <c r="AN159" s="59">
        <f ca="1">AVERAGE(OFFSET($AM$3,0,0,'Données projet'!$E$10+1,1))-AVERAGE(OFFSET($H$3,0,0,'Données projet'!$E$10+1,1))</f>
        <v>542.51810435067659</v>
      </c>
      <c r="AO159" s="59">
        <f t="shared" si="144"/>
        <v>325.7263575945085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102.69247193827405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102.69247193827405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5.1431925385259088E-14</v>
      </c>
      <c r="BF159" s="13">
        <f t="shared" si="167"/>
        <v>8.3482866290946129E-13</v>
      </c>
      <c r="BG159" s="20">
        <f t="shared" si="168"/>
        <v>1.5435705246133045E-12</v>
      </c>
      <c r="BH159" s="59">
        <f t="shared" si="116"/>
        <v>287.35489844708985</v>
      </c>
      <c r="BI159" s="59">
        <f ca="1">AVERAGE(OFFSET($BH$3,0,0,'Données projet'!$E$11+1,1))-AVERAGE(OFFSET($H$3,0,0,'Données projet'!$E$11+1,1))</f>
        <v>492.39485179035256</v>
      </c>
      <c r="BJ159" s="59">
        <f t="shared" si="146"/>
        <v>297.32483725004124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91.633282652613744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91.633282652613744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-5.4092197387944907E-14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260.51631161522039</v>
      </c>
      <c r="CE159" s="59">
        <f t="shared" si="148"/>
        <v>171.3469666102674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19.317176138170307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19.317176138170307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167.82976403567059</v>
      </c>
      <c r="T160" s="59">
        <f t="shared" si="142"/>
        <v>232.70925470547317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9.21325607820709</v>
      </c>
      <c r="AA160" s="21">
        <f>EXP(-LN(2)/25)*AA159+(1-EXP(-LN(2)/25))/(LN(2)/25)*Calculateur!V160*Calculateur!X160*VLOOKUP('Données projet'!$B$9,Paramètres!$A$1:$I$89,3,0)*0.475*44/12</f>
        <v>2.8135529203134308</v>
      </c>
      <c r="AB160" s="21">
        <f>EXP(-LN(2)/2)*AB159+(1-EXP(-LN(2)/2))/(LN(2)/2)*V160*Y160*VLOOKUP('Données projet'!$B$9,Paramètres!$A$1:$I$89,3,0)*0.475*44/12</f>
        <v>8.8417744007574913E-14</v>
      </c>
      <c r="AC160" s="22">
        <f t="shared" si="163"/>
        <v>12.026808998520609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5.7639226724859328E-14</v>
      </c>
      <c r="AK160" s="13">
        <f t="shared" si="164"/>
        <v>9.2325701996134334E-13</v>
      </c>
      <c r="AL160" s="20">
        <f t="shared" si="165"/>
        <v>1.708394296311803E-12</v>
      </c>
      <c r="AM160" s="59">
        <f t="shared" si="113"/>
        <v>287.45861092658828</v>
      </c>
      <c r="AN160" s="59">
        <f ca="1">AVERAGE(OFFSET($AM$3,0,0,'Données projet'!$E$10+1,1))-AVERAGE(OFFSET($H$3,0,0,'Données projet'!$E$10+1,1))</f>
        <v>542.51810435067659</v>
      </c>
      <c r="AO160" s="59">
        <f t="shared" si="144"/>
        <v>325.7263575945085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100.67873519978757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100.67873519978757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5.1431925385259088E-14</v>
      </c>
      <c r="BF160" s="13">
        <f t="shared" si="167"/>
        <v>8.3482866290946129E-13</v>
      </c>
      <c r="BG160" s="20">
        <f t="shared" si="168"/>
        <v>1.5435705246133045E-12</v>
      </c>
      <c r="BH160" s="59">
        <f t="shared" si="116"/>
        <v>287.45861092658811</v>
      </c>
      <c r="BI160" s="59">
        <f ca="1">AVERAGE(OFFSET($BH$3,0,0,'Données projet'!$E$11+1,1))-AVERAGE(OFFSET($H$3,0,0,'Données projet'!$E$11+1,1))</f>
        <v>492.39485179035256</v>
      </c>
      <c r="BJ160" s="59">
        <f t="shared" si="146"/>
        <v>297.32483725004124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89.836409870579644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89.836409870579644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-5.4092197387944907E-14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260.51631161522039</v>
      </c>
      <c r="CE160" s="59">
        <f t="shared" si="148"/>
        <v>171.3469666102674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18.938378096414827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18.938378096414827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167.82976403567059</v>
      </c>
      <c r="T161" s="59">
        <f t="shared" si="142"/>
        <v>232.70925470547317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9.0325897460447742</v>
      </c>
      <c r="AA161" s="21">
        <f>EXP(-LN(2)/25)*AA160+(1-EXP(-LN(2)/25))/(LN(2)/25)*Calculateur!V161*Calculateur!X161*VLOOKUP('Données projet'!$B$9,Paramètres!$A$1:$I$89,3,0)*0.475*44/12</f>
        <v>2.7366161677491423</v>
      </c>
      <c r="AB161" s="21">
        <f>EXP(-LN(2)/2)*AB160+(1-EXP(-LN(2)/2))/(LN(2)/2)*V161*Y161*VLOOKUP('Données projet'!$B$9,Paramètres!$A$1:$I$89,3,0)*0.475*44/12</f>
        <v>6.2520786364972448E-14</v>
      </c>
      <c r="AC161" s="22">
        <f t="shared" si="163"/>
        <v>11.769205913793979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5.7639226724859328E-14</v>
      </c>
      <c r="AK161" s="13">
        <f t="shared" si="164"/>
        <v>9.2325701996134334E-13</v>
      </c>
      <c r="AL161" s="20">
        <f t="shared" si="165"/>
        <v>1.708394296311803E-12</v>
      </c>
      <c r="AM161" s="59">
        <f t="shared" si="113"/>
        <v>287.5605242264337</v>
      </c>
      <c r="AN161" s="59">
        <f ca="1">AVERAGE(OFFSET($AM$3,0,0,'Données projet'!$E$10+1,1))-AVERAGE(OFFSET($H$3,0,0,'Données projet'!$E$10+1,1))</f>
        <v>542.51810435067659</v>
      </c>
      <c r="AO161" s="59">
        <f t="shared" si="144"/>
        <v>325.7263575945085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98.704486610484679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98.704486610484679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5.1431925385259088E-14</v>
      </c>
      <c r="BF161" s="13">
        <f t="shared" si="167"/>
        <v>8.3482866290946129E-13</v>
      </c>
      <c r="BG161" s="20">
        <f t="shared" si="168"/>
        <v>1.5435705246133045E-12</v>
      </c>
      <c r="BH161" s="59">
        <f t="shared" si="116"/>
        <v>287.56052422643353</v>
      </c>
      <c r="BI161" s="59">
        <f ca="1">AVERAGE(OFFSET($BH$3,0,0,'Données projet'!$E$11+1,1))-AVERAGE(OFFSET($H$3,0,0,'Données projet'!$E$11+1,1))</f>
        <v>492.39485179035256</v>
      </c>
      <c r="BJ161" s="59">
        <f t="shared" si="146"/>
        <v>297.32483725004124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88.074772667817058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88.074772667817058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-5.4092197387944907E-14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260.51631161522039</v>
      </c>
      <c r="CE161" s="59">
        <f t="shared" si="148"/>
        <v>171.3469666102674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18.567008053214177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18.567008053214177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167.82976403567059</v>
      </c>
      <c r="T162" s="59">
        <f t="shared" si="142"/>
        <v>232.70925470547317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8.8554661704605788</v>
      </c>
      <c r="AA162" s="21">
        <f>EXP(-LN(2)/25)*AA161+(1-EXP(-LN(2)/25))/(LN(2)/25)*Calculateur!V162*Calculateur!X162*VLOOKUP('Données projet'!$B$9,Paramètres!$A$1:$I$89,3,0)*0.475*44/12</f>
        <v>2.6617832547296523</v>
      </c>
      <c r="AB162" s="21">
        <f>EXP(-LN(2)/2)*AB161+(1-EXP(-LN(2)/2))/(LN(2)/2)*V162*Y162*VLOOKUP('Données projet'!$B$9,Paramètres!$A$1:$I$89,3,0)*0.475*44/12</f>
        <v>4.4208872003787457E-14</v>
      </c>
      <c r="AC162" s="22">
        <f t="shared" si="163"/>
        <v>11.517249425190276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5.7639226724859328E-14</v>
      </c>
      <c r="AK162" s="13">
        <f t="shared" si="164"/>
        <v>9.2325701996134334E-13</v>
      </c>
      <c r="AL162" s="20">
        <f t="shared" si="165"/>
        <v>1.708394296311803E-12</v>
      </c>
      <c r="AM162" s="59">
        <f t="shared" si="113"/>
        <v>287.66066955837067</v>
      </c>
      <c r="AN162" s="59">
        <f ca="1">AVERAGE(OFFSET($AM$3,0,0,'Données projet'!$E$10+1,1))-AVERAGE(OFFSET($H$3,0,0,'Données projet'!$E$10+1,1))</f>
        <v>542.51810435067659</v>
      </c>
      <c r="AO162" s="59">
        <f t="shared" si="144"/>
        <v>325.7263575945085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96.768951831845271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96.768951831845271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5.1431925385259088E-14</v>
      </c>
      <c r="BF162" s="13">
        <f t="shared" si="167"/>
        <v>8.3482866290946129E-13</v>
      </c>
      <c r="BG162" s="20">
        <f t="shared" si="168"/>
        <v>1.5435705246133045E-12</v>
      </c>
      <c r="BH162" s="59">
        <f t="shared" si="116"/>
        <v>287.6606695583705</v>
      </c>
      <c r="BI162" s="59">
        <f ca="1">AVERAGE(OFFSET($BH$3,0,0,'Données projet'!$E$11+1,1))-AVERAGE(OFFSET($H$3,0,0,'Données projet'!$E$11+1,1))</f>
        <v>492.39485179035256</v>
      </c>
      <c r="BJ162" s="59">
        <f t="shared" si="146"/>
        <v>297.32483725004124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86.34768009610805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86.34768009610805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-5.4092197387944907E-14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260.51631161522039</v>
      </c>
      <c r="CE162" s="59">
        <f t="shared" si="148"/>
        <v>171.3469666102674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18.202920350047332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18.202920350047332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167.82976403567059</v>
      </c>
      <c r="T163" s="59">
        <f t="shared" si="142"/>
        <v>232.70925470547317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8.6818158801588758</v>
      </c>
      <c r="AA163" s="21">
        <f>EXP(-LN(2)/25)*AA162+(1-EXP(-LN(2)/25))/(LN(2)/25)*Calculateur!V163*Calculateur!X163*VLOOKUP('Données projet'!$B$9,Paramètres!$A$1:$I$89,3,0)*0.475*44/12</f>
        <v>2.5889966516519722</v>
      </c>
      <c r="AB163" s="21">
        <f>EXP(-LN(2)/2)*AB162+(1-EXP(-LN(2)/2))/(LN(2)/2)*V163*Y163*VLOOKUP('Données projet'!$B$9,Paramètres!$A$1:$I$89,3,0)*0.475*44/12</f>
        <v>3.1260393182486224E-14</v>
      </c>
      <c r="AC163" s="22">
        <f t="shared" si="163"/>
        <v>11.270812531810879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5.7639226724859328E-14</v>
      </c>
      <c r="AK163" s="13">
        <f t="shared" si="164"/>
        <v>9.2325701996134334E-13</v>
      </c>
      <c r="AL163" s="20">
        <f t="shared" si="165"/>
        <v>1.708394296311803E-12</v>
      </c>
      <c r="AM163" s="59">
        <f t="shared" si="113"/>
        <v>287.75907759269006</v>
      </c>
      <c r="AN163" s="59">
        <f ca="1">AVERAGE(OFFSET($AM$3,0,0,'Données projet'!$E$10+1,1))-AVERAGE(OFFSET($H$3,0,0,'Données projet'!$E$10+1,1))</f>
        <v>542.51810435067659</v>
      </c>
      <c r="AO163" s="59">
        <f t="shared" si="144"/>
        <v>325.7263575945085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94.871371709655349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94.871371709655349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5.1431925385259088E-14</v>
      </c>
      <c r="BF163" s="13">
        <f t="shared" si="167"/>
        <v>8.3482866290946129E-13</v>
      </c>
      <c r="BG163" s="20">
        <f t="shared" si="168"/>
        <v>1.5435705246133045E-12</v>
      </c>
      <c r="BH163" s="59">
        <f t="shared" si="116"/>
        <v>287.75907759268989</v>
      </c>
      <c r="BI163" s="59">
        <f ca="1">AVERAGE(OFFSET($BH$3,0,0,'Données projet'!$E$11+1,1))-AVERAGE(OFFSET($H$3,0,0,'Données projet'!$E$11+1,1))</f>
        <v>492.39485179035256</v>
      </c>
      <c r="BJ163" s="59">
        <f t="shared" si="146"/>
        <v>297.32483725004124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84.6544547563078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84.6544547563078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-5.4092197387944907E-14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260.51631161522039</v>
      </c>
      <c r="CE163" s="59">
        <f t="shared" si="148"/>
        <v>171.3469666102674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17.845972184668017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17.845972184668017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167.82976403567059</v>
      </c>
      <c r="T164" s="59">
        <f t="shared" si="142"/>
        <v>232.70925470547317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8.5115707661337705</v>
      </c>
      <c r="AA164" s="21">
        <f>EXP(-LN(2)/25)*AA163+(1-EXP(-LN(2)/25))/(LN(2)/25)*Calculateur!V164*Calculateur!X164*VLOOKUP('Données projet'!$B$9,Paramètres!$A$1:$I$89,3,0)*0.475*44/12</f>
        <v>2.5182004020631323</v>
      </c>
      <c r="AB164" s="21">
        <f>EXP(-LN(2)/2)*AB163+(1-EXP(-LN(2)/2))/(LN(2)/2)*V164*Y164*VLOOKUP('Données projet'!$B$9,Paramètres!$A$1:$I$89,3,0)*0.475*44/12</f>
        <v>2.2104436001893728E-14</v>
      </c>
      <c r="AC164" s="22">
        <f t="shared" si="163"/>
        <v>11.029771168196923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5.7639226724859328E-14</v>
      </c>
      <c r="AK164" s="13">
        <f t="shared" si="164"/>
        <v>9.2325701996134334E-13</v>
      </c>
      <c r="AL164" s="20">
        <f t="shared" si="165"/>
        <v>1.708394296311803E-12</v>
      </c>
      <c r="AM164" s="59">
        <f t="shared" si="113"/>
        <v>287.85577846762141</v>
      </c>
      <c r="AN164" s="59">
        <f ca="1">AVERAGE(OFFSET($AM$3,0,0,'Données projet'!$E$10+1,1))-AVERAGE(OFFSET($H$3,0,0,'Données projet'!$E$10+1,1))</f>
        <v>542.51810435067659</v>
      </c>
      <c r="AO164" s="59">
        <f t="shared" si="144"/>
        <v>325.7263575945085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93.011001976251976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93.011001976251976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5.1431925385259088E-14</v>
      </c>
      <c r="BF164" s="13">
        <f t="shared" si="167"/>
        <v>8.3482866290946129E-13</v>
      </c>
      <c r="BG164" s="20">
        <f t="shared" si="168"/>
        <v>1.5435705246133045E-12</v>
      </c>
      <c r="BH164" s="59">
        <f t="shared" si="116"/>
        <v>287.85577846762123</v>
      </c>
      <c r="BI164" s="59">
        <f ca="1">AVERAGE(OFFSET($BH$3,0,0,'Données projet'!$E$11+1,1))-AVERAGE(OFFSET($H$3,0,0,'Données projet'!$E$11+1,1))</f>
        <v>492.39485179035256</v>
      </c>
      <c r="BJ164" s="59">
        <f t="shared" si="146"/>
        <v>297.32483725004124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82.994432532655566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82.994432532655566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-5.4092197387944907E-14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260.51631161522039</v>
      </c>
      <c r="CE164" s="59">
        <f t="shared" si="148"/>
        <v>171.3469666102674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17.496023555094908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17.496023555094908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167.82976403567059</v>
      </c>
      <c r="T165" s="59">
        <f t="shared" si="142"/>
        <v>232.70925470547317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8.3446640549554321</v>
      </c>
      <c r="AA165" s="21">
        <f>EXP(-LN(2)/25)*AA164+(1-EXP(-LN(2)/25))/(LN(2)/25)*Calculateur!V165*Calculateur!X165*VLOOKUP('Données projet'!$B$9,Paramètres!$A$1:$I$89,3,0)*0.475*44/12</f>
        <v>2.4493400796423122</v>
      </c>
      <c r="AB165" s="21">
        <f>EXP(-LN(2)/2)*AB164+(1-EXP(-LN(2)/2))/(LN(2)/2)*V165*Y165*VLOOKUP('Données projet'!$B$9,Paramètres!$A$1:$I$89,3,0)*0.475*44/12</f>
        <v>1.5630196591243112E-14</v>
      </c>
      <c r="AC165" s="22">
        <f t="shared" si="163"/>
        <v>10.79400413459776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5.7639226724859328E-14</v>
      </c>
      <c r="AK165" s="13">
        <f t="shared" si="164"/>
        <v>9.2325701996134334E-13</v>
      </c>
      <c r="AL165" s="20">
        <f t="shared" si="165"/>
        <v>1.708394296311803E-12</v>
      </c>
      <c r="AM165" s="59">
        <f t="shared" si="113"/>
        <v>287.95080179856342</v>
      </c>
      <c r="AN165" s="59">
        <f ca="1">AVERAGE(OFFSET($AM$3,0,0,'Données projet'!$E$10+1,1))-AVERAGE(OFFSET($H$3,0,0,'Données projet'!$E$10+1,1))</f>
        <v>542.51810435067659</v>
      </c>
      <c r="AO165" s="59">
        <f t="shared" si="144"/>
        <v>325.7263575945085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91.187112958607145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91.187112958607145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5.1431925385259088E-14</v>
      </c>
      <c r="BF165" s="13">
        <f t="shared" si="167"/>
        <v>8.3482866290946129E-13</v>
      </c>
      <c r="BG165" s="20">
        <f t="shared" si="168"/>
        <v>1.5435705246133045E-12</v>
      </c>
      <c r="BH165" s="59">
        <f t="shared" si="116"/>
        <v>287.95080179856325</v>
      </c>
      <c r="BI165" s="59">
        <f ca="1">AVERAGE(OFFSET($BH$3,0,0,'Données projet'!$E$11+1,1))-AVERAGE(OFFSET($H$3,0,0,'Données projet'!$E$11+1,1))</f>
        <v>492.39485179035256</v>
      </c>
      <c r="BJ165" s="59">
        <f t="shared" si="146"/>
        <v>297.32483725004124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81.366962332295572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81.366962332295572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-5.4092197387944907E-14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260.51631161522039</v>
      </c>
      <c r="CE165" s="59">
        <f t="shared" si="148"/>
        <v>171.3469666102674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17.152937204700141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17.152937204700141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167.82976403567059</v>
      </c>
      <c r="T166" s="59">
        <f t="shared" si="142"/>
        <v>232.70925470547317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8.1810302825802594</v>
      </c>
      <c r="AA166" s="21">
        <f>EXP(-LN(2)/25)*AA165+(1-EXP(-LN(2)/25))/(LN(2)/25)*Calculateur!V166*Calculateur!X166*VLOOKUP('Données projet'!$B$9,Paramètres!$A$1:$I$89,3,0)*0.475*44/12</f>
        <v>2.3823627463592962</v>
      </c>
      <c r="AB166" s="21">
        <f>EXP(-LN(2)/2)*AB165+(1-EXP(-LN(2)/2))/(LN(2)/2)*V166*Y166*VLOOKUP('Données projet'!$B$9,Paramètres!$A$1:$I$89,3,0)*0.475*44/12</f>
        <v>1.1052218000946864E-14</v>
      </c>
      <c r="AC166" s="22">
        <f t="shared" si="163"/>
        <v>10.563393028939567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5.7639226724859328E-14</v>
      </c>
      <c r="AK166" s="13">
        <f t="shared" si="164"/>
        <v>9.2325701996134334E-13</v>
      </c>
      <c r="AL166" s="20">
        <f t="shared" si="165"/>
        <v>1.708394296311803E-12</v>
      </c>
      <c r="AM166" s="59">
        <f t="shared" si="113"/>
        <v>288.04417668715394</v>
      </c>
      <c r="AN166" s="59">
        <f ca="1">AVERAGE(OFFSET($AM$3,0,0,'Données projet'!$E$10+1,1))-AVERAGE(OFFSET($H$3,0,0,'Données projet'!$E$10+1,1))</f>
        <v>542.51810435067659</v>
      </c>
      <c r="AO166" s="59">
        <f t="shared" si="144"/>
        <v>325.7263575945085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89.39898929213588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89.39898929213588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5.1431925385259088E-14</v>
      </c>
      <c r="BF166" s="13">
        <f t="shared" si="167"/>
        <v>8.3482866290946129E-13</v>
      </c>
      <c r="BG166" s="20">
        <f t="shared" si="168"/>
        <v>1.5435705246133045E-12</v>
      </c>
      <c r="BH166" s="59">
        <f t="shared" si="116"/>
        <v>288.04417668715377</v>
      </c>
      <c r="BI166" s="59">
        <f ca="1">AVERAGE(OFFSET($BH$3,0,0,'Données projet'!$E$11+1,1))-AVERAGE(OFFSET($H$3,0,0,'Données projet'!$E$11+1,1))</f>
        <v>492.39485179035256</v>
      </c>
      <c r="BJ166" s="59">
        <f t="shared" si="146"/>
        <v>297.32483725004124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79.771405829905831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79.771405829905831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-5.4092197387944907E-14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260.51631161522039</v>
      </c>
      <c r="CE166" s="59">
        <f t="shared" si="148"/>
        <v>171.3469666102674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16.816578568374602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16.816578568374602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167.82976403567059</v>
      </c>
      <c r="T167" s="59">
        <f t="shared" si="142"/>
        <v>232.70925470547317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8.0206052686746183</v>
      </c>
      <c r="AA167" s="21">
        <f>EXP(-LN(2)/25)*AA166+(1-EXP(-LN(2)/25))/(LN(2)/25)*Calculateur!V167*Calculateur!X167*VLOOKUP('Données projet'!$B$9,Paramètres!$A$1:$I$89,3,0)*0.475*44/12</f>
        <v>2.3172169117770895</v>
      </c>
      <c r="AB167" s="21">
        <f>EXP(-LN(2)/2)*AB166+(1-EXP(-LN(2)/2))/(LN(2)/2)*V167*Y167*VLOOKUP('Données projet'!$B$9,Paramètres!$A$1:$I$89,3,0)*0.475*44/12</f>
        <v>7.815098295621556E-15</v>
      </c>
      <c r="AC167" s="22">
        <f t="shared" si="163"/>
        <v>10.337822180451715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5.7639226724859328E-14</v>
      </c>
      <c r="AK167" s="13">
        <f t="shared" si="164"/>
        <v>9.2325701996134334E-13</v>
      </c>
      <c r="AL167" s="20">
        <f t="shared" si="165"/>
        <v>1.708394296311803E-12</v>
      </c>
      <c r="AM167" s="59">
        <f t="shared" si="113"/>
        <v>288.13593173018239</v>
      </c>
      <c r="AN167" s="59">
        <f ca="1">AVERAGE(OFFSET($AM$3,0,0,'Données projet'!$E$10+1,1))-AVERAGE(OFFSET($H$3,0,0,'Données projet'!$E$10+1,1))</f>
        <v>542.51810435067659</v>
      </c>
      <c r="AO167" s="59">
        <f t="shared" si="144"/>
        <v>325.7263575945085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87.645929640116364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87.645929640116364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5.1431925385259088E-14</v>
      </c>
      <c r="BF167" s="13">
        <f t="shared" si="167"/>
        <v>8.3482866290946129E-13</v>
      </c>
      <c r="BG167" s="20">
        <f t="shared" si="168"/>
        <v>1.5435705246133045E-12</v>
      </c>
      <c r="BH167" s="59">
        <f t="shared" si="116"/>
        <v>288.13593173018222</v>
      </c>
      <c r="BI167" s="59">
        <f ca="1">AVERAGE(OFFSET($BH$3,0,0,'Données projet'!$E$11+1,1))-AVERAGE(OFFSET($H$3,0,0,'Données projet'!$E$11+1,1))</f>
        <v>492.39485179035256</v>
      </c>
      <c r="BJ167" s="59">
        <f t="shared" si="146"/>
        <v>297.32483725004124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78.207137217334576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78.207137217334576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-5.4092197387944907E-14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260.51631161522039</v>
      </c>
      <c r="CE167" s="59">
        <f t="shared" si="148"/>
        <v>171.3469666102674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16.486815719748897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16.486815719748897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167.82976403567059</v>
      </c>
      <c r="T168" s="59">
        <f t="shared" si="142"/>
        <v>232.70925470547317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7.8633260914420697</v>
      </c>
      <c r="AA168" s="21">
        <f>EXP(-LN(2)/25)*AA167+(1-EXP(-LN(2)/25))/(LN(2)/25)*Calculateur!V168*Calculateur!X168*VLOOKUP('Données projet'!$B$9,Paramètres!$A$1:$I$89,3,0)*0.475*44/12</f>
        <v>2.2538524934674036</v>
      </c>
      <c r="AB168" s="21">
        <f>EXP(-LN(2)/2)*AB167+(1-EXP(-LN(2)/2))/(LN(2)/2)*V168*Y168*VLOOKUP('Données projet'!$B$9,Paramètres!$A$1:$I$89,3,0)*0.475*44/12</f>
        <v>5.5261090004734321E-15</v>
      </c>
      <c r="AC168" s="22">
        <f t="shared" si="163"/>
        <v>10.117178584909478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5.7639226724859328E-14</v>
      </c>
      <c r="AK168" s="13">
        <f t="shared" si="164"/>
        <v>9.2325701996134334E-13</v>
      </c>
      <c r="AL168" s="20">
        <f t="shared" si="165"/>
        <v>1.708394296311803E-12</v>
      </c>
      <c r="AM168" s="59">
        <f t="shared" si="113"/>
        <v>288.22609502834786</v>
      </c>
      <c r="AN168" s="59">
        <f ca="1">AVERAGE(OFFSET($AM$3,0,0,'Données projet'!$E$10+1,1))-AVERAGE(OFFSET($H$3,0,0,'Données projet'!$E$10+1,1))</f>
        <v>542.51810435067659</v>
      </c>
      <c r="AO168" s="59">
        <f t="shared" si="144"/>
        <v>325.7263575945085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85.927246418612157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85.927246418612157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5.1431925385259088E-14</v>
      </c>
      <c r="BF168" s="13">
        <f t="shared" si="167"/>
        <v>8.3482866290946129E-13</v>
      </c>
      <c r="BG168" s="20">
        <f t="shared" si="168"/>
        <v>1.5435705246133045E-12</v>
      </c>
      <c r="BH168" s="59">
        <f t="shared" si="116"/>
        <v>288.22609502834769</v>
      </c>
      <c r="BI168" s="59">
        <f ca="1">AVERAGE(OFFSET($BH$3,0,0,'Données projet'!$E$11+1,1))-AVERAGE(OFFSET($H$3,0,0,'Données projet'!$E$11+1,1))</f>
        <v>492.39485179035256</v>
      </c>
      <c r="BJ168" s="59">
        <f t="shared" si="146"/>
        <v>297.32483725004124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76.6735429581462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76.6735429581462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-5.4092197387944907E-14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260.51631161522039</v>
      </c>
      <c r="CE168" s="59">
        <f t="shared" si="148"/>
        <v>171.3469666102674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16.163519319449264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16.163519319449264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167.82976403567059</v>
      </c>
      <c r="T169" s="59">
        <f t="shared" si="142"/>
        <v>232.70925470547317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7.7091310629442251</v>
      </c>
      <c r="AA169" s="21">
        <f>EXP(-LN(2)/25)*AA168+(1-EXP(-LN(2)/25))/(LN(2)/25)*Calculateur!V169*Calculateur!X169*VLOOKUP('Données projet'!$B$9,Paramètres!$A$1:$I$89,3,0)*0.475*44/12</f>
        <v>2.1922207785085859</v>
      </c>
      <c r="AB169" s="21">
        <f>EXP(-LN(2)/2)*AB168+(1-EXP(-LN(2)/2))/(LN(2)/2)*V169*Y169*VLOOKUP('Données projet'!$B$9,Paramètres!$A$1:$I$89,3,0)*0.475*44/12</f>
        <v>3.907549147810778E-15</v>
      </c>
      <c r="AC169" s="22">
        <f t="shared" si="163"/>
        <v>9.901351841452815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5.7639226724859328E-14</v>
      </c>
      <c r="AK169" s="13">
        <f t="shared" si="164"/>
        <v>9.2325701996134334E-13</v>
      </c>
      <c r="AL169" s="20">
        <f t="shared" si="165"/>
        <v>1.708394296311803E-12</v>
      </c>
      <c r="AM169" s="59">
        <f t="shared" si="113"/>
        <v>288.31469419486513</v>
      </c>
      <c r="AN169" s="59">
        <f ca="1">AVERAGE(OFFSET($AM$3,0,0,'Données projet'!$E$10+1,1))-AVERAGE(OFFSET($H$3,0,0,'Données projet'!$E$10+1,1))</f>
        <v>542.51810435067659</v>
      </c>
      <c r="AO169" s="59">
        <f t="shared" si="144"/>
        <v>325.7263575945085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84.242265526788387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84.242265526788387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5.1431925385259088E-14</v>
      </c>
      <c r="BF169" s="13">
        <f t="shared" si="167"/>
        <v>8.3482866290946129E-13</v>
      </c>
      <c r="BG169" s="20">
        <f t="shared" si="168"/>
        <v>1.5435705246133045E-12</v>
      </c>
      <c r="BH169" s="59">
        <f t="shared" si="116"/>
        <v>288.31469419486496</v>
      </c>
      <c r="BI169" s="59">
        <f ca="1">AVERAGE(OFFSET($BH$3,0,0,'Données projet'!$E$11+1,1))-AVERAGE(OFFSET($H$3,0,0,'Données projet'!$E$11+1,1))</f>
        <v>492.39485179035256</v>
      </c>
      <c r="BJ169" s="59">
        <f t="shared" si="146"/>
        <v>297.32483725004124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75.170021546980379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75.170021546980379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-5.4092197387944907E-14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260.51631161522039</v>
      </c>
      <c r="CE169" s="59">
        <f t="shared" si="148"/>
        <v>171.3469666102674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15.846562564368176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15.846562564368176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167.82976403567059</v>
      </c>
      <c r="T170" s="59">
        <f t="shared" si="142"/>
        <v>232.70925470547317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7.5579597049055431</v>
      </c>
      <c r="AA170" s="21">
        <f>EXP(-LN(2)/25)*AA169+(1-EXP(-LN(2)/25))/(LN(2)/25)*Calculateur!V170*Calculateur!X170*VLOOKUP('Données projet'!$B$9,Paramètres!$A$1:$I$89,3,0)*0.475*44/12</f>
        <v>2.1322743860363884</v>
      </c>
      <c r="AB170" s="21">
        <f>EXP(-LN(2)/2)*AB169+(1-EXP(-LN(2)/2))/(LN(2)/2)*V170*Y170*VLOOKUP('Données projet'!$B$9,Paramètres!$A$1:$I$89,3,0)*0.475*44/12</f>
        <v>2.763054500236716E-15</v>
      </c>
      <c r="AC170" s="22">
        <f t="shared" si="163"/>
        <v>9.6902340909419351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5.7639226724859328E-14</v>
      </c>
      <c r="AK170" s="13">
        <f t="shared" si="164"/>
        <v>9.2325701996134334E-13</v>
      </c>
      <c r="AL170" s="20">
        <f t="shared" si="165"/>
        <v>1.708394296311803E-12</v>
      </c>
      <c r="AM170" s="59">
        <f t="shared" si="113"/>
        <v>288.40175636392132</v>
      </c>
      <c r="AN170" s="59">
        <f ca="1">AVERAGE(OFFSET($AM$3,0,0,'Données projet'!$E$10+1,1))-AVERAGE(OFFSET($H$3,0,0,'Données projet'!$E$10+1,1))</f>
        <v>542.51810435067659</v>
      </c>
      <c r="AO170" s="59">
        <f t="shared" si="144"/>
        <v>325.7263575945085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82.590326082516412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82.590326082516412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5.1431925385259088E-14</v>
      </c>
      <c r="BF170" s="13">
        <f t="shared" si="167"/>
        <v>8.3482866290946129E-13</v>
      </c>
      <c r="BG170" s="20">
        <f t="shared" si="168"/>
        <v>1.5435705246133045E-12</v>
      </c>
      <c r="BH170" s="59">
        <f t="shared" si="116"/>
        <v>288.40175636392115</v>
      </c>
      <c r="BI170" s="59">
        <f ca="1">AVERAGE(OFFSET($BH$3,0,0,'Données projet'!$E$11+1,1))-AVERAGE(OFFSET($H$3,0,0,'Données projet'!$E$11+1,1))</f>
        <v>492.39485179035256</v>
      </c>
      <c r="BJ170" s="59">
        <f t="shared" si="146"/>
        <v>297.32483725004124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73.695983273630006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73.695983273630006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-5.4092197387944907E-14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260.51631161522039</v>
      </c>
      <c r="CE170" s="59">
        <f t="shared" si="148"/>
        <v>171.3469666102674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15.535821137929696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15.535821137929696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167.82976403567059</v>
      </c>
      <c r="T171" s="59">
        <f t="shared" si="142"/>
        <v>232.70925470547317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7.4097527249925754</v>
      </c>
      <c r="AA171" s="21">
        <f>EXP(-LN(2)/25)*AA170+(1-EXP(-LN(2)/25))/(LN(2)/25)*Calculateur!V171*Calculateur!X171*VLOOKUP('Données projet'!$B$9,Paramètres!$A$1:$I$89,3,0)*0.475*44/12</f>
        <v>2.0739672308187869</v>
      </c>
      <c r="AB171" s="21">
        <f>EXP(-LN(2)/2)*AB170+(1-EXP(-LN(2)/2))/(LN(2)/2)*V171*Y171*VLOOKUP('Données projet'!$B$9,Paramètres!$A$1:$I$89,3,0)*0.475*44/12</f>
        <v>1.953774573905389E-15</v>
      </c>
      <c r="AC171" s="22">
        <f t="shared" si="163"/>
        <v>9.483719955811365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5.7639226724859328E-14</v>
      </c>
      <c r="AK171" s="13">
        <f t="shared" si="164"/>
        <v>9.2325701996134334E-13</v>
      </c>
      <c r="AL171" s="20">
        <f t="shared" si="165"/>
        <v>1.708394296311803E-12</v>
      </c>
      <c r="AM171" s="59">
        <f t="shared" si="113"/>
        <v>288.48730819898623</v>
      </c>
      <c r="AN171" s="59">
        <f ca="1">AVERAGE(OFFSET($AM$3,0,0,'Données projet'!$E$10+1,1))-AVERAGE(OFFSET($H$3,0,0,'Données projet'!$E$10+1,1))</f>
        <v>542.51810435067659</v>
      </c>
      <c r="AO171" s="59">
        <f t="shared" si="144"/>
        <v>325.7263575945085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80.970780163163042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80.970780163163042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5.1431925385259088E-14</v>
      </c>
      <c r="BF171" s="13">
        <f t="shared" si="167"/>
        <v>8.3482866290946129E-13</v>
      </c>
      <c r="BG171" s="20">
        <f t="shared" si="168"/>
        <v>1.5435705246133045E-12</v>
      </c>
      <c r="BH171" s="59">
        <f t="shared" si="116"/>
        <v>288.48730819898606</v>
      </c>
      <c r="BI171" s="59">
        <f ca="1">AVERAGE(OFFSET($BH$3,0,0,'Données projet'!$E$11+1,1))-AVERAGE(OFFSET($H$3,0,0,'Données projet'!$E$11+1,1))</f>
        <v>492.39485179035256</v>
      </c>
      <c r="BJ171" s="59">
        <f t="shared" si="146"/>
        <v>297.32483725004124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72.250849991745469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72.250849991745469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-5.4092197387944907E-14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260.51631161522039</v>
      </c>
      <c r="CE171" s="59">
        <f t="shared" si="148"/>
        <v>171.3469666102674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15.231173161330121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15.231173161330121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167.82976403567059</v>
      </c>
      <c r="T172" s="59">
        <f t="shared" si="142"/>
        <v>232.70925470547317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7.2644519935583691</v>
      </c>
      <c r="AA172" s="21">
        <f>EXP(-LN(2)/25)*AA171+(1-EXP(-LN(2)/25))/(LN(2)/25)*Calculateur!V172*Calculateur!X172*VLOOKUP('Données projet'!$B$9,Paramètres!$A$1:$I$89,3,0)*0.475*44/12</f>
        <v>2.0172544878268508</v>
      </c>
      <c r="AB172" s="21">
        <f>EXP(-LN(2)/2)*AB171+(1-EXP(-LN(2)/2))/(LN(2)/2)*V172*Y172*VLOOKUP('Données projet'!$B$9,Paramètres!$A$1:$I$89,3,0)*0.475*44/12</f>
        <v>1.381527250118358E-15</v>
      </c>
      <c r="AC172" s="22">
        <f t="shared" si="163"/>
        <v>9.2817064813852213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5.7639226724859328E-14</v>
      </c>
      <c r="AK172" s="13">
        <f t="shared" si="164"/>
        <v>9.2325701996134334E-13</v>
      </c>
      <c r="AL172" s="20">
        <f t="shared" si="165"/>
        <v>1.708394296311803E-12</v>
      </c>
      <c r="AM172" s="59">
        <f t="shared" si="113"/>
        <v>288.57137590097813</v>
      </c>
      <c r="AN172" s="59">
        <f ca="1">AVERAGE(OFFSET($AM$3,0,0,'Données projet'!$E$10+1,1))-AVERAGE(OFFSET($H$3,0,0,'Données projet'!$E$10+1,1))</f>
        <v>542.51810435067659</v>
      </c>
      <c r="AO172" s="59">
        <f t="shared" si="144"/>
        <v>325.7263575945085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79.382992551462721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79.382992551462721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5.1431925385259088E-14</v>
      </c>
      <c r="BF172" s="13">
        <f t="shared" si="167"/>
        <v>8.3482866290946129E-13</v>
      </c>
      <c r="BG172" s="20">
        <f t="shared" si="168"/>
        <v>1.5435705246133045E-12</v>
      </c>
      <c r="BH172" s="59">
        <f t="shared" si="116"/>
        <v>288.57137590097796</v>
      </c>
      <c r="BI172" s="59">
        <f ca="1">AVERAGE(OFFSET($BH$3,0,0,'Données projet'!$E$11+1,1))-AVERAGE(OFFSET($H$3,0,0,'Données projet'!$E$11+1,1))</f>
        <v>492.39485179035256</v>
      </c>
      <c r="BJ172" s="59">
        <f t="shared" si="146"/>
        <v>297.32483725004124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70.83405489207442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70.83405489207442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-5.4092197387944907E-14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260.51631161522039</v>
      </c>
      <c r="CE172" s="59">
        <f t="shared" si="148"/>
        <v>171.3469666102674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14.932499145734745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14.932499145734745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167.82976403567059</v>
      </c>
      <c r="T173" s="59">
        <f t="shared" si="142"/>
        <v>232.70925470547317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7.1220005208428923</v>
      </c>
      <c r="AA173" s="21">
        <f>EXP(-LN(2)/25)*AA172+(1-EXP(-LN(2)/25))/(LN(2)/25)*Calculateur!V173*Calculateur!X173*VLOOKUP('Données projet'!$B$9,Paramètres!$A$1:$I$89,3,0)*0.475*44/12</f>
        <v>1.9620925577744226</v>
      </c>
      <c r="AB173" s="21">
        <f>EXP(-LN(2)/2)*AB172+(1-EXP(-LN(2)/2))/(LN(2)/2)*V173*Y173*VLOOKUP('Données projet'!$B$9,Paramètres!$A$1:$I$89,3,0)*0.475*44/12</f>
        <v>9.768872869526945E-16</v>
      </c>
      <c r="AC173" s="22">
        <f t="shared" si="163"/>
        <v>9.0840930786173164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5.7639226724859328E-14</v>
      </c>
      <c r="AK173" s="13">
        <f t="shared" si="164"/>
        <v>9.2325701996134334E-13</v>
      </c>
      <c r="AL173" s="20">
        <f t="shared" si="165"/>
        <v>1.708394296311803E-12</v>
      </c>
      <c r="AM173" s="59">
        <f t="shared" si="113"/>
        <v>288.65398521628759</v>
      </c>
      <c r="AN173" s="59">
        <f ca="1">AVERAGE(OFFSET($AM$3,0,0,'Données projet'!$E$10+1,1))-AVERAGE(OFFSET($H$3,0,0,'Données projet'!$E$10+1,1))</f>
        <v>542.51810435067659</v>
      </c>
      <c r="AO173" s="59">
        <f t="shared" si="144"/>
        <v>325.7263575945085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77.826340486373027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77.826340486373027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5.1431925385259088E-14</v>
      </c>
      <c r="BF173" s="13">
        <f t="shared" si="167"/>
        <v>8.3482866290946129E-13</v>
      </c>
      <c r="BG173" s="20">
        <f t="shared" si="168"/>
        <v>1.5435705246133045E-12</v>
      </c>
      <c r="BH173" s="59">
        <f t="shared" si="116"/>
        <v>288.65398521628742</v>
      </c>
      <c r="BI173" s="59">
        <f ca="1">AVERAGE(OFFSET($BH$3,0,0,'Données projet'!$E$11+1,1))-AVERAGE(OFFSET($H$3,0,0,'Données projet'!$E$11+1,1))</f>
        <v>492.39485179035256</v>
      </c>
      <c r="BJ173" s="59">
        <f t="shared" si="146"/>
        <v>297.32483725004124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69.445042280148229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69.445042280148229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-5.4092197387944907E-14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260.51631161522039</v>
      </c>
      <c r="CE173" s="59">
        <f t="shared" si="148"/>
        <v>171.3469666102674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14.639681945412033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14.639681945412033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167.82976403567059</v>
      </c>
      <c r="T174" s="59">
        <f t="shared" si="142"/>
        <v>232.70925470547317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6.9823424346205476</v>
      </c>
      <c r="AA174" s="21">
        <f>EXP(-LN(2)/25)*AA173+(1-EXP(-LN(2)/25))/(LN(2)/25)*Calculateur!V174*Calculateur!X174*VLOOKUP('Données projet'!$B$9,Paramètres!$A$1:$I$89,3,0)*0.475*44/12</f>
        <v>1.9084390336001178</v>
      </c>
      <c r="AB174" s="21">
        <f>EXP(-LN(2)/2)*AB173+(1-EXP(-LN(2)/2))/(LN(2)/2)*V174*Y174*VLOOKUP('Données projet'!$B$9,Paramètres!$A$1:$I$89,3,0)*0.475*44/12</f>
        <v>6.9076362505917901E-16</v>
      </c>
      <c r="AC174" s="22">
        <f t="shared" si="163"/>
        <v>8.8907814682206663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5.7639226724859328E-14</v>
      </c>
      <c r="AK174" s="13">
        <f t="shared" si="164"/>
        <v>9.2325701996134334E-13</v>
      </c>
      <c r="AL174" s="20">
        <f t="shared" si="165"/>
        <v>1.708394296311803E-12</v>
      </c>
      <c r="AM174" s="59">
        <f t="shared" si="113"/>
        <v>288.73516144466322</v>
      </c>
      <c r="AN174" s="59">
        <f ca="1">AVERAGE(OFFSET($AM$3,0,0,'Données projet'!$E$10+1,1))-AVERAGE(OFFSET($H$3,0,0,'Données projet'!$E$10+1,1))</f>
        <v>542.51810435067659</v>
      </c>
      <c r="AO174" s="59">
        <f t="shared" si="144"/>
        <v>325.7263575945085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76.30021341881573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76.30021341881573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5.1431925385259088E-14</v>
      </c>
      <c r="BF174" s="13">
        <f t="shared" si="167"/>
        <v>8.3482866290946129E-13</v>
      </c>
      <c r="BG174" s="20">
        <f t="shared" si="168"/>
        <v>1.5435705246133045E-12</v>
      </c>
      <c r="BH174" s="59">
        <f t="shared" si="116"/>
        <v>288.73516144466305</v>
      </c>
      <c r="BI174" s="59">
        <f ca="1">AVERAGE(OFFSET($BH$3,0,0,'Données projet'!$E$11+1,1))-AVERAGE(OFFSET($H$3,0,0,'Données projet'!$E$11+1,1))</f>
        <v>492.39485179035256</v>
      </c>
      <c r="BJ174" s="59">
        <f t="shared" si="146"/>
        <v>297.32483725004124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68.083267358327873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68.083267358327873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-5.4092197387944907E-14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260.51631161522039</v>
      </c>
      <c r="CE174" s="59">
        <f t="shared" si="148"/>
        <v>171.3469666102674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14.352606711786791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14.352606711786791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167.82976403567059</v>
      </c>
      <c r="T175" s="59">
        <f t="shared" si="142"/>
        <v>232.70925470547317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6.8454229582860018</v>
      </c>
      <c r="AA175" s="21">
        <f>EXP(-LN(2)/25)*AA174+(1-EXP(-LN(2)/25))/(LN(2)/25)*Calculateur!V175*Calculateur!X175*VLOOKUP('Données projet'!$B$9,Paramètres!$A$1:$I$89,3,0)*0.475*44/12</f>
        <v>1.8562526678658755</v>
      </c>
      <c r="AB175" s="21">
        <f>EXP(-LN(2)/2)*AB174+(1-EXP(-LN(2)/2))/(LN(2)/2)*V175*Y175*VLOOKUP('Données projet'!$B$9,Paramètres!$A$1:$I$89,3,0)*0.475*44/12</f>
        <v>4.8844364347634725E-16</v>
      </c>
      <c r="AC175" s="22">
        <f t="shared" si="163"/>
        <v>8.7016756261518768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5.7639226724859328E-14</v>
      </c>
      <c r="AK175" s="13">
        <f t="shared" si="164"/>
        <v>9.2325701996134334E-13</v>
      </c>
      <c r="AL175" s="20">
        <f t="shared" si="165"/>
        <v>1.708394296311803E-12</v>
      </c>
      <c r="AM175" s="59">
        <f t="shared" si="113"/>
        <v>288.81492944695935</v>
      </c>
      <c r="AN175" s="59">
        <f ca="1">AVERAGE(OFFSET($AM$3,0,0,'Données projet'!$E$10+1,1))-AVERAGE(OFFSET($H$3,0,0,'Données projet'!$E$10+1,1))</f>
        <v>542.51810435067659</v>
      </c>
      <c r="AO175" s="59">
        <f t="shared" si="144"/>
        <v>325.7263575945085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74.804012772207642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74.804012772207642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5.1431925385259088E-14</v>
      </c>
      <c r="BF175" s="13">
        <f t="shared" si="167"/>
        <v>8.3482866290946129E-13</v>
      </c>
      <c r="BG175" s="20">
        <f t="shared" si="168"/>
        <v>1.5435705246133045E-12</v>
      </c>
      <c r="BH175" s="59">
        <f t="shared" si="116"/>
        <v>288.81492944695918</v>
      </c>
      <c r="BI175" s="59">
        <f ca="1">AVERAGE(OFFSET($BH$3,0,0,'Données projet'!$E$11+1,1))-AVERAGE(OFFSET($H$3,0,0,'Données projet'!$E$11+1,1))</f>
        <v>492.39485179035256</v>
      </c>
      <c r="BJ175" s="59">
        <f t="shared" si="146"/>
        <v>297.32483725004124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66.748196012123728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66.748196012123728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-5.4092197387944907E-14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260.51631161522039</v>
      </c>
      <c r="CE175" s="59">
        <f t="shared" si="148"/>
        <v>171.3469666102674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14.071160848394339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14.071160848394339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167.82976403567059</v>
      </c>
      <c r="T176" s="59">
        <f t="shared" si="142"/>
        <v>232.70925470547317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6.7111883893697417</v>
      </c>
      <c r="AA176" s="21">
        <f>EXP(-LN(2)/25)*AA175+(1-EXP(-LN(2)/25))/(LN(2)/25)*Calculateur!V176*Calculateur!X176*VLOOKUP('Données projet'!$B$9,Paramètres!$A$1:$I$89,3,0)*0.475*44/12</f>
        <v>1.8054933410469978</v>
      </c>
      <c r="AB176" s="21">
        <f>EXP(-LN(2)/2)*AB175+(1-EXP(-LN(2)/2))/(LN(2)/2)*V176*Y176*VLOOKUP('Données projet'!$B$9,Paramètres!$A$1:$I$89,3,0)*0.475*44/12</f>
        <v>3.453818125295895E-16</v>
      </c>
      <c r="AC176" s="22">
        <f t="shared" si="163"/>
        <v>8.5166817304167388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5.7639226724859328E-14</v>
      </c>
      <c r="AK176" s="13">
        <f t="shared" si="164"/>
        <v>9.2325701996134334E-13</v>
      </c>
      <c r="AL176" s="20">
        <f t="shared" si="165"/>
        <v>1.708394296311803E-12</v>
      </c>
      <c r="AM176" s="59">
        <f t="shared" si="113"/>
        <v>288.89331365275018</v>
      </c>
      <c r="AN176" s="59">
        <f ca="1">AVERAGE(OFFSET($AM$3,0,0,'Données projet'!$E$10+1,1))-AVERAGE(OFFSET($H$3,0,0,'Données projet'!$E$10+1,1))</f>
        <v>542.51810435067659</v>
      </c>
      <c r="AO176" s="59">
        <f t="shared" si="144"/>
        <v>325.7263575945085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73.337151707687255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73.337151707687255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5.1431925385259088E-14</v>
      </c>
      <c r="BF176" s="13">
        <f t="shared" si="167"/>
        <v>8.3482866290946129E-13</v>
      </c>
      <c r="BG176" s="20">
        <f t="shared" si="168"/>
        <v>1.5435705246133045E-12</v>
      </c>
      <c r="BH176" s="59">
        <f t="shared" si="116"/>
        <v>288.89331365275001</v>
      </c>
      <c r="BI176" s="59">
        <f ca="1">AVERAGE(OFFSET($BH$3,0,0,'Données projet'!$E$11+1,1))-AVERAGE(OFFSET($H$3,0,0,'Données projet'!$E$11+1,1))</f>
        <v>492.39485179035256</v>
      </c>
      <c r="BJ176" s="59">
        <f t="shared" si="146"/>
        <v>297.32483725004124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65.43930460070554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65.43930460070554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-5.4092197387944907E-14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260.51631161522039</v>
      </c>
      <c r="CE176" s="59">
        <f t="shared" si="148"/>
        <v>171.3469666102674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13.795233966717985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13.795233966717985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167.82976403567059</v>
      </c>
      <c r="T177" s="59">
        <f t="shared" si="142"/>
        <v>232.70925470547317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6.5795860784749269</v>
      </c>
      <c r="AA177" s="21">
        <f>EXP(-LN(2)/25)*AA176+(1-EXP(-LN(2)/25))/(LN(2)/25)*Calculateur!V177*Calculateur!X177*VLOOKUP('Données projet'!$B$9,Paramètres!$A$1:$I$89,3,0)*0.475*44/12</f>
        <v>1.7561220306892993</v>
      </c>
      <c r="AB177" s="21">
        <f>EXP(-LN(2)/2)*AB176+(1-EXP(-LN(2)/2))/(LN(2)/2)*V177*Y177*VLOOKUP('Données projet'!$B$9,Paramètres!$A$1:$I$89,3,0)*0.475*44/12</f>
        <v>2.4422182173817362E-16</v>
      </c>
      <c r="AC177" s="22">
        <f t="shared" si="163"/>
        <v>8.3357081091642264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5.7639226724859328E-14</v>
      </c>
      <c r="AK177" s="13">
        <f t="shared" si="164"/>
        <v>9.2325701996134334E-13</v>
      </c>
      <c r="AL177" s="20">
        <f t="shared" si="165"/>
        <v>1.708394296311803E-12</v>
      </c>
      <c r="AM177" s="59">
        <f t="shared" si="113"/>
        <v>288.97033806781144</v>
      </c>
      <c r="AN177" s="59">
        <f ca="1">AVERAGE(OFFSET($AM$3,0,0,'Données projet'!$E$10+1,1))-AVERAGE(OFFSET($H$3,0,0,'Données projet'!$E$10+1,1))</f>
        <v>542.51810435067659</v>
      </c>
      <c r="AO177" s="59">
        <f t="shared" si="144"/>
        <v>325.7263575945085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71.899054893945205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71.899054893945205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5.1431925385259088E-14</v>
      </c>
      <c r="BF177" s="13">
        <f t="shared" si="167"/>
        <v>8.3482866290946129E-13</v>
      </c>
      <c r="BG177" s="20">
        <f t="shared" si="168"/>
        <v>1.5435705246133045E-12</v>
      </c>
      <c r="BH177" s="59">
        <f t="shared" si="116"/>
        <v>288.97033806781127</v>
      </c>
      <c r="BI177" s="59">
        <f ca="1">AVERAGE(OFFSET($BH$3,0,0,'Données projet'!$E$11+1,1))-AVERAGE(OFFSET($H$3,0,0,'Données projet'!$E$11+1,1))</f>
        <v>492.39485179035256</v>
      </c>
      <c r="BJ177" s="59">
        <f t="shared" si="146"/>
        <v>297.32483725004124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64.156079751520323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64.156079751520323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-5.4092197387944907E-14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260.51631161522039</v>
      </c>
      <c r="CE177" s="59">
        <f t="shared" si="148"/>
        <v>171.3469666102674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13.524717842892526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13.524717842892526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167.82976403567059</v>
      </c>
      <c r="T178" s="59">
        <f t="shared" si="142"/>
        <v>232.70925470547317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6.450564408627276</v>
      </c>
      <c r="AA178" s="21">
        <f>EXP(-LN(2)/25)*AA177+(1-EXP(-LN(2)/25))/(LN(2)/25)*Calculateur!V178*Calculateur!X178*VLOOKUP('Données projet'!$B$9,Paramètres!$A$1:$I$89,3,0)*0.475*44/12</f>
        <v>1.7081007814096565</v>
      </c>
      <c r="AB178" s="21">
        <f>EXP(-LN(2)/2)*AB177+(1-EXP(-LN(2)/2))/(LN(2)/2)*V178*Y178*VLOOKUP('Données projet'!$B$9,Paramètres!$A$1:$I$89,3,0)*0.475*44/12</f>
        <v>1.7269090626479475E-16</v>
      </c>
      <c r="AC178" s="22">
        <f t="shared" si="163"/>
        <v>8.1586651900369329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5.7639226724859328E-14</v>
      </c>
      <c r="AK178" s="13">
        <f t="shared" si="164"/>
        <v>9.2325701996134334E-13</v>
      </c>
      <c r="AL178" s="20">
        <f t="shared" si="165"/>
        <v>1.708394296311803E-12</v>
      </c>
      <c r="AM178" s="59">
        <f t="shared" si="113"/>
        <v>289.04602628147211</v>
      </c>
      <c r="AN178" s="59">
        <f ca="1">AVERAGE(OFFSET($AM$3,0,0,'Données projet'!$E$10+1,1))-AVERAGE(OFFSET($H$3,0,0,'Données projet'!$E$10+1,1))</f>
        <v>542.51810435067659</v>
      </c>
      <c r="AO178" s="59">
        <f t="shared" si="144"/>
        <v>325.7263575945085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70.489158281568194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70.489158281568194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5.1431925385259088E-14</v>
      </c>
      <c r="BF178" s="13">
        <f t="shared" si="167"/>
        <v>8.3482866290946129E-13</v>
      </c>
      <c r="BG178" s="20">
        <f t="shared" si="168"/>
        <v>1.5435705246133045E-12</v>
      </c>
      <c r="BH178" s="59">
        <f t="shared" si="116"/>
        <v>289.04602628147194</v>
      </c>
      <c r="BI178" s="59">
        <f ca="1">AVERAGE(OFFSET($BH$3,0,0,'Données projet'!$E$11+1,1))-AVERAGE(OFFSET($H$3,0,0,'Données projet'!$E$11+1,1))</f>
        <v>492.39485179035256</v>
      </c>
      <c r="BJ178" s="59">
        <f t="shared" si="146"/>
        <v>297.32483725004124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62.898018158937759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62.898018158937759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-5.4092197387944907E-14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260.51631161522039</v>
      </c>
      <c r="CE178" s="59">
        <f t="shared" si="148"/>
        <v>171.3469666102674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13.259506375256741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13.259506375256741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167.82976403567059</v>
      </c>
      <c r="T179" s="59">
        <f t="shared" si="142"/>
        <v>232.70925470547317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6.3240727750298893</v>
      </c>
      <c r="AA179" s="21">
        <f>EXP(-LN(2)/25)*AA178+(1-EXP(-LN(2)/25))/(LN(2)/25)*Calculateur!V179*Calculateur!X179*VLOOKUP('Données projet'!$B$9,Paramètres!$A$1:$I$89,3,0)*0.475*44/12</f>
        <v>1.6613926757168933</v>
      </c>
      <c r="AB179" s="21">
        <f>EXP(-LN(2)/2)*AB178+(1-EXP(-LN(2)/2))/(LN(2)/2)*V179*Y179*VLOOKUP('Données projet'!$B$9,Paramètres!$A$1:$I$89,3,0)*0.475*44/12</f>
        <v>1.2211091086908681E-16</v>
      </c>
      <c r="AC179" s="22">
        <f t="shared" si="163"/>
        <v>7.9854654507467826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5.7639226724859328E-14</v>
      </c>
      <c r="AK179" s="13">
        <f t="shared" si="164"/>
        <v>9.2325701996134334E-13</v>
      </c>
      <c r="AL179" s="20">
        <f t="shared" si="165"/>
        <v>1.708394296311803E-12</v>
      </c>
      <c r="AM179" s="59">
        <f t="shared" si="113"/>
        <v>289.12040147383931</v>
      </c>
      <c r="AN179" s="59">
        <f ca="1">AVERAGE(OFFSET($AM$3,0,0,'Données projet'!$E$10+1,1))-AVERAGE(OFFSET($H$3,0,0,'Données projet'!$E$10+1,1))</f>
        <v>542.51810435067659</v>
      </c>
      <c r="AO179" s="59">
        <f t="shared" si="144"/>
        <v>325.7263575945085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69.106908881807868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69.106908881807868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5.1431925385259088E-14</v>
      </c>
      <c r="BF179" s="13">
        <f t="shared" si="167"/>
        <v>8.3482866290946129E-13</v>
      </c>
      <c r="BG179" s="20">
        <f t="shared" si="168"/>
        <v>1.5435705246133045E-12</v>
      </c>
      <c r="BH179" s="59">
        <f t="shared" si="116"/>
        <v>289.12040147383914</v>
      </c>
      <c r="BI179" s="59">
        <f ca="1">AVERAGE(OFFSET($BH$3,0,0,'Données projet'!$E$11+1,1))-AVERAGE(OFFSET($H$3,0,0,'Données projet'!$E$11+1,1))</f>
        <v>492.39485179035256</v>
      </c>
      <c r="BJ179" s="59">
        <f t="shared" si="146"/>
        <v>297.32483725004124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61.664626386843935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61.664626386843935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-5.4092197387944907E-14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260.51631161522039</v>
      </c>
      <c r="CE179" s="59">
        <f t="shared" si="148"/>
        <v>171.3469666102674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12.999495542738272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12.999495542738272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167.82976403567059</v>
      </c>
      <c r="T180" s="59">
        <f t="shared" si="142"/>
        <v>232.70925470547317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6.2000615652150692</v>
      </c>
      <c r="AA180" s="21">
        <f>EXP(-LN(2)/25)*AA179+(1-EXP(-LN(2)/25))/(LN(2)/25)*Calculateur!V180*Calculateur!X180*VLOOKUP('Données projet'!$B$9,Paramètres!$A$1:$I$89,3,0)*0.475*44/12</f>
        <v>1.6159618056305711</v>
      </c>
      <c r="AB180" s="21">
        <f>EXP(-LN(2)/2)*AB179+(1-EXP(-LN(2)/2))/(LN(2)/2)*V180*Y180*VLOOKUP('Données projet'!$B$9,Paramètres!$A$1:$I$89,3,0)*0.475*44/12</f>
        <v>8.6345453132397376E-17</v>
      </c>
      <c r="AC180" s="22">
        <f t="shared" si="163"/>
        <v>7.8160233708456399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5.7639226724859328E-14</v>
      </c>
      <c r="AK180" s="13">
        <f t="shared" si="164"/>
        <v>9.2325701996134334E-13</v>
      </c>
      <c r="AL180" s="20">
        <f t="shared" si="165"/>
        <v>1.708394296311803E-12</v>
      </c>
      <c r="AM180" s="59">
        <f t="shared" si="113"/>
        <v>289.19348642289697</v>
      </c>
      <c r="AN180" s="59">
        <f ca="1">AVERAGE(OFFSET($AM$3,0,0,'Données projet'!$E$10+1,1))-AVERAGE(OFFSET($H$3,0,0,'Données projet'!$E$10+1,1))</f>
        <v>542.51810435067659</v>
      </c>
      <c r="AO180" s="59">
        <f t="shared" si="144"/>
        <v>325.7263575945085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67.751764549687962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67.751764549687962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5.1431925385259088E-14</v>
      </c>
      <c r="BF180" s="13">
        <f t="shared" si="167"/>
        <v>8.3482866290946129E-13</v>
      </c>
      <c r="BG180" s="20">
        <f t="shared" si="168"/>
        <v>1.5435705246133045E-12</v>
      </c>
      <c r="BH180" s="59">
        <f t="shared" si="116"/>
        <v>289.1934864228968</v>
      </c>
      <c r="BI180" s="59">
        <f ca="1">AVERAGE(OFFSET($BH$3,0,0,'Données projet'!$E$11+1,1))-AVERAGE(OFFSET($H$3,0,0,'Données projet'!$E$11+1,1))</f>
        <v>492.39485179035256</v>
      </c>
      <c r="BJ180" s="59">
        <f t="shared" si="146"/>
        <v>297.32483725004124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60.455420675106176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60.455420675106176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-5.4092197387944907E-14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260.51631161522039</v>
      </c>
      <c r="CE180" s="59">
        <f t="shared" si="148"/>
        <v>171.3469666102674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12.74458336405454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12.74458336405454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167.82976403567059</v>
      </c>
      <c r="T181" s="59">
        <f t="shared" si="142"/>
        <v>232.70925470547317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6.0784821395853479</v>
      </c>
      <c r="AA181" s="21">
        <f>EXP(-LN(2)/25)*AA180+(1-EXP(-LN(2)/25))/(LN(2)/25)*Calculateur!V181*Calculateur!X181*VLOOKUP('Données projet'!$B$9,Paramètres!$A$1:$I$89,3,0)*0.475*44/12</f>
        <v>1.571773245075865</v>
      </c>
      <c r="AB181" s="21">
        <f>EXP(-LN(2)/2)*AB180+(1-EXP(-LN(2)/2))/(LN(2)/2)*V181*Y181*VLOOKUP('Données projet'!$B$9,Paramètres!$A$1:$I$89,3,0)*0.475*44/12</f>
        <v>6.1055455434543406E-17</v>
      </c>
      <c r="AC181" s="22">
        <f t="shared" si="163"/>
        <v>7.6502553846612127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5.7639226724859328E-14</v>
      </c>
      <c r="AK181" s="13">
        <f t="shared" si="164"/>
        <v>9.2325701996134334E-13</v>
      </c>
      <c r="AL181" s="20">
        <f t="shared" si="165"/>
        <v>1.708394296311803E-12</v>
      </c>
      <c r="AM181" s="59">
        <f t="shared" si="113"/>
        <v>289.26530351148187</v>
      </c>
      <c r="AN181" s="59">
        <f ca="1">AVERAGE(OFFSET($AM$3,0,0,'Données projet'!$E$10+1,1))-AVERAGE(OFFSET($H$3,0,0,'Données projet'!$E$10+1,1))</f>
        <v>542.51810435067659</v>
      </c>
      <c r="AO181" s="59">
        <f t="shared" si="144"/>
        <v>325.7263575945085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66.423193771364495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66.423193771364495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5.1431925385259088E-14</v>
      </c>
      <c r="BF181" s="13">
        <f t="shared" si="167"/>
        <v>8.3482866290946129E-13</v>
      </c>
      <c r="BG181" s="20">
        <f t="shared" si="168"/>
        <v>1.5435705246133045E-12</v>
      </c>
      <c r="BH181" s="59">
        <f t="shared" si="116"/>
        <v>289.2653035114817</v>
      </c>
      <c r="BI181" s="59">
        <f ca="1">AVERAGE(OFFSET($BH$3,0,0,'Données projet'!$E$11+1,1))-AVERAGE(OFFSET($H$3,0,0,'Données projet'!$E$11+1,1))</f>
        <v>492.39485179035256</v>
      </c>
      <c r="BJ181" s="59">
        <f t="shared" si="146"/>
        <v>297.32483725004124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59.269926749832933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59.269926749832933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-5.4092197387944907E-14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260.51631161522039</v>
      </c>
      <c r="CE181" s="59">
        <f t="shared" si="148"/>
        <v>171.3469666102674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12.494669857713721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12.494669857713721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167.82976403567059</v>
      </c>
      <c r="T182" s="59">
        <f t="shared" si="142"/>
        <v>232.70925470547317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5.9592868123360985</v>
      </c>
      <c r="AA182" s="21">
        <f>EXP(-LN(2)/25)*AA181+(1-EXP(-LN(2)/25))/(LN(2)/25)*Calculateur!V182*Calculateur!X182*VLOOKUP('Données projet'!$B$9,Paramètres!$A$1:$I$89,3,0)*0.475*44/12</f>
        <v>1.5287930230333029</v>
      </c>
      <c r="AB182" s="21">
        <f>EXP(-LN(2)/2)*AB181+(1-EXP(-LN(2)/2))/(LN(2)/2)*V182*Y182*VLOOKUP('Données projet'!$B$9,Paramètres!$A$1:$I$89,3,0)*0.475*44/12</f>
        <v>4.3172726566198688E-17</v>
      </c>
      <c r="AC182" s="22">
        <f t="shared" si="163"/>
        <v>7.4880798353694011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5.7639226724859328E-14</v>
      </c>
      <c r="AK182" s="13">
        <f t="shared" si="164"/>
        <v>9.2325701996134334E-13</v>
      </c>
      <c r="AL182" s="20">
        <f t="shared" si="165"/>
        <v>1.708394296311803E-12</v>
      </c>
      <c r="AM182" s="59">
        <f t="shared" si="113"/>
        <v>289.33587473413883</v>
      </c>
      <c r="AN182" s="59">
        <f ca="1">AVERAGE(OFFSET($AM$3,0,0,'Données projet'!$E$10+1,1))-AVERAGE(OFFSET($H$3,0,0,'Données projet'!$E$10+1,1))</f>
        <v>542.51810435067659</v>
      </c>
      <c r="AO182" s="59">
        <f t="shared" si="144"/>
        <v>325.7263575945085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65.1206754556558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65.1206754556558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5.1431925385259088E-14</v>
      </c>
      <c r="BF182" s="13">
        <f t="shared" si="167"/>
        <v>8.3482866290946129E-13</v>
      </c>
      <c r="BG182" s="20">
        <f t="shared" si="168"/>
        <v>1.5435705246133045E-12</v>
      </c>
      <c r="BH182" s="59">
        <f t="shared" si="116"/>
        <v>289.33587473413866</v>
      </c>
      <c r="BI182" s="59">
        <f ca="1">AVERAGE(OFFSET($BH$3,0,0,'Données projet'!$E$11+1,1))-AVERAGE(OFFSET($H$3,0,0,'Données projet'!$E$11+1,1))</f>
        <v>492.39485179035256</v>
      </c>
      <c r="BJ182" s="59">
        <f t="shared" si="146"/>
        <v>297.32483725004124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58.107679637354401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58.107679637354401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-5.4092197387944907E-14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260.51631161522039</v>
      </c>
      <c r="CE182" s="59">
        <f t="shared" si="148"/>
        <v>171.3469666102674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12.249657002800056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12.249657002800056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167.82976403567059</v>
      </c>
      <c r="T183" s="59">
        <f t="shared" si="142"/>
        <v>232.70925470547317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5.842428832752236</v>
      </c>
      <c r="AA183" s="21">
        <f>EXP(-LN(2)/25)*AA182+(1-EXP(-LN(2)/25))/(LN(2)/25)*Calculateur!V183*Calculateur!X183*VLOOKUP('Données projet'!$B$9,Paramètres!$A$1:$I$89,3,0)*0.475*44/12</f>
        <v>1.4869880974227263</v>
      </c>
      <c r="AB183" s="21">
        <f>EXP(-LN(2)/2)*AB182+(1-EXP(-LN(2)/2))/(LN(2)/2)*V183*Y183*VLOOKUP('Données projet'!$B$9,Paramètres!$A$1:$I$89,3,0)*0.475*44/12</f>
        <v>3.0527727717271703E-17</v>
      </c>
      <c r="AC183" s="22">
        <f t="shared" si="163"/>
        <v>7.3294169301749621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5.7639226724859328E-14</v>
      </c>
      <c r="AK183" s="13">
        <f t="shared" si="164"/>
        <v>9.2325701996134334E-13</v>
      </c>
      <c r="AL183" s="20">
        <f t="shared" si="165"/>
        <v>1.708394296311803E-12</v>
      </c>
      <c r="AM183" s="59">
        <f t="shared" si="113"/>
        <v>289.40522170385634</v>
      </c>
      <c r="AN183" s="59">
        <f ca="1">AVERAGE(OFFSET($AM$3,0,0,'Données projet'!$E$10+1,1))-AVERAGE(OFFSET($H$3,0,0,'Données projet'!$E$10+1,1))</f>
        <v>542.51810435067659</v>
      </c>
      <c r="AO183" s="59">
        <f t="shared" si="144"/>
        <v>325.7263575945085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63.843698729660424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63.843698729660424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5.1431925385259088E-14</v>
      </c>
      <c r="BF183" s="13">
        <f t="shared" si="167"/>
        <v>8.3482866290946129E-13</v>
      </c>
      <c r="BG183" s="20">
        <f t="shared" si="168"/>
        <v>1.5435705246133045E-12</v>
      </c>
      <c r="BH183" s="59">
        <f t="shared" si="116"/>
        <v>289.40522170385617</v>
      </c>
      <c r="BI183" s="59">
        <f ca="1">AVERAGE(OFFSET($BH$3,0,0,'Données projet'!$E$11+1,1))-AVERAGE(OFFSET($H$3,0,0,'Données projet'!$E$11+1,1))</f>
        <v>492.39485179035256</v>
      </c>
      <c r="BJ183" s="59">
        <f t="shared" si="146"/>
        <v>297.32483725004124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56.968223481850835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56.968223481850835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-5.4092197387944907E-14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260.51631161522039</v>
      </c>
      <c r="CE183" s="59">
        <f t="shared" si="148"/>
        <v>171.3469666102674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12.009448700528164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12.009448700528164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167.82976403567059</v>
      </c>
      <c r="T184" s="59">
        <f t="shared" si="142"/>
        <v>232.70925470547317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5.7278623668716833</v>
      </c>
      <c r="AA184" s="21">
        <f>EXP(-LN(2)/25)*AA183+(1-EXP(-LN(2)/25))/(LN(2)/25)*Calculateur!V184*Calculateur!X184*VLOOKUP('Données projet'!$B$9,Paramètres!$A$1:$I$89,3,0)*0.475*44/12</f>
        <v>1.4463263297013964</v>
      </c>
      <c r="AB184" s="21">
        <f>EXP(-LN(2)/2)*AB183+(1-EXP(-LN(2)/2))/(LN(2)/2)*V184*Y184*VLOOKUP('Données projet'!$B$9,Paramètres!$A$1:$I$89,3,0)*0.475*44/12</f>
        <v>2.1586363283099344E-17</v>
      </c>
      <c r="AC184" s="22">
        <f t="shared" si="163"/>
        <v>7.1741886965730792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5.7639226724859328E-14</v>
      </c>
      <c r="AK184" s="13">
        <f t="shared" si="164"/>
        <v>9.2325701996134334E-13</v>
      </c>
      <c r="AL184" s="20">
        <f t="shared" si="165"/>
        <v>1.708394296311803E-12</v>
      </c>
      <c r="AM184" s="59">
        <f t="shared" si="113"/>
        <v>289.47336565868579</v>
      </c>
      <c r="AN184" s="59">
        <f ca="1">AVERAGE(OFFSET($AM$3,0,0,'Données projet'!$E$10+1,1))-AVERAGE(OFFSET($H$3,0,0,'Données projet'!$E$10+1,1))</f>
        <v>542.51810435067659</v>
      </c>
      <c r="AO184" s="59">
        <f t="shared" si="144"/>
        <v>325.7263575945085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62.591762738382926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62.591762738382926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5.1431925385259088E-14</v>
      </c>
      <c r="BF184" s="13">
        <f t="shared" si="167"/>
        <v>8.3482866290946129E-13</v>
      </c>
      <c r="BG184" s="20">
        <f t="shared" si="168"/>
        <v>1.5435705246133045E-12</v>
      </c>
      <c r="BH184" s="59">
        <f t="shared" si="116"/>
        <v>289.47336565868562</v>
      </c>
      <c r="BI184" s="59">
        <f ca="1">AVERAGE(OFFSET($BH$3,0,0,'Données projet'!$E$11+1,1))-AVERAGE(OFFSET($H$3,0,0,'Données projet'!$E$11+1,1))</f>
        <v>492.39485179035256</v>
      </c>
      <c r="BJ184" s="59">
        <f t="shared" si="146"/>
        <v>297.32483725004124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55.851111366557063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55.851111366557063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-5.4092197387944907E-14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260.51631161522039</v>
      </c>
      <c r="CE184" s="59">
        <f t="shared" si="148"/>
        <v>171.3469666102674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11.773950736551226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11.773950736551226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167.82976403567059</v>
      </c>
      <c r="T185" s="59">
        <f t="shared" si="142"/>
        <v>232.70925470547317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5.6155424795084041</v>
      </c>
      <c r="AA185" s="21">
        <f>EXP(-LN(2)/25)*AA184+(1-EXP(-LN(2)/25))/(LN(2)/25)*Calculateur!V185*Calculateur!X185*VLOOKUP('Données projet'!$B$9,Paramètres!$A$1:$I$89,3,0)*0.475*44/12</f>
        <v>1.4067764601567156</v>
      </c>
      <c r="AB185" s="21">
        <f>EXP(-LN(2)/2)*AB184+(1-EXP(-LN(2)/2))/(LN(2)/2)*V185*Y185*VLOOKUP('Données projet'!$B$9,Paramètres!$A$1:$I$89,3,0)*0.475*44/12</f>
        <v>1.5263863858635851E-17</v>
      </c>
      <c r="AC185" s="22">
        <f t="shared" si="163"/>
        <v>7.0223189396651193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5.7639226724859328E-14</v>
      </c>
      <c r="AK185" s="13">
        <f t="shared" si="164"/>
        <v>9.2325701996134334E-13</v>
      </c>
      <c r="AL185" s="20">
        <f t="shared" si="165"/>
        <v>1.708394296311803E-12</v>
      </c>
      <c r="AM185" s="59">
        <f t="shared" si="113"/>
        <v>289.54032746824612</v>
      </c>
      <c r="AN185" s="59">
        <f ca="1">AVERAGE(OFFSET($AM$3,0,0,'Données projet'!$E$10+1,1))-AVERAGE(OFFSET($H$3,0,0,'Données projet'!$E$10+1,1))</f>
        <v>542.51810435067659</v>
      </c>
      <c r="AO185" s="59">
        <f t="shared" si="144"/>
        <v>325.7263575945085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61.364376448288823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61.364376448288823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5.1431925385259088E-14</v>
      </c>
      <c r="BF185" s="13">
        <f t="shared" si="167"/>
        <v>8.3482866290946129E-13</v>
      </c>
      <c r="BG185" s="20">
        <f t="shared" si="168"/>
        <v>1.5435705246133045E-12</v>
      </c>
      <c r="BH185" s="59">
        <f t="shared" si="116"/>
        <v>289.54032746824595</v>
      </c>
      <c r="BI185" s="59">
        <f ca="1">AVERAGE(OFFSET($BH$3,0,0,'Données projet'!$E$11+1,1))-AVERAGE(OFFSET($H$3,0,0,'Données projet'!$E$11+1,1))</f>
        <v>492.39485179035256</v>
      </c>
      <c r="BJ185" s="59">
        <f t="shared" si="146"/>
        <v>297.32483725004124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54.755905138473096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54.755905138473096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-5.4092197387944907E-14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260.51631161522039</v>
      </c>
      <c r="CE185" s="59">
        <f t="shared" si="148"/>
        <v>171.3469666102674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11.543070744008302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11.543070744008302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167.82976403567059</v>
      </c>
      <c r="T186" s="59">
        <f t="shared" si="142"/>
        <v>232.70925470547317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5.5054251166279524</v>
      </c>
      <c r="AA186" s="21">
        <f>EXP(-LN(2)/25)*AA185+(1-EXP(-LN(2)/25))/(LN(2)/25)*Calculateur!V186*Calculateur!X186*VLOOKUP('Données projet'!$B$9,Paramètres!$A$1:$I$89,3,0)*0.475*44/12</f>
        <v>1.3683080838745714</v>
      </c>
      <c r="AB186" s="21">
        <f>EXP(-LN(2)/2)*AB185+(1-EXP(-LN(2)/2))/(LN(2)/2)*V186*Y186*VLOOKUP('Données projet'!$B$9,Paramètres!$A$1:$I$89,3,0)*0.475*44/12</f>
        <v>1.0793181641549672E-17</v>
      </c>
      <c r="AC186" s="22">
        <f t="shared" si="163"/>
        <v>6.8737332005025236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5.7639226724859328E-14</v>
      </c>
      <c r="AK186" s="13">
        <f t="shared" si="164"/>
        <v>9.2325701996134334E-13</v>
      </c>
      <c r="AL186" s="20">
        <f t="shared" si="165"/>
        <v>1.708394296311803E-12</v>
      </c>
      <c r="AM186" s="59">
        <f t="shared" si="113"/>
        <v>289.60612764011466</v>
      </c>
      <c r="AN186" s="59">
        <f ca="1">AVERAGE(OFFSET($AM$3,0,0,'Données projet'!$E$10+1,1))-AVERAGE(OFFSET($H$3,0,0,'Données projet'!$E$10+1,1))</f>
        <v>542.51810435067659</v>
      </c>
      <c r="AO186" s="59">
        <f t="shared" si="144"/>
        <v>325.7263575945085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60.16105845471175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60.16105845471175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5.1431925385259088E-14</v>
      </c>
      <c r="BF186" s="13">
        <f t="shared" si="167"/>
        <v>8.3482866290946129E-13</v>
      </c>
      <c r="BG186" s="20">
        <f t="shared" si="168"/>
        <v>1.5435705246133045E-12</v>
      </c>
      <c r="BH186" s="59">
        <f t="shared" si="116"/>
        <v>289.60612764011449</v>
      </c>
      <c r="BI186" s="59">
        <f ca="1">AVERAGE(OFFSET($BH$3,0,0,'Données projet'!$E$11+1,1))-AVERAGE(OFFSET($H$3,0,0,'Données projet'!$E$11+1,1))</f>
        <v>492.39485179035256</v>
      </c>
      <c r="BJ186" s="59">
        <f t="shared" si="146"/>
        <v>297.32483725004124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53.682175236512016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53.682175236512016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-5.4092197387944907E-14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260.51631161522039</v>
      </c>
      <c r="CE186" s="59">
        <f t="shared" si="148"/>
        <v>171.3469666102674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11.316718167296253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11.316718167296253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167.82976403567059</v>
      </c>
      <c r="T187" s="59">
        <f t="shared" si="142"/>
        <v>232.70925470547317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5.3974670880686269</v>
      </c>
      <c r="AA187" s="21">
        <f>EXP(-LN(2)/25)*AA186+(1-EXP(-LN(2)/25))/(LN(2)/25)*Calculateur!V187*Calculateur!X187*VLOOKUP('Données projet'!$B$9,Paramètres!$A$1:$I$89,3,0)*0.475*44/12</f>
        <v>1.3308916273648264</v>
      </c>
      <c r="AB187" s="21">
        <f>EXP(-LN(2)/2)*AB186+(1-EXP(-LN(2)/2))/(LN(2)/2)*V187*Y187*VLOOKUP('Données projet'!$B$9,Paramètres!$A$1:$I$89,3,0)*0.475*44/12</f>
        <v>7.6319319293179257E-18</v>
      </c>
      <c r="AC187" s="22">
        <f t="shared" si="163"/>
        <v>6.728358715433453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5.7639226724859328E-14</v>
      </c>
      <c r="AK187" s="13">
        <f t="shared" si="164"/>
        <v>9.2325701996134334E-13</v>
      </c>
      <c r="AL187" s="20">
        <f t="shared" si="165"/>
        <v>1.708394296311803E-12</v>
      </c>
      <c r="AM187" s="59">
        <f t="shared" si="113"/>
        <v>289.67078632610844</v>
      </c>
      <c r="AN187" s="59">
        <f ca="1">AVERAGE(OFFSET($AM$3,0,0,'Données projet'!$E$10+1,1))-AVERAGE(OFFSET($H$3,0,0,'Données projet'!$E$10+1,1))</f>
        <v>542.51810435067659</v>
      </c>
      <c r="AO187" s="59">
        <f t="shared" si="144"/>
        <v>325.7263575945085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58.981336793037215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58.981336793037215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5.1431925385259088E-14</v>
      </c>
      <c r="BF187" s="13">
        <f t="shared" si="167"/>
        <v>8.3482866290946129E-13</v>
      </c>
      <c r="BG187" s="20">
        <f t="shared" si="168"/>
        <v>1.5435705246133045E-12</v>
      </c>
      <c r="BH187" s="59">
        <f t="shared" si="116"/>
        <v>289.67078632610827</v>
      </c>
      <c r="BI187" s="59">
        <f ca="1">AVERAGE(OFFSET($BH$3,0,0,'Données projet'!$E$11+1,1))-AVERAGE(OFFSET($H$3,0,0,'Données projet'!$E$11+1,1))</f>
        <v>492.39485179035256</v>
      </c>
      <c r="BJ187" s="59">
        <f t="shared" si="146"/>
        <v>297.32483725004124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52.629500523017818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52.629500523017818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-5.4092197387944907E-14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260.51631161522039</v>
      </c>
      <c r="CE187" s="59">
        <f t="shared" si="148"/>
        <v>171.3469666102674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11.094804226552089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11.094804226552089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167.82976403567059</v>
      </c>
      <c r="T188" s="59">
        <f t="shared" si="142"/>
        <v>232.70925470547317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5.2916260506014536</v>
      </c>
      <c r="AA188" s="21">
        <f>EXP(-LN(2)/25)*AA187+(1-EXP(-LN(2)/25))/(LN(2)/25)*Calculateur!V188*Calculateur!X188*VLOOKUP('Données projet'!$B$9,Paramètres!$A$1:$I$89,3,0)*0.475*44/12</f>
        <v>1.2944983258259863</v>
      </c>
      <c r="AB188" s="21">
        <f>EXP(-LN(2)/2)*AB187+(1-EXP(-LN(2)/2))/(LN(2)/2)*V188*Y188*VLOOKUP('Données projet'!$B$9,Paramètres!$A$1:$I$89,3,0)*0.475*44/12</f>
        <v>5.396590820774836E-18</v>
      </c>
      <c r="AC188" s="22">
        <f t="shared" si="163"/>
        <v>6.5861243764274402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5.7639226724859328E-14</v>
      </c>
      <c r="AK188" s="13">
        <f t="shared" si="164"/>
        <v>9.2325701996134334E-13</v>
      </c>
      <c r="AL188" s="20">
        <f t="shared" si="165"/>
        <v>1.708394296311803E-12</v>
      </c>
      <c r="AM188" s="59">
        <f t="shared" si="113"/>
        <v>289.73432332845545</v>
      </c>
      <c r="AN188" s="59">
        <f ca="1">AVERAGE(OFFSET($AM$3,0,0,'Données projet'!$E$10+1,1))-AVERAGE(OFFSET($H$3,0,0,'Données projet'!$E$10+1,1))</f>
        <v>542.51810435067659</v>
      </c>
      <c r="AO188" s="59">
        <f t="shared" si="144"/>
        <v>325.7263575945085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57.824748753588956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57.824748753588956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5.1431925385259088E-14</v>
      </c>
      <c r="BF188" s="13">
        <f t="shared" si="167"/>
        <v>8.3482866290946129E-13</v>
      </c>
      <c r="BG188" s="20">
        <f t="shared" si="168"/>
        <v>1.5435705246133045E-12</v>
      </c>
      <c r="BH188" s="59">
        <f t="shared" si="116"/>
        <v>289.73432332845528</v>
      </c>
      <c r="BI188" s="59">
        <f ca="1">AVERAGE(OFFSET($BH$3,0,0,'Données projet'!$E$11+1,1))-AVERAGE(OFFSET($H$3,0,0,'Données projet'!$E$11+1,1))</f>
        <v>492.39485179035256</v>
      </c>
      <c r="BJ188" s="59">
        <f t="shared" si="146"/>
        <v>297.32483725004124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51.597468118587066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51.597468118587066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-5.4092197387944907E-14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260.51631161522039</v>
      </c>
      <c r="CE188" s="59">
        <f t="shared" si="148"/>
        <v>171.3469666102674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10.877241882831779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10.877241882831779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167.82976403567059</v>
      </c>
      <c r="T189" s="59">
        <f t="shared" si="142"/>
        <v>232.70925470547317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5.1878604913223541</v>
      </c>
      <c r="AA189" s="21">
        <f>EXP(-LN(2)/25)*AA188+(1-EXP(-LN(2)/25))/(LN(2)/25)*Calculateur!V189*Calculateur!X189*VLOOKUP('Données projet'!$B$9,Paramètres!$A$1:$I$89,3,0)*0.475*44/12</f>
        <v>1.2591002010315664</v>
      </c>
      <c r="AB189" s="21">
        <f>EXP(-LN(2)/2)*AB188+(1-EXP(-LN(2)/2))/(LN(2)/2)*V189*Y189*VLOOKUP('Données projet'!$B$9,Paramètres!$A$1:$I$89,3,0)*0.475*44/12</f>
        <v>3.8159659646589629E-18</v>
      </c>
      <c r="AC189" s="22">
        <f t="shared" si="163"/>
        <v>6.4469606923539207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5.7639226724859328E-14</v>
      </c>
      <c r="AK189" s="13">
        <f t="shared" si="164"/>
        <v>9.2325701996134334E-13</v>
      </c>
      <c r="AL189" s="20">
        <f t="shared" si="165"/>
        <v>1.708394296311803E-12</v>
      </c>
      <c r="AM189" s="59">
        <f t="shared" si="113"/>
        <v>289.79675810585911</v>
      </c>
      <c r="AN189" s="59">
        <f ca="1">AVERAGE(OFFSET($AM$3,0,0,'Données projet'!$E$10+1,1))-AVERAGE(OFFSET($H$3,0,0,'Données projet'!$E$10+1,1))</f>
        <v>542.51810435067659</v>
      </c>
      <c r="AO189" s="59">
        <f t="shared" si="144"/>
        <v>325.7263575945085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56.69084070014523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56.69084070014523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5.1431925385259088E-14</v>
      </c>
      <c r="BF189" s="13">
        <f t="shared" si="167"/>
        <v>8.3482866290946129E-13</v>
      </c>
      <c r="BG189" s="20">
        <f t="shared" si="168"/>
        <v>1.5435705246133045E-12</v>
      </c>
      <c r="BH189" s="59">
        <f t="shared" si="116"/>
        <v>289.79675810585894</v>
      </c>
      <c r="BI189" s="59">
        <f ca="1">AVERAGE(OFFSET($BH$3,0,0,'Données projet'!$E$11+1,1))-AVERAGE(OFFSET($H$3,0,0,'Données projet'!$E$11+1,1))</f>
        <v>492.39485179035256</v>
      </c>
      <c r="BJ189" s="59">
        <f t="shared" si="146"/>
        <v>297.32483725004124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50.585673240129587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50.585673240129587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-5.4092197387944907E-14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260.51631161522039</v>
      </c>
      <c r="CE189" s="59">
        <f t="shared" si="148"/>
        <v>171.3469666102674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10.663945803971897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10.663945803971897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167.82976403567059</v>
      </c>
      <c r="T190" s="59">
        <f t="shared" si="142"/>
        <v>232.70925470547317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5.086129711369975</v>
      </c>
      <c r="AA190" s="21">
        <f>EXP(-LN(2)/25)*AA189+(1-EXP(-LN(2)/25))/(LN(2)/25)*Calculateur!V190*Calculateur!X190*VLOOKUP('Données projet'!$B$9,Paramètres!$A$1:$I$89,3,0)*0.475*44/12</f>
        <v>1.2246700398211563</v>
      </c>
      <c r="AB190" s="21">
        <f>EXP(-LN(2)/2)*AB189+(1-EXP(-LN(2)/2))/(LN(2)/2)*V190*Y190*VLOOKUP('Données projet'!$B$9,Paramètres!$A$1:$I$89,3,0)*0.475*44/12</f>
        <v>2.698295410387418E-18</v>
      </c>
      <c r="AC190" s="22">
        <f t="shared" si="163"/>
        <v>6.3107997511911318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5.7639226724859328E-14</v>
      </c>
      <c r="AK190" s="13">
        <f t="shared" si="164"/>
        <v>9.2325701996134334E-13</v>
      </c>
      <c r="AL190" s="20">
        <f t="shared" si="165"/>
        <v>1.708394296311803E-12</v>
      </c>
      <c r="AM190" s="59">
        <f t="shared" si="113"/>
        <v>289.85810977945812</v>
      </c>
      <c r="AN190" s="59">
        <f ca="1">AVERAGE(OFFSET($AM$3,0,0,'Données projet'!$E$10+1,1))-AVERAGE(OFFSET($H$3,0,0,'Données projet'!$E$10+1,1))</f>
        <v>542.51810435067659</v>
      </c>
      <c r="AO190" s="59">
        <f t="shared" si="144"/>
        <v>325.7263575945085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55.579167892013913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55.579167892013913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5.1431925385259088E-14</v>
      </c>
      <c r="BF190" s="13">
        <f t="shared" si="167"/>
        <v>8.3482866290946129E-13</v>
      </c>
      <c r="BG190" s="20">
        <f t="shared" si="168"/>
        <v>1.5435705246133045E-12</v>
      </c>
      <c r="BH190" s="59">
        <f t="shared" si="116"/>
        <v>289.85810977945795</v>
      </c>
      <c r="BI190" s="59">
        <f ca="1">AVERAGE(OFFSET($BH$3,0,0,'Données projet'!$E$11+1,1))-AVERAGE(OFFSET($H$3,0,0,'Données projet'!$E$11+1,1))</f>
        <v>492.39485179035256</v>
      </c>
      <c r="BJ190" s="59">
        <f t="shared" si="146"/>
        <v>297.32483725004124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49.593719042104723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49.593719042104723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-5.4092197387944907E-14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260.51631161522039</v>
      </c>
      <c r="CE190" s="59">
        <f t="shared" si="148"/>
        <v>171.3469666102674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10.454832331120697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10.454832331120697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167.82976403567059</v>
      </c>
      <c r="T191" s="59">
        <f t="shared" si="142"/>
        <v>232.70925470547317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4.9863938099628138</v>
      </c>
      <c r="AA191" s="21">
        <f>EXP(-LN(2)/25)*AA190+(1-EXP(-LN(2)/25))/(LN(2)/25)*Calculateur!V191*Calculateur!X191*VLOOKUP('Données projet'!$B$9,Paramètres!$A$1:$I$89,3,0)*0.475*44/12</f>
        <v>1.1911813731796483</v>
      </c>
      <c r="AB191" s="21">
        <f>EXP(-LN(2)/2)*AB190+(1-EXP(-LN(2)/2))/(LN(2)/2)*V191*Y191*VLOOKUP('Données projet'!$B$9,Paramètres!$A$1:$I$89,3,0)*0.475*44/12</f>
        <v>1.9079829823294814E-18</v>
      </c>
      <c r="AC191" s="22">
        <f t="shared" si="163"/>
        <v>6.1775751831424621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5.7639226724859328E-14</v>
      </c>
      <c r="AK191" s="13">
        <f t="shared" si="164"/>
        <v>9.2325701996134334E-13</v>
      </c>
      <c r="AL191" s="20">
        <f t="shared" si="165"/>
        <v>1.708394296311803E-12</v>
      </c>
      <c r="AM191" s="59">
        <f t="shared" si="113"/>
        <v>289.91839713868194</v>
      </c>
      <c r="AN191" s="59">
        <f ca="1">AVERAGE(OFFSET($AM$3,0,0,'Données projet'!$E$10+1,1))-AVERAGE(OFFSET($H$3,0,0,'Données projet'!$E$10+1,1))</f>
        <v>542.51810435067659</v>
      </c>
      <c r="AO191" s="59">
        <f t="shared" si="144"/>
        <v>325.7263575945085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54.489294309596595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54.489294309596595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5.1431925385259088E-14</v>
      </c>
      <c r="BF191" s="13">
        <f t="shared" si="167"/>
        <v>8.3482866290946129E-13</v>
      </c>
      <c r="BG191" s="20">
        <f t="shared" si="168"/>
        <v>1.5435705246133045E-12</v>
      </c>
      <c r="BH191" s="59">
        <f t="shared" si="116"/>
        <v>289.91839713868177</v>
      </c>
      <c r="BI191" s="59">
        <f ca="1">AVERAGE(OFFSET($BH$3,0,0,'Données projet'!$E$11+1,1))-AVERAGE(OFFSET($H$3,0,0,'Données projet'!$E$11+1,1))</f>
        <v>492.39485179035256</v>
      </c>
      <c r="BJ191" s="59">
        <f t="shared" si="146"/>
        <v>297.32483725004124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48.621216460870805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48.621216460870805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-5.4092197387944907E-14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260.51631161522039</v>
      </c>
      <c r="CE191" s="59">
        <f t="shared" si="148"/>
        <v>171.3469666102674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10.249819445925484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10.249819445925484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167.82976403567059</v>
      </c>
      <c r="T192" s="59">
        <f t="shared" si="142"/>
        <v>232.70925470547317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4.888613668749354</v>
      </c>
      <c r="AA192" s="21">
        <f>EXP(-LN(2)/25)*AA191+(1-EXP(-LN(2)/25))/(LN(2)/25)*Calculateur!V192*Calculateur!X192*VLOOKUP('Données projet'!$B$9,Paramètres!$A$1:$I$89,3,0)*0.475*44/12</f>
        <v>1.158608455888545</v>
      </c>
      <c r="AB192" s="21">
        <f>EXP(-LN(2)/2)*AB191+(1-EXP(-LN(2)/2))/(LN(2)/2)*V192*Y192*VLOOKUP('Données projet'!$B$9,Paramètres!$A$1:$I$89,3,0)*0.475*44/12</f>
        <v>1.349147705193709E-18</v>
      </c>
      <c r="AC192" s="22">
        <f t="shared" si="163"/>
        <v>6.0472221246378988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5.7639226724859328E-14</v>
      </c>
      <c r="AK192" s="13">
        <f t="shared" si="164"/>
        <v>9.2325701996134334E-13</v>
      </c>
      <c r="AL192" s="20">
        <f t="shared" si="165"/>
        <v>1.708394296311803E-12</v>
      </c>
      <c r="AM192" s="59">
        <f t="shared" si="113"/>
        <v>289.97763864700556</v>
      </c>
      <c r="AN192" s="59">
        <f ca="1">AVERAGE(OFFSET($AM$3,0,0,'Données projet'!$E$10+1,1))-AVERAGE(OFFSET($H$3,0,0,'Données projet'!$E$10+1,1))</f>
        <v>542.51810435067659</v>
      </c>
      <c r="AO192" s="59">
        <f t="shared" si="144"/>
        <v>325.7263575945085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53.420792483373233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53.420792483373233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5.1431925385259088E-14</v>
      </c>
      <c r="BF192" s="13">
        <f t="shared" si="167"/>
        <v>8.3482866290946129E-13</v>
      </c>
      <c r="BG192" s="20">
        <f t="shared" si="168"/>
        <v>1.5435705246133045E-12</v>
      </c>
      <c r="BH192" s="59">
        <f t="shared" si="116"/>
        <v>289.97763864700539</v>
      </c>
      <c r="BI192" s="59">
        <f ca="1">AVERAGE(OFFSET($BH$3,0,0,'Données projet'!$E$11+1,1))-AVERAGE(OFFSET($H$3,0,0,'Données projet'!$E$11+1,1))</f>
        <v>492.39485179035256</v>
      </c>
      <c r="BJ192" s="59">
        <f t="shared" si="146"/>
        <v>297.32483725004124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47.667784062086881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47.667784062086881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-5.4092197387944907E-14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260.51631161522039</v>
      </c>
      <c r="CE192" s="59">
        <f t="shared" si="148"/>
        <v>171.3469666102674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10.048826738363436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10.048826738363436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167.82976403567059</v>
      </c>
      <c r="T193" s="59">
        <f t="shared" si="142"/>
        <v>232.70925470547317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4.7927509364650929</v>
      </c>
      <c r="AA193" s="21">
        <f>EXP(-LN(2)/25)*AA192+(1-EXP(-LN(2)/25))/(LN(2)/25)*Calculateur!V193*Calculateur!X193*VLOOKUP('Données projet'!$B$9,Paramètres!$A$1:$I$89,3,0)*0.475*44/12</f>
        <v>1.126926246733702</v>
      </c>
      <c r="AB193" s="21">
        <f>EXP(-LN(2)/2)*AB192+(1-EXP(-LN(2)/2))/(LN(2)/2)*V193*Y193*VLOOKUP('Données projet'!$B$9,Paramètres!$A$1:$I$89,3,0)*0.475*44/12</f>
        <v>9.5399149116474072E-19</v>
      </c>
      <c r="AC193" s="22">
        <f t="shared" si="163"/>
        <v>5.9196771831987949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5.7639226724859328E-14</v>
      </c>
      <c r="AK193" s="13">
        <f t="shared" si="164"/>
        <v>9.2325701996134334E-13</v>
      </c>
      <c r="AL193" s="20">
        <f t="shared" si="165"/>
        <v>1.708394296311803E-12</v>
      </c>
      <c r="AM193" s="59">
        <f t="shared" si="113"/>
        <v>290.03585244760399</v>
      </c>
      <c r="AN193" s="59">
        <f ca="1">AVERAGE(OFFSET($AM$3,0,0,'Données projet'!$E$10+1,1))-AVERAGE(OFFSET($H$3,0,0,'Données projet'!$E$10+1,1))</f>
        <v>542.51810435067659</v>
      </c>
      <c r="AO193" s="59">
        <f t="shared" si="144"/>
        <v>325.7263575945085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52.373243326240349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52.373243326240349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5.1431925385259088E-14</v>
      </c>
      <c r="BF193" s="13">
        <f t="shared" si="167"/>
        <v>8.3482866290946129E-13</v>
      </c>
      <c r="BG193" s="20">
        <f t="shared" si="168"/>
        <v>1.5435705246133045E-12</v>
      </c>
      <c r="BH193" s="59">
        <f t="shared" si="116"/>
        <v>290.03585244760382</v>
      </c>
      <c r="BI193" s="59">
        <f ca="1">AVERAGE(OFFSET($BH$3,0,0,'Données projet'!$E$11+1,1))-AVERAGE(OFFSET($H$3,0,0,'Données projet'!$E$11+1,1))</f>
        <v>492.39485179035256</v>
      </c>
      <c r="BJ193" s="59">
        <f t="shared" si="146"/>
        <v>297.32483725004124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46.733047891106771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46.733047891106771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-5.4092197387944907E-14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260.51631161522039</v>
      </c>
      <c r="CE193" s="59">
        <f t="shared" si="148"/>
        <v>171.3469666102674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9.8517753752032338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9.8517753752032338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167.82976403567059</v>
      </c>
      <c r="T194" s="59">
        <f t="shared" si="142"/>
        <v>232.70925470547317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4.6987680138904331</v>
      </c>
      <c r="AA194" s="21">
        <f>EXP(-LN(2)/25)*AA193+(1-EXP(-LN(2)/25))/(LN(2)/25)*Calculateur!V194*Calculateur!X194*VLOOKUP('Données projet'!$B$9,Paramètres!$A$1:$I$89,3,0)*0.475*44/12</f>
        <v>1.0961103892542932</v>
      </c>
      <c r="AB194" s="21">
        <f>EXP(-LN(2)/2)*AB193+(1-EXP(-LN(2)/2))/(LN(2)/2)*V194*Y194*VLOOKUP('Données projet'!$B$9,Paramètres!$A$1:$I$89,3,0)*0.475*44/12</f>
        <v>6.745738525968545E-19</v>
      </c>
      <c r="AC194" s="22">
        <f t="shared" si="163"/>
        <v>5.7948784031447262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5.7639226724859328E-14</v>
      </c>
      <c r="AK194" s="13">
        <f t="shared" si="164"/>
        <v>9.2325701996134334E-13</v>
      </c>
      <c r="AL194" s="20">
        <f t="shared" si="165"/>
        <v>1.708394296311803E-12</v>
      </c>
      <c r="AM194" s="59">
        <f t="shared" si="113"/>
        <v>290.09305636890855</v>
      </c>
      <c r="AN194" s="59">
        <f ca="1">AVERAGE(OFFSET($AM$3,0,0,'Données projet'!$E$10+1,1))-AVERAGE(OFFSET($H$3,0,0,'Données projet'!$E$10+1,1))</f>
        <v>542.51810435067659</v>
      </c>
      <c r="AO194" s="59">
        <f t="shared" si="144"/>
        <v>325.7263575945085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51.346235969136941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51.346235969136941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5.1431925385259088E-14</v>
      </c>
      <c r="BF194" s="13">
        <f t="shared" si="167"/>
        <v>8.3482866290946129E-13</v>
      </c>
      <c r="BG194" s="20">
        <f t="shared" si="168"/>
        <v>1.5435705246133045E-12</v>
      </c>
      <c r="BH194" s="59">
        <f t="shared" si="116"/>
        <v>290.09305636890838</v>
      </c>
      <c r="BI194" s="59">
        <f ca="1">AVERAGE(OFFSET($BH$3,0,0,'Données projet'!$E$11+1,1))-AVERAGE(OFFSET($H$3,0,0,'Données projet'!$E$11+1,1))</f>
        <v>492.39485179035256</v>
      </c>
      <c r="BJ194" s="59">
        <f t="shared" si="146"/>
        <v>297.32483725004124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45.816641326306808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45.816641326306808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-5.4092197387944907E-14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260.51631161522039</v>
      </c>
      <c r="CE194" s="59">
        <f t="shared" si="148"/>
        <v>171.3469666102674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9.6585880690851393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9.6585880690851393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167.82976403567059</v>
      </c>
      <c r="T195" s="59">
        <f t="shared" si="142"/>
        <v>232.70925470547317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4.6066280391035397</v>
      </c>
      <c r="AA195" s="21">
        <f>EXP(-LN(2)/25)*AA194+(1-EXP(-LN(2)/25))/(LN(2)/25)*Calculateur!V195*Calculateur!X195*VLOOKUP('Données projet'!$B$9,Paramètres!$A$1:$I$89,3,0)*0.475*44/12</f>
        <v>1.0661371930181944</v>
      </c>
      <c r="AB195" s="21">
        <f>EXP(-LN(2)/2)*AB194+(1-EXP(-LN(2)/2))/(LN(2)/2)*V195*Y195*VLOOKUP('Données projet'!$B$9,Paramètres!$A$1:$I$89,3,0)*0.475*44/12</f>
        <v>4.7699574558237036E-19</v>
      </c>
      <c r="AC195" s="22">
        <f t="shared" si="163"/>
        <v>5.6727652321217343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5.7639226724859328E-14</v>
      </c>
      <c r="AK195" s="13">
        <f t="shared" si="164"/>
        <v>9.2325701996134334E-13</v>
      </c>
      <c r="AL195" s="20">
        <f t="shared" si="165"/>
        <v>1.708394296311803E-12</v>
      </c>
      <c r="AM195" s="59">
        <f t="shared" si="113"/>
        <v>290.14926793006737</v>
      </c>
      <c r="AN195" s="59">
        <f ca="1">AVERAGE(OFFSET($AM$3,0,0,'Données projet'!$E$10+1,1))-AVERAGE(OFFSET($H$3,0,0,'Données projet'!$E$10+1,1))</f>
        <v>542.51810435067659</v>
      </c>
      <c r="AO195" s="59">
        <f t="shared" si="144"/>
        <v>325.7263575945085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50.339367599893698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50.339367599893698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5.1431925385259088E-14</v>
      </c>
      <c r="BF195" s="13">
        <f t="shared" si="167"/>
        <v>8.3482866290946129E-13</v>
      </c>
      <c r="BG195" s="20">
        <f t="shared" si="168"/>
        <v>1.5435705246133045E-12</v>
      </c>
      <c r="BH195" s="59">
        <f t="shared" si="116"/>
        <v>290.1492679300672</v>
      </c>
      <c r="BI195" s="59">
        <f ca="1">AVERAGE(OFFSET($BH$3,0,0,'Données projet'!$E$11+1,1))-AVERAGE(OFFSET($H$3,0,0,'Données projet'!$E$11+1,1))</f>
        <v>492.39485179035256</v>
      </c>
      <c r="BJ195" s="59">
        <f t="shared" si="146"/>
        <v>297.32483725004124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44.918204935289765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44.918204935289765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-5.4092197387944907E-14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260.51631161522039</v>
      </c>
      <c r="CE195" s="59">
        <f t="shared" si="148"/>
        <v>171.3469666102674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9.469189048207399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9.469189048207399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167.82976403567059</v>
      </c>
      <c r="T196" s="59">
        <f t="shared" si="142"/>
        <v>232.70925470547317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4.5162948730223818</v>
      </c>
      <c r="AA196" s="21">
        <f>EXP(-LN(2)/25)*AA195+(1-EXP(-LN(2)/25))/(LN(2)/25)*Calculateur!V196*Calculateur!X196*VLOOKUP('Données projet'!$B$9,Paramètres!$A$1:$I$89,3,0)*0.475*44/12</f>
        <v>1.0369836154093937</v>
      </c>
      <c r="AB196" s="21">
        <f>EXP(-LN(2)/2)*AB195+(1-EXP(-LN(2)/2))/(LN(2)/2)*V196*Y196*VLOOKUP('Données projet'!$B$9,Paramètres!$A$1:$I$89,3,0)*0.475*44/12</f>
        <v>3.3728692629842725E-19</v>
      </c>
      <c r="AC196" s="22">
        <f t="shared" si="163"/>
        <v>5.5532784884317756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5.7639226724859328E-14</v>
      </c>
      <c r="AK196" s="13">
        <f t="shared" si="164"/>
        <v>9.2325701996134334E-13</v>
      </c>
      <c r="AL196" s="20">
        <f t="shared" si="165"/>
        <v>1.708394296311803E-12</v>
      </c>
      <c r="AM196" s="59">
        <f t="shared" ref="AM196:AM203" si="193">AL196+(AD196+AE196)*44/12</f>
        <v>290.20450434631022</v>
      </c>
      <c r="AN196" s="59">
        <f ca="1">AVERAGE(OFFSET($AM$3,0,0,'Données projet'!$E$10+1,1))-AVERAGE(OFFSET($H$3,0,0,'Données projet'!$E$10+1,1))</f>
        <v>542.51810435067659</v>
      </c>
      <c r="AO196" s="59">
        <f t="shared" si="144"/>
        <v>325.7263575945085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49.352243305242254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49.352243305242254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5.1431925385259088E-14</v>
      </c>
      <c r="BF196" s="13">
        <f t="shared" si="167"/>
        <v>8.3482866290946129E-13</v>
      </c>
      <c r="BG196" s="20">
        <f t="shared" si="168"/>
        <v>1.5435705246133045E-12</v>
      </c>
      <c r="BH196" s="59">
        <f t="shared" ref="BH196:BH203" si="194">BG196+(AY196+AZ196)*44/12</f>
        <v>290.20450434631005</v>
      </c>
      <c r="BI196" s="59">
        <f ca="1">AVERAGE(OFFSET($BH$3,0,0,'Données projet'!$E$11+1,1))-AVERAGE(OFFSET($H$3,0,0,'Données projet'!$E$11+1,1))</f>
        <v>492.39485179035256</v>
      </c>
      <c r="BJ196" s="59">
        <f t="shared" si="146"/>
        <v>297.32483725004124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44.037386333908472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44.037386333908472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-5.4092197387944907E-14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260.51631161522039</v>
      </c>
      <c r="CE196" s="59">
        <f t="shared" si="148"/>
        <v>171.3469666102674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9.2835040266070745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9.2835040266070745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167.82976403567059</v>
      </c>
      <c r="T197" s="59">
        <f t="shared" ref="T197:T203" si="204">$T$3</f>
        <v>232.70925470547317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4.427733085230285</v>
      </c>
      <c r="AA197" s="21">
        <f>EXP(-LN(2)/25)*AA196+(1-EXP(-LN(2)/25))/(LN(2)/25)*Calculateur!V197*Calculateur!X197*VLOOKUP('Données projet'!$B$9,Paramètres!$A$1:$I$89,3,0)*0.475*44/12</f>
        <v>1.0086272439134256</v>
      </c>
      <c r="AB197" s="21">
        <f>EXP(-LN(2)/2)*AB196+(1-EXP(-LN(2)/2))/(LN(2)/2)*V197*Y197*VLOOKUP('Données projet'!$B$9,Paramètres!$A$1:$I$89,3,0)*0.475*44/12</f>
        <v>2.3849787279118518E-19</v>
      </c>
      <c r="AC197" s="22">
        <f t="shared" si="163"/>
        <v>5.4363603291437101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5.7639226724859328E-14</v>
      </c>
      <c r="AK197" s="13">
        <f t="shared" si="164"/>
        <v>9.2325701996134334E-13</v>
      </c>
      <c r="AL197" s="20">
        <f t="shared" si="165"/>
        <v>1.708394296311803E-12</v>
      </c>
      <c r="AM197" s="59">
        <f t="shared" si="193"/>
        <v>290.25878253422144</v>
      </c>
      <c r="AN197" s="59">
        <f ca="1">AVERAGE(OFFSET($AM$3,0,0,'Données projet'!$E$10+1,1))-AVERAGE(OFFSET($H$3,0,0,'Données projet'!$E$10+1,1))</f>
        <v>542.51810435067659</v>
      </c>
      <c r="AO197" s="59">
        <f t="shared" ref="AO197:AO203" si="205">$AO$3</f>
        <v>325.7263575945085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48.384475915922557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48.384475915922557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5.1431925385259088E-14</v>
      </c>
      <c r="BF197" s="13">
        <f t="shared" si="167"/>
        <v>8.3482866290946129E-13</v>
      </c>
      <c r="BG197" s="20">
        <f t="shared" si="168"/>
        <v>1.5435705246133045E-12</v>
      </c>
      <c r="BH197" s="59">
        <f t="shared" si="194"/>
        <v>290.25878253422127</v>
      </c>
      <c r="BI197" s="59">
        <f ca="1">AVERAGE(OFFSET($BH$3,0,0,'Données projet'!$E$11+1,1))-AVERAGE(OFFSET($H$3,0,0,'Données projet'!$E$11+1,1))</f>
        <v>492.39485179035256</v>
      </c>
      <c r="BJ197" s="59">
        <f t="shared" ref="BJ197:BJ203" si="206">$BJ$3</f>
        <v>297.32483725004124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43.173840048053968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43.173840048053968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-5.4092197387944907E-14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260.51631161522039</v>
      </c>
      <c r="CE197" s="59">
        <f t="shared" ref="CE197:CE203" si="207">$CE$3</f>
        <v>171.3469666102674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9.1014601750236519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9.1014601750236519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167.82976403567059</v>
      </c>
      <c r="T198" s="59">
        <f t="shared" si="204"/>
        <v>232.70925470547317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4.3409079400794344</v>
      </c>
      <c r="AA198" s="21">
        <f>EXP(-LN(2)/25)*AA197+(1-EXP(-LN(2)/25))/(LN(2)/25)*Calculateur!V198*Calculateur!X198*VLOOKUP('Données projet'!$B$9,Paramètres!$A$1:$I$89,3,0)*0.475*44/12</f>
        <v>0.98104627888721152</v>
      </c>
      <c r="AB198" s="21">
        <f>EXP(-LN(2)/2)*AB197+(1-EXP(-LN(2)/2))/(LN(2)/2)*V198*Y198*VLOOKUP('Données projet'!$B$9,Paramètres!$A$1:$I$89,3,0)*0.475*44/12</f>
        <v>1.6864346314921363E-19</v>
      </c>
      <c r="AC198" s="22">
        <f t="shared" si="163"/>
        <v>5.3219542189666456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5.7639226724859328E-14</v>
      </c>
      <c r="AK198" s="13">
        <f t="shared" si="164"/>
        <v>9.2325701996134334E-13</v>
      </c>
      <c r="AL198" s="20">
        <f t="shared" si="165"/>
        <v>1.708394296311803E-12</v>
      </c>
      <c r="AM198" s="59">
        <f t="shared" si="193"/>
        <v>290.3121191169202</v>
      </c>
      <c r="AN198" s="59">
        <f ca="1">AVERAGE(OFFSET($AM$3,0,0,'Données projet'!$E$10+1,1))-AVERAGE(OFFSET($H$3,0,0,'Données projet'!$E$10+1,1))</f>
        <v>542.51810435067659</v>
      </c>
      <c r="AO198" s="59">
        <f t="shared" si="205"/>
        <v>325.7263575945085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47.435685854827597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47.435685854827597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5.1431925385259088E-14</v>
      </c>
      <c r="BF198" s="13">
        <f t="shared" si="167"/>
        <v>8.3482866290946129E-13</v>
      </c>
      <c r="BG198" s="20">
        <f t="shared" si="168"/>
        <v>1.5435705246133045E-12</v>
      </c>
      <c r="BH198" s="59">
        <f t="shared" si="194"/>
        <v>290.31211911692003</v>
      </c>
      <c r="BI198" s="59">
        <f ca="1">AVERAGE(OFFSET($BH$3,0,0,'Données projet'!$E$11+1,1))-AVERAGE(OFFSET($H$3,0,0,'Données projet'!$E$11+1,1))</f>
        <v>492.39485179035256</v>
      </c>
      <c r="BJ198" s="59">
        <f t="shared" si="206"/>
        <v>297.32483725004124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42.32722737815385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42.32722737815385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-5.4092197387944907E-14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260.51631161522039</v>
      </c>
      <c r="CE198" s="59">
        <f t="shared" si="207"/>
        <v>171.3469666102674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8.9229860923339945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8.9229860923339945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167.82976403567059</v>
      </c>
      <c r="T199" s="59">
        <f t="shared" si="204"/>
        <v>232.70925470547317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4.2557853830668826</v>
      </c>
      <c r="AA199" s="21">
        <f>EXP(-LN(2)/25)*AA198+(1-EXP(-LN(2)/25))/(LN(2)/25)*Calculateur!V199*Calculateur!X199*VLOOKUP('Données projet'!$B$9,Paramètres!$A$1:$I$89,3,0)*0.475*44/12</f>
        <v>0.95421951680005912</v>
      </c>
      <c r="AB199" s="21">
        <f>EXP(-LN(2)/2)*AB198+(1-EXP(-LN(2)/2))/(LN(2)/2)*V199*Y199*VLOOKUP('Données projet'!$B$9,Paramètres!$A$1:$I$89,3,0)*0.475*44/12</f>
        <v>1.1924893639559259E-19</v>
      </c>
      <c r="AC199" s="22">
        <f t="shared" si="163"/>
        <v>5.2100048998669415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5.7639226724859328E-14</v>
      </c>
      <c r="AK199" s="13">
        <f t="shared" si="164"/>
        <v>9.2325701996134334E-13</v>
      </c>
      <c r="AL199" s="20">
        <f t="shared" si="165"/>
        <v>1.708394296311803E-12</v>
      </c>
      <c r="AM199" s="59">
        <f t="shared" si="193"/>
        <v>290.3645304291519</v>
      </c>
      <c r="AN199" s="59">
        <f ca="1">AVERAGE(OFFSET($AM$3,0,0,'Données projet'!$E$10+1,1))-AVERAGE(OFFSET($H$3,0,0,'Données projet'!$E$10+1,1))</f>
        <v>542.51810435067659</v>
      </c>
      <c r="AO199" s="59">
        <f t="shared" si="205"/>
        <v>325.7263575945085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46.50550098812591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46.50550098812591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5.1431925385259088E-14</v>
      </c>
      <c r="BF199" s="13">
        <f t="shared" si="167"/>
        <v>8.3482866290946129E-13</v>
      </c>
      <c r="BG199" s="20">
        <f t="shared" si="168"/>
        <v>1.5435705246133045E-12</v>
      </c>
      <c r="BH199" s="59">
        <f t="shared" si="194"/>
        <v>290.36453042915173</v>
      </c>
      <c r="BI199" s="59">
        <f ca="1">AVERAGE(OFFSET($BH$3,0,0,'Données projet'!$E$11+1,1))-AVERAGE(OFFSET($H$3,0,0,'Données projet'!$E$11+1,1))</f>
        <v>492.39485179035256</v>
      </c>
      <c r="BJ199" s="59">
        <f t="shared" si="206"/>
        <v>297.32483725004124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41.497216266327733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41.497216266327733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-5.4092197387944907E-14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260.51631161522039</v>
      </c>
      <c r="CE199" s="59">
        <f t="shared" si="207"/>
        <v>171.3469666102674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8.7480117775474397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8.7480117775474397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167.82976403567059</v>
      </c>
      <c r="T200" s="59">
        <f t="shared" si="204"/>
        <v>232.70925470547317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4.1723320274777134</v>
      </c>
      <c r="AA200" s="21">
        <f>EXP(-LN(2)/25)*AA199+(1-EXP(-LN(2)/25))/(LN(2)/25)*Calculateur!V200*Calculateur!X200*VLOOKUP('Données projet'!$B$9,Paramètres!$A$1:$I$89,3,0)*0.475*44/12</f>
        <v>0.92812633393293797</v>
      </c>
      <c r="AB200" s="21">
        <f>EXP(-LN(2)/2)*AB199+(1-EXP(-LN(2)/2))/(LN(2)/2)*V200*Y200*VLOOKUP('Données projet'!$B$9,Paramètres!$A$1:$I$89,3,0)*0.475*44/12</f>
        <v>8.4321731574606813E-20</v>
      </c>
      <c r="AC200" s="22">
        <f t="shared" si="163"/>
        <v>5.1004583614106513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5.7639226724859328E-14</v>
      </c>
      <c r="AK200" s="13">
        <f t="shared" si="164"/>
        <v>9.2325701996134334E-13</v>
      </c>
      <c r="AL200" s="20">
        <f t="shared" si="165"/>
        <v>1.708394296311803E-12</v>
      </c>
      <c r="AM200" s="59">
        <f t="shared" si="193"/>
        <v>290.41603252229049</v>
      </c>
      <c r="AN200" s="59">
        <f ca="1">AVERAGE(OFFSET($AM$3,0,0,'Données projet'!$E$10+1,1))-AVERAGE(OFFSET($H$3,0,0,'Données projet'!$E$10+1,1))</f>
        <v>542.51810435067659</v>
      </c>
      <c r="AO200" s="59">
        <f t="shared" si="205"/>
        <v>325.7263575945085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45.593556479303494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45.593556479303494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5.1431925385259088E-14</v>
      </c>
      <c r="BF200" s="13">
        <f t="shared" si="167"/>
        <v>8.3482866290946129E-13</v>
      </c>
      <c r="BG200" s="20">
        <f t="shared" si="168"/>
        <v>1.5435705246133045E-12</v>
      </c>
      <c r="BH200" s="59">
        <f t="shared" si="194"/>
        <v>290.41603252229032</v>
      </c>
      <c r="BI200" s="59">
        <f ca="1">AVERAGE(OFFSET($BH$3,0,0,'Données projet'!$E$11+1,1))-AVERAGE(OFFSET($H$3,0,0,'Données projet'!$E$11+1,1))</f>
        <v>492.39485179035256</v>
      </c>
      <c r="BJ200" s="59">
        <f t="shared" si="206"/>
        <v>297.32483725004124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40.683481166147736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40.683481166147736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-5.4092197387944907E-14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260.51631161522039</v>
      </c>
      <c r="CE200" s="59">
        <f t="shared" si="207"/>
        <v>171.3469666102674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8.5764686023500563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8.5764686023500563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167.82976403567059</v>
      </c>
      <c r="T201" s="59">
        <f t="shared" si="204"/>
        <v>232.70925470547317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4.0905151412901271</v>
      </c>
      <c r="AA201" s="21">
        <f>EXP(-LN(2)/25)*AA200+(1-EXP(-LN(2)/25))/(LN(2)/25)*Calculateur!V201*Calculateur!X201*VLOOKUP('Données projet'!$B$9,Paramètres!$A$1:$I$89,3,0)*0.475*44/12</f>
        <v>0.90274667052349911</v>
      </c>
      <c r="AB201" s="21">
        <f>EXP(-LN(2)/2)*AB200+(1-EXP(-LN(2)/2))/(LN(2)/2)*V201*Y201*VLOOKUP('Données projet'!$B$9,Paramètres!$A$1:$I$89,3,0)*0.475*44/12</f>
        <v>5.9624468197796295E-20</v>
      </c>
      <c r="AC201" s="22">
        <f t="shared" si="163"/>
        <v>4.9932618118136265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5.7639226724859328E-14</v>
      </c>
      <c r="AK201" s="13">
        <f t="shared" si="164"/>
        <v>9.2325701996134334E-13</v>
      </c>
      <c r="AL201" s="20">
        <f t="shared" si="165"/>
        <v>1.708394296311803E-12</v>
      </c>
      <c r="AM201" s="59">
        <f t="shared" si="193"/>
        <v>290.46664116925461</v>
      </c>
      <c r="AN201" s="59">
        <f ca="1">AVERAGE(OFFSET($AM$3,0,0,'Données projet'!$E$10+1,1))-AVERAGE(OFFSET($H$3,0,0,'Données projet'!$E$10+1,1))</f>
        <v>542.51810435067659</v>
      </c>
      <c r="AO201" s="59">
        <f t="shared" si="205"/>
        <v>325.7263575945085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44.699494646067862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44.699494646067862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5.1431925385259088E-14</v>
      </c>
      <c r="BF201" s="13">
        <f t="shared" si="167"/>
        <v>8.3482866290946129E-13</v>
      </c>
      <c r="BG201" s="20">
        <f t="shared" si="168"/>
        <v>1.5435705246133045E-12</v>
      </c>
      <c r="BH201" s="59">
        <f t="shared" si="194"/>
        <v>290.46664116925444</v>
      </c>
      <c r="BI201" s="59">
        <f ca="1">AVERAGE(OFFSET($BH$3,0,0,'Données projet'!$E$11+1,1))-AVERAGE(OFFSET($H$3,0,0,'Données projet'!$E$11+1,1))</f>
        <v>492.39485179035256</v>
      </c>
      <c r="BJ201" s="59">
        <f t="shared" si="206"/>
        <v>297.32483725004124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39.885702914952866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39.885702914952866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-5.4092197387944907E-14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260.51631161522039</v>
      </c>
      <c r="CE201" s="59">
        <f t="shared" si="207"/>
        <v>171.3469666102674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8.4082892841872887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8.4082892841872887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167.82976403567059</v>
      </c>
      <c r="T202" s="59">
        <f t="shared" si="204"/>
        <v>232.70925470547317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4.0103026343373065</v>
      </c>
      <c r="AA202" s="21">
        <f>EXP(-LN(2)/25)*AA201+(1-EXP(-LN(2)/25))/(LN(2)/25)*Calculateur!V202*Calculateur!X202*VLOOKUP('Données projet'!$B$9,Paramètres!$A$1:$I$89,3,0)*0.475*44/12</f>
        <v>0.87806101534464986</v>
      </c>
      <c r="AB202" s="21">
        <f>EXP(-LN(2)/2)*AB201+(1-EXP(-LN(2)/2))/(LN(2)/2)*V202*Y202*VLOOKUP('Données projet'!$B$9,Paramètres!$A$1:$I$89,3,0)*0.475*44/12</f>
        <v>4.2160865787303406E-20</v>
      </c>
      <c r="AC202" s="22">
        <f t="shared" si="163"/>
        <v>4.8883636496819562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5.7639226724859328E-14</v>
      </c>
      <c r="AK202" s="13">
        <f t="shared" si="164"/>
        <v>9.2325701996134334E-13</v>
      </c>
      <c r="AL202" s="20">
        <f t="shared" si="165"/>
        <v>1.708394296311803E-12</v>
      </c>
      <c r="AM202" s="59">
        <f t="shared" si="193"/>
        <v>290.51637186933783</v>
      </c>
      <c r="AN202" s="59">
        <f ca="1">AVERAGE(OFFSET($AM$3,0,0,'Données projet'!$E$10+1,1))-AVERAGE(OFFSET($H$3,0,0,'Données projet'!$E$10+1,1))</f>
        <v>542.51810435067659</v>
      </c>
      <c r="AO202" s="59">
        <f t="shared" si="205"/>
        <v>325.7263575945085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43.822964820058111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43.822964820058111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5.1431925385259088E-14</v>
      </c>
      <c r="BF202" s="13">
        <f t="shared" si="167"/>
        <v>8.3482866290946129E-13</v>
      </c>
      <c r="BG202" s="20">
        <f t="shared" si="168"/>
        <v>1.5435705246133045E-12</v>
      </c>
      <c r="BH202" s="59">
        <f t="shared" si="194"/>
        <v>290.51637186933766</v>
      </c>
      <c r="BI202" s="59">
        <f ca="1">AVERAGE(OFFSET($BH$3,0,0,'Données projet'!$E$11+1,1))-AVERAGE(OFFSET($H$3,0,0,'Données projet'!$E$11+1,1))</f>
        <v>492.39485179035256</v>
      </c>
      <c r="BJ202" s="59">
        <f t="shared" si="206"/>
        <v>297.32483725004124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39.103568608667238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39.103568608667238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-5.4092197387944907E-14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260.51631161522039</v>
      </c>
      <c r="CE202" s="59">
        <f t="shared" si="207"/>
        <v>171.3469666102674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8.2434078598744378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8.2434078598744378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167.82976403567059</v>
      </c>
      <c r="T203" s="59">
        <f t="shared" si="204"/>
        <v>232.70925470547317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3.9316630457210322</v>
      </c>
      <c r="AA203" s="21">
        <f>EXP(-LN(2)/25)*AA202+(1-EXP(-LN(2)/25))/(LN(2)/25)*Calculateur!V203*Calculateur!X203*VLOOKUP('Données projet'!$B$9,Paramètres!$A$1:$I$89,3,0)*0.475*44/12</f>
        <v>0.85405039070482847</v>
      </c>
      <c r="AB203" s="21">
        <f>EXP(-LN(2)/2)*AB202+(1-EXP(-LN(2)/2))/(LN(2)/2)*V203*Y203*VLOOKUP('Données projet'!$B$9,Paramètres!$A$1:$I$89,3,0)*0.475*44/12</f>
        <v>2.9812234098898147E-20</v>
      </c>
      <c r="AC203" s="22">
        <f t="shared" si="163"/>
        <v>4.7857134364258602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5.7639226724859328E-14</v>
      </c>
      <c r="AK203" s="13">
        <f t="shared" si="164"/>
        <v>9.2325701996134334E-13</v>
      </c>
      <c r="AL203" s="20">
        <f t="shared" si="165"/>
        <v>1.708394296311803E-12</v>
      </c>
      <c r="AM203" s="59">
        <f t="shared" si="193"/>
        <v>290.56523985295581</v>
      </c>
      <c r="AN203" s="59">
        <f ca="1">AVERAGE(OFFSET($AM$3,0,0,'Données projet'!$E$10+1,1))-AVERAGE(OFFSET($H$3,0,0,'Données projet'!$E$10+1,1))</f>
        <v>542.51810435067659</v>
      </c>
      <c r="AO203" s="59">
        <f t="shared" si="205"/>
        <v>325.7263575945085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42.963623209306007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42.963623209306007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5.1431925385259088E-14</v>
      </c>
      <c r="BF203" s="13">
        <f t="shared" si="167"/>
        <v>8.3482866290946129E-13</v>
      </c>
      <c r="BG203" s="20">
        <f t="shared" si="168"/>
        <v>1.5435705246133045E-12</v>
      </c>
      <c r="BH203" s="59">
        <f t="shared" si="194"/>
        <v>290.56523985295564</v>
      </c>
      <c r="BI203" s="59">
        <f ca="1">AVERAGE(OFFSET($BH$3,0,0,'Données projet'!$E$11+1,1))-AVERAGE(OFFSET($H$3,0,0,'Données projet'!$E$11+1,1))</f>
        <v>492.39485179035256</v>
      </c>
      <c r="BJ203" s="59">
        <f t="shared" si="206"/>
        <v>297.32483725004124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38.33677147907305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38.33677147907305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-5.4092197387944907E-14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260.51631161522039</v>
      </c>
      <c r="CE203" s="59">
        <f t="shared" si="207"/>
        <v>171.3469666102674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8.0817596597246233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8.0817596597246233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1.1867200975826817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1.2392705892426346</v>
      </c>
      <c r="BV205" s="82">
        <f>EXP(LN('Données projet'!B114)/'Données projet'!A114)</f>
        <v>1.1457367676485573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Cèdre de l'Atlas</v>
      </c>
      <c r="B6" s="146">
        <f>'Données projet'!D9</f>
        <v>2.9999517599999996</v>
      </c>
      <c r="C6" s="147">
        <f ca="1">IF(OR('Données projet'!B9="",'Données projet'!C9="",'Données projet'!C9=0%),0,Calculateur!S3)</f>
        <v>167.82976403567059</v>
      </c>
      <c r="D6" s="147">
        <f>IF(OR('Données projet'!B9="",'Données projet'!C9="",'Données projet'!C9=0%),0,Calculateur!T3)</f>
        <v>232.70925470547317</v>
      </c>
      <c r="E6" s="147">
        <f ca="1">MIN(C6,D6)</f>
        <v>167.82976403567059</v>
      </c>
      <c r="F6" s="147">
        <f ca="1">E6*B6</f>
        <v>503.48119599919465</v>
      </c>
      <c r="G6" s="147">
        <f ca="1">F6*(100%-'Données projet'!$C$24)*(100%-'Données projet'!$C$25)*(100%-'Données projet'!$C$26)*(100%-'Données projet'!$C$27)</f>
        <v>407.81976875934765</v>
      </c>
      <c r="H6" s="148">
        <f>IF(OR('Données projet'!B9="",'Données projet'!C9="",'Données projet'!C9=0%),0,AVERAGE(Calculateur!$AC$3:$AC$33)*B6)</f>
        <v>2.7557121692061077</v>
      </c>
      <c r="I6" s="149">
        <f>H6*(100%-'Données projet'!$C$24)*(100%-'Données projet'!$C$25)*(100%-'Données projet'!$C$26)*(100%-'Données projet'!$C$27)</f>
        <v>2.2321268570569477</v>
      </c>
      <c r="J6" s="150">
        <f>IF(OR('Données projet'!B9="",'Données projet'!C9="",'Données projet'!C9=0%),0,SUM(Calculateur!$V$3:$V$33)*VLOOKUP('Données projet'!$B$9,Paramètres!$A$1:$I$89,9,0)*B6)</f>
        <v>90.298547975999981</v>
      </c>
      <c r="K6" s="151">
        <f>J6*(100%-'Données projet'!$C$24)*(100%-'Données projet'!$C$25)*(100%-'Données projet'!$C$26)*(100%-'Données projet'!$C$27)</f>
        <v>73.141823860559995</v>
      </c>
      <c r="L6" s="152">
        <f ca="1">G6+I6+K6</f>
        <v>483.19371947696459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pubescent</v>
      </c>
      <c r="B7" s="154">
        <f>'Données projet'!D10</f>
        <v>2.9999517599999996</v>
      </c>
      <c r="C7" s="147">
        <f ca="1">IF(OR('Données projet'!B10="",'Données projet'!C10="",'Données projet'!C10=0%),0,Calculateur!AN3)</f>
        <v>542.51810435067659</v>
      </c>
      <c r="D7" s="147">
        <f>IF(OR('Données projet'!B10="",'Données projet'!C10="",'Données projet'!C10=0%),0,Calculateur!AO3)</f>
        <v>325.7263575945085</v>
      </c>
      <c r="E7" s="147">
        <f t="shared" ref="E7:E15" ca="1" si="0">MIN(C7,D7)</f>
        <v>325.7263575945085</v>
      </c>
      <c r="F7" s="147">
        <f t="shared" ref="F7:F15" ca="1" si="1">E7*B7</f>
        <v>977.16335974403501</v>
      </c>
      <c r="G7" s="147">
        <f ca="1">F7*(100%-'Données projet'!$C$24)*(100%-'Données projet'!$C$25)*(100%-'Données projet'!$C$26)*(100%-'Données projet'!$C$27)</f>
        <v>791.50232139266836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20.999662319999999</v>
      </c>
      <c r="K7" s="151">
        <f>J7*(100%-'Données projet'!$C$24)*(100%-'Données projet'!$C$25)*(100%-'Données projet'!$C$26)*(100%-'Données projet'!$C$27)</f>
        <v>17.009726479200001</v>
      </c>
      <c r="L7" s="152">
        <f t="shared" ref="L7:L15" ca="1" si="2">G7+I7+K7</f>
        <v>808.51204787186839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Chêne sessile</v>
      </c>
      <c r="B8" s="154">
        <f>'Données projet'!D11</f>
        <v>0.41524756000000002</v>
      </c>
      <c r="C8" s="147">
        <f ca="1">IF(OR('Données projet'!B11="",'Données projet'!C11="",'Données projet'!C11=0%),0,Calculateur!BI3)</f>
        <v>492.39485179035256</v>
      </c>
      <c r="D8" s="147">
        <f>IF(OR('Données projet'!B11="",'Données projet'!C11="",'Données projet'!C11=0%),0,Calculateur!BJ3)</f>
        <v>297.32483725004124</v>
      </c>
      <c r="E8" s="147">
        <f t="shared" ca="1" si="0"/>
        <v>297.32483725004124</v>
      </c>
      <c r="F8" s="147">
        <f t="shared" ca="1" si="1"/>
        <v>123.46341319547675</v>
      </c>
      <c r="G8" s="147">
        <f ca="1">F8*(100%-'Données projet'!$C$24)*(100%-'Données projet'!$C$25)*(100%-'Données projet'!$C$26)*(100%-'Données projet'!$C$27)</f>
        <v>100.00536468833617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2.9067329200000001</v>
      </c>
      <c r="K8" s="151">
        <f>J8*(100%-'Données projet'!$C$24)*(100%-'Données projet'!$C$25)*(100%-'Données projet'!$C$26)*(100%-'Données projet'!$C$27)</f>
        <v>2.3544536651999999</v>
      </c>
      <c r="L8" s="152">
        <f t="shared" ca="1" si="2"/>
        <v>102.35981835353617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Charme</v>
      </c>
      <c r="B9" s="154">
        <f>'Données projet'!D12</f>
        <v>0.10364892000000001</v>
      </c>
      <c r="C9" s="147">
        <f ca="1">IF(OR('Données projet'!B12="",'Données projet'!C12="",'Données projet'!C12=0%),0,Calculateur!CD3)</f>
        <v>260.51631161522039</v>
      </c>
      <c r="D9" s="147">
        <f>IF(OR('Données projet'!B12="",'Données projet'!C12="",'Données projet'!C12=0%),0,Calculateur!CE3)</f>
        <v>171.3469666102674</v>
      </c>
      <c r="E9" s="147">
        <f t="shared" ca="1" si="0"/>
        <v>171.3469666102674</v>
      </c>
      <c r="F9" s="147">
        <f t="shared" ca="1" si="1"/>
        <v>17.759928034430278</v>
      </c>
      <c r="G9" s="147">
        <f ca="1">F9*(100%-'Données projet'!$C$24)*(100%-'Données projet'!$C$25)*(100%-'Données projet'!$C$26)*(100%-'Données projet'!$C$27)</f>
        <v>14.385541707888525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14.385541707888525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1621.8678969731366</v>
      </c>
      <c r="G16" s="166">
        <f t="shared" ca="1" si="3"/>
        <v>1313.7129965482407</v>
      </c>
      <c r="H16" s="167">
        <f t="shared" si="3"/>
        <v>2.7557121692061077</v>
      </c>
      <c r="I16" s="167">
        <f t="shared" si="3"/>
        <v>2.2321268570569477</v>
      </c>
      <c r="J16" s="168">
        <f t="shared" si="3"/>
        <v>114.20494321599998</v>
      </c>
      <c r="K16" s="168">
        <f t="shared" si="3"/>
        <v>92.506004004959991</v>
      </c>
      <c r="L16" s="169">
        <f t="shared" ca="1" si="3"/>
        <v>1408.4511274102576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9" zoomScaleNormal="89" workbookViewId="0">
      <selection activeCell="C116" sqref="C116:C13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-2650.5655387437973</v>
      </c>
      <c r="U10" s="178">
        <f>'Données projet'!D9</f>
        <v>2.9999517599999996</v>
      </c>
      <c r="V10" s="177">
        <f>U10*T10</f>
        <v>-7951.5687529498018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pubescent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-1913.5511893926518</v>
      </c>
      <c r="U11" s="178">
        <f>'Données projet'!D10</f>
        <v>2.9999517599999996</v>
      </c>
      <c r="V11" s="177">
        <f t="shared" ref="V11" si="0">U11*T11</f>
        <v>-5740.5612584685787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sessile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-1582.0311893926519</v>
      </c>
      <c r="U12" s="178">
        <f>'Données projet'!D11</f>
        <v>0.41524756000000002</v>
      </c>
      <c r="V12" s="177">
        <f t="shared" ref="V12:V19" si="1">U12*T12</f>
        <v>-656.93459123919661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Charme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-3719.6008155605396</v>
      </c>
      <c r="U13" s="178">
        <f>'Données projet'!D12</f>
        <v>0.10364892000000001</v>
      </c>
      <c r="V13" s="177">
        <f t="shared" si="1"/>
        <v>-385.53260736396913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f>(2562+1526)*1.12</f>
        <v>4578.5600000000004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f>400*1.12</f>
        <v>448.00000000000006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f>(220+300)*1.12</f>
        <v>582.40000000000009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f>(225+400)*1.12</f>
        <v>700.00000000000011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30</v>
      </c>
      <c r="B23" s="181">
        <f>'Données projet'!D36</f>
        <v>70</v>
      </c>
      <c r="C23" s="193">
        <f>57*'Données projet'!E36+19.4*('Données projet'!F36+'Données projet'!G36)+10*'Données projet'!G36</f>
        <v>30.42</v>
      </c>
      <c r="D23" s="182">
        <f>B23*C23</f>
        <v>2129.4</v>
      </c>
      <c r="E23" s="193"/>
      <c r="F23" s="229"/>
      <c r="H23" s="190">
        <v>3</v>
      </c>
      <c r="I23" s="191">
        <f>(225+450)*1.12</f>
        <v>756.00000000000011</v>
      </c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-29785.279393861521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40</v>
      </c>
      <c r="B24" s="181">
        <f>'Données projet'!D37</f>
        <v>50</v>
      </c>
      <c r="C24" s="193">
        <f>57*'Données projet'!E37+19.4*('Données projet'!F37+'Données projet'!G37)+10*'Données projet'!G37</f>
        <v>33.779999999999994</v>
      </c>
      <c r="D24" s="182">
        <f t="shared" ref="D24:D42" si="2">B24*C24</f>
        <v>1688.9999999999998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50</v>
      </c>
      <c r="B25" s="181">
        <f>'Données projet'!D38</f>
        <v>50</v>
      </c>
      <c r="C25" s="193">
        <f>57*'Données projet'!E38+19.4*('Données projet'!F38+'Données projet'!G38)+10*'Données projet'!G38</f>
        <v>37.04</v>
      </c>
      <c r="D25" s="182">
        <f t="shared" si="2"/>
        <v>1852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-29785.279393861521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60</v>
      </c>
      <c r="B26" s="181">
        <f>'Données projet'!D39</f>
        <v>300</v>
      </c>
      <c r="C26" s="193">
        <f>57*'Données projet'!E39+19.4*('Données projet'!F39+'Données projet'!G39)+10*'Données projet'!G39</f>
        <v>40.400000000000006</v>
      </c>
      <c r="D26" s="182">
        <f t="shared" si="2"/>
        <v>12120.000000000002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0</v>
      </c>
      <c r="B27" s="181">
        <f>'Données projet'!D40</f>
        <v>0</v>
      </c>
      <c r="C27" s="193">
        <f>57*'Données projet'!E40+19.4*('Données projet'!F40+'Données projet'!G40)+10*'Données projet'!G40</f>
        <v>0</v>
      </c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0</v>
      </c>
      <c r="B28" s="181">
        <f>'Données projet'!D41</f>
        <v>0</v>
      </c>
      <c r="C28" s="193">
        <f>57*'Données projet'!E41+19.4*('Données projet'!F41+'Données projet'!G41)+10*'Données projet'!G41</f>
        <v>0</v>
      </c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>
        <f>57*'Données projet'!E42+19.4*('Données projet'!F42+'Données projet'!G42)+10*'Données projet'!G42</f>
        <v>0</v>
      </c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>
        <f>57*'Données projet'!E43+19.4*('Données projet'!F43+'Données projet'!G43)+10*'Données projet'!G43</f>
        <v>0</v>
      </c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>
        <f>57*'Données projet'!E44+19.4*('Données projet'!F44+'Données projet'!G44)+10*'Données projet'!G44</f>
        <v>0</v>
      </c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>
        <f>57*'Données projet'!E45+19.4*('Données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>
        <f>57*'Données projet'!E46+19.4*('Données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>
        <f>57*'Données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>
        <f>57*'Données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>
        <f>57*'Données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57*'Données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57*'Données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57*'Données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57*'Données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57*'Données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57*'Données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f>(2394+1526)*1.12</f>
        <v>4390.4000000000005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>
        <f>225*'Données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0</v>
      </c>
      <c r="C55" s="191">
        <f>225*'Données projet'!E63+13.8*('Données projet'!F63+'Données projet'!G63)+10*'Données projet'!H63</f>
        <v>10</v>
      </c>
      <c r="D55" s="179">
        <f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28</v>
      </c>
      <c r="C56" s="191">
        <f>225*'Données projet'!E64+13.8*('Données projet'!F64+'Données projet'!G64)+10*'Données projet'!H64</f>
        <v>10</v>
      </c>
      <c r="D56" s="179">
        <f t="shared" ref="D56:D73" si="4">B56*C56</f>
        <v>280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28</v>
      </c>
      <c r="C57" s="191">
        <f>225*'Données projet'!E65+13.8*('Données projet'!F65+'Données projet'!G65)+10*'Données projet'!H65</f>
        <v>10</v>
      </c>
      <c r="D57" s="179">
        <f t="shared" si="4"/>
        <v>280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28</v>
      </c>
      <c r="C58" s="191">
        <f>225*'Données projet'!E66+13.8*('Données projet'!F66+'Données projet'!G66)+10*'Données projet'!H66</f>
        <v>53</v>
      </c>
      <c r="D58" s="179">
        <f t="shared" si="4"/>
        <v>1484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28</v>
      </c>
      <c r="C59" s="191">
        <f>225*'Données projet'!E67+13.8*('Données projet'!F67+'Données projet'!G67)+10*'Données projet'!H67</f>
        <v>53</v>
      </c>
      <c r="D59" s="179">
        <f t="shared" si="4"/>
        <v>1484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28</v>
      </c>
      <c r="C60" s="191">
        <f>225*'Données projet'!E68+13.8*('Données projet'!F68+'Données projet'!G68)+10*'Données projet'!H68</f>
        <v>74.5</v>
      </c>
      <c r="D60" s="179">
        <f t="shared" si="4"/>
        <v>2086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28</v>
      </c>
      <c r="C61" s="191">
        <f>225*'Données projet'!E69+13.8*('Données projet'!F69+'Données projet'!G69)+10*'Données projet'!H69</f>
        <v>74.5</v>
      </c>
      <c r="D61" s="179">
        <f t="shared" si="4"/>
        <v>2086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28</v>
      </c>
      <c r="C62" s="191">
        <f>225*'Données projet'!E70+13.8*('Données projet'!F70+'Données projet'!G70)+10*'Données projet'!H70</f>
        <v>96</v>
      </c>
      <c r="D62" s="179">
        <f t="shared" si="4"/>
        <v>2688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28</v>
      </c>
      <c r="C63" s="191">
        <f>225*'Données projet'!E71+13.8*('Données projet'!F71+'Données projet'!G71)+10*'Données projet'!H71</f>
        <v>96</v>
      </c>
      <c r="D63" s="179">
        <f t="shared" si="4"/>
        <v>2688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28</v>
      </c>
      <c r="C64" s="191">
        <f>225*'Données projet'!E72+13.8*('Données projet'!F72+'Données projet'!G72)+10*'Données projet'!H72</f>
        <v>117.5</v>
      </c>
      <c r="D64" s="179">
        <f t="shared" si="4"/>
        <v>3290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28</v>
      </c>
      <c r="C65" s="191">
        <f>225*'Données projet'!E73+13.8*('Données projet'!F73+'Données projet'!G73)+10*'Données projet'!H73</f>
        <v>117.5</v>
      </c>
      <c r="D65" s="179">
        <f t="shared" si="4"/>
        <v>3290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28</v>
      </c>
      <c r="C66" s="191">
        <f>225*'Données projet'!E74+13.8*('Données projet'!F74+'Données projet'!G74)+10*'Données projet'!H74</f>
        <v>139</v>
      </c>
      <c r="D66" s="179">
        <f t="shared" si="4"/>
        <v>3892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90</v>
      </c>
      <c r="B67" s="181">
        <f>'Données projet'!D75</f>
        <v>56</v>
      </c>
      <c r="C67" s="191">
        <f>225*'Données projet'!E75+13.8*('Données projet'!F75+'Données projet'!G75)+10*'Données projet'!H75</f>
        <v>160.5</v>
      </c>
      <c r="D67" s="179">
        <f t="shared" si="4"/>
        <v>8988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100</v>
      </c>
      <c r="B68" s="181">
        <f>'Données projet'!D76</f>
        <v>56</v>
      </c>
      <c r="C68" s="191">
        <f>225*'Données projet'!E76+13.8*('Données projet'!F76+'Données projet'!G76)+10*'Données projet'!H76</f>
        <v>182</v>
      </c>
      <c r="D68" s="179">
        <f t="shared" si="4"/>
        <v>10192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110</v>
      </c>
      <c r="B69" s="181">
        <f>'Données projet'!D77</f>
        <v>51</v>
      </c>
      <c r="C69" s="191">
        <f>225*'Données projet'!E77+13.8*('Données projet'!F77+'Données projet'!G77)+10*'Données projet'!H77</f>
        <v>182</v>
      </c>
      <c r="D69" s="179">
        <f t="shared" si="4"/>
        <v>9282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120</v>
      </c>
      <c r="B70" s="181">
        <f>'Données projet'!D78</f>
        <v>352</v>
      </c>
      <c r="C70" s="191">
        <f>225*'Données projet'!E78+13.8*('Données projet'!F78+'Données projet'!G78)+10*'Données projet'!H78</f>
        <v>203.5</v>
      </c>
      <c r="D70" s="179">
        <f t="shared" si="4"/>
        <v>71632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225*'Données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225*'Données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225*'Données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f>(1880+1744)*1.12</f>
        <v>4058.8800000000006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20</v>
      </c>
      <c r="B85" s="181">
        <f>'Données projet'!D88</f>
        <v>0</v>
      </c>
      <c r="C85" s="191">
        <f>42*'Données projet'!E88+19.4*('Données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25</v>
      </c>
      <c r="B86" s="181">
        <f>'Données projet'!D89</f>
        <v>0</v>
      </c>
      <c r="C86" s="191">
        <f>225*'Données projet'!E89+19.4*('Données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30</v>
      </c>
      <c r="B87" s="181">
        <f>'Données projet'!D90</f>
        <v>28</v>
      </c>
      <c r="C87" s="191">
        <f>225*'Données projet'!E90+19.4*('Données projet'!F90+'Données projet'!G90)+10*'Données projet'!H90</f>
        <v>10</v>
      </c>
      <c r="D87" s="179">
        <f t="shared" si="6"/>
        <v>280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35</v>
      </c>
      <c r="B88" s="181">
        <f>'Données projet'!D91</f>
        <v>28</v>
      </c>
      <c r="C88" s="191">
        <f>225*'Données projet'!E91+19.4*('Données projet'!F91+'Données projet'!G91)+10*'Données projet'!H91</f>
        <v>10</v>
      </c>
      <c r="D88" s="179">
        <f t="shared" si="6"/>
        <v>280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40</v>
      </c>
      <c r="B89" s="181">
        <f>'Données projet'!D92</f>
        <v>28</v>
      </c>
      <c r="C89" s="191">
        <f>225*'Données projet'!E92+19.4*('Données projet'!F92+'Données projet'!G92)+10*'Données projet'!H92</f>
        <v>53</v>
      </c>
      <c r="D89" s="179">
        <f t="shared" si="6"/>
        <v>1484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45</v>
      </c>
      <c r="B90" s="181">
        <f>'Données projet'!D93</f>
        <v>28</v>
      </c>
      <c r="C90" s="191">
        <f>225*'Données projet'!E93+19.4*('Données projet'!F93+'Données projet'!G93)+10*'Données projet'!H93</f>
        <v>53</v>
      </c>
      <c r="D90" s="179">
        <f t="shared" si="6"/>
        <v>1484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50</v>
      </c>
      <c r="B91" s="181">
        <f>'Données projet'!D94</f>
        <v>28</v>
      </c>
      <c r="C91" s="191">
        <f>225*'Données projet'!E94+19.4*('Données projet'!F94+'Données projet'!G94)+10*'Données projet'!H94</f>
        <v>74.5</v>
      </c>
      <c r="D91" s="179">
        <f t="shared" si="6"/>
        <v>2086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55</v>
      </c>
      <c r="B92" s="181">
        <f>'Données projet'!D95</f>
        <v>28</v>
      </c>
      <c r="C92" s="191">
        <f>225*'Données projet'!E95+19.4*('Données projet'!F95+'Données projet'!G95)+10*'Données projet'!H95</f>
        <v>74.5</v>
      </c>
      <c r="D92" s="179">
        <f t="shared" si="6"/>
        <v>2086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60</v>
      </c>
      <c r="B93" s="181">
        <f>'Données projet'!D96</f>
        <v>28</v>
      </c>
      <c r="C93" s="191">
        <f>225*'Données projet'!E96+19.4*('Données projet'!F96+'Données projet'!G96)+10*'Données projet'!H96</f>
        <v>96</v>
      </c>
      <c r="D93" s="179">
        <f t="shared" si="6"/>
        <v>2688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65</v>
      </c>
      <c r="B94" s="181">
        <f>'Données projet'!D97</f>
        <v>28</v>
      </c>
      <c r="C94" s="191">
        <f>225*'Données projet'!E97+19.4*('Données projet'!F97+'Données projet'!G97)+10*'Données projet'!H97</f>
        <v>96</v>
      </c>
      <c r="D94" s="179">
        <f t="shared" si="6"/>
        <v>2688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70</v>
      </c>
      <c r="B95" s="181">
        <f>'Données projet'!D98</f>
        <v>28</v>
      </c>
      <c r="C95" s="191">
        <f>225*'Données projet'!E98+19.4*('Données projet'!F98+'Données projet'!G98)+10*'Données projet'!H98</f>
        <v>117.5</v>
      </c>
      <c r="D95" s="179">
        <f t="shared" si="6"/>
        <v>3290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75</v>
      </c>
      <c r="B96" s="181">
        <f>'Données projet'!D99</f>
        <v>28</v>
      </c>
      <c r="C96" s="191">
        <f>225*'Données projet'!E99+19.4*('Données projet'!F99+'Données projet'!G99)+10*'Données projet'!H99</f>
        <v>117.5</v>
      </c>
      <c r="D96" s="179">
        <f t="shared" si="6"/>
        <v>3290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80</v>
      </c>
      <c r="B97" s="181">
        <f>'Données projet'!D100</f>
        <v>28</v>
      </c>
      <c r="C97" s="191">
        <f>225*'Données projet'!E100+19.4*('Données projet'!F100+'Données projet'!G100)+10*'Données projet'!H100</f>
        <v>139</v>
      </c>
      <c r="D97" s="179">
        <f t="shared" si="6"/>
        <v>3892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90</v>
      </c>
      <c r="B98" s="181">
        <f>'Données projet'!D101</f>
        <v>56</v>
      </c>
      <c r="C98" s="191">
        <f>225*'Données projet'!E101+19.4*('Données projet'!F101+'Données projet'!G101)+10*'Données projet'!H101</f>
        <v>160.5</v>
      </c>
      <c r="D98" s="179">
        <f t="shared" si="6"/>
        <v>8988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100</v>
      </c>
      <c r="B99" s="181">
        <f>'Données projet'!D102</f>
        <v>56</v>
      </c>
      <c r="C99" s="191">
        <f>225*'Données projet'!E102+19.4*('Données projet'!F102+'Données projet'!G102)+10*'Données projet'!H102</f>
        <v>182</v>
      </c>
      <c r="D99" s="179">
        <f t="shared" si="6"/>
        <v>10192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110</v>
      </c>
      <c r="B100" s="181">
        <f>'Données projet'!D103</f>
        <v>51</v>
      </c>
      <c r="C100" s="191">
        <f>225*'Données projet'!E103+19.4*('Données projet'!F103+'Données projet'!G103)+10*'Données projet'!H103</f>
        <v>182</v>
      </c>
      <c r="D100" s="179">
        <f t="shared" si="6"/>
        <v>9282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120</v>
      </c>
      <c r="B101" s="181">
        <f>'Données projet'!D104</f>
        <v>352</v>
      </c>
      <c r="C101" s="191">
        <f>225*'Données projet'!E104+19.4*('Données projet'!F104+'Données projet'!G104)+10*'Données projet'!H104</f>
        <v>203.5</v>
      </c>
      <c r="D101" s="179">
        <f t="shared" si="6"/>
        <v>71632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225*'Données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225*'Données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225*'Données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f>(1880+1744)*1.12</f>
        <v>4058.8800000000006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25</v>
      </c>
      <c r="B116" s="181">
        <f>'Données projet'!D114</f>
        <v>0</v>
      </c>
      <c r="C116" s="191">
        <f>40*'Données projet'!E114+19.5*('Données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30</v>
      </c>
      <c r="B117" s="181">
        <f>'Données projet'!D115</f>
        <v>0</v>
      </c>
      <c r="C117" s="191">
        <f>40*'Données projet'!E115+19.5*('Données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35</v>
      </c>
      <c r="B118" s="181">
        <f>'Données projet'!D116</f>
        <v>13</v>
      </c>
      <c r="C118" s="191">
        <f>40*'Données projet'!E116+19.5*('Données projet'!F116+'Données projet'!G116)+10*'Données projet'!H116</f>
        <v>10</v>
      </c>
      <c r="D118" s="179">
        <f t="shared" si="8"/>
        <v>130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40</v>
      </c>
      <c r="B119" s="181">
        <f>'Données projet'!D117</f>
        <v>14</v>
      </c>
      <c r="C119" s="191">
        <f>40*'Données projet'!E117+19.5*('Données projet'!F117+'Données projet'!G117)+10*'Données projet'!H117</f>
        <v>16</v>
      </c>
      <c r="D119" s="179">
        <f t="shared" si="8"/>
        <v>224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45</v>
      </c>
      <c r="B120" s="181">
        <f>'Données projet'!D118</f>
        <v>14</v>
      </c>
      <c r="C120" s="191">
        <f>40*'Données projet'!E118+19.5*('Données projet'!F118+'Données projet'!G118)+10*'Données projet'!H118</f>
        <v>16</v>
      </c>
      <c r="D120" s="179">
        <f t="shared" si="8"/>
        <v>224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50</v>
      </c>
      <c r="B121" s="181">
        <f>'Données projet'!D119</f>
        <v>14</v>
      </c>
      <c r="C121" s="191">
        <f>40*'Données projet'!E119+19.5*('Données projet'!F119+'Données projet'!G119)+10*'Données projet'!H119</f>
        <v>16</v>
      </c>
      <c r="D121" s="179">
        <f t="shared" si="8"/>
        <v>224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55</v>
      </c>
      <c r="B122" s="181">
        <f>'Données projet'!D120</f>
        <v>14</v>
      </c>
      <c r="C122" s="191">
        <f>40*'Données projet'!E120+19.5*('Données projet'!F120+'Données projet'!G120)+10*'Données projet'!H120</f>
        <v>19</v>
      </c>
      <c r="D122" s="179">
        <f t="shared" si="8"/>
        <v>266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60</v>
      </c>
      <c r="B123" s="181">
        <f>'Données projet'!D121</f>
        <v>14</v>
      </c>
      <c r="C123" s="191">
        <f>40*'Données projet'!E121+19.5*('Données projet'!F121+'Données projet'!G121)+10*'Données projet'!H121</f>
        <v>19</v>
      </c>
      <c r="D123" s="179">
        <f t="shared" si="8"/>
        <v>266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65</v>
      </c>
      <c r="B124" s="181">
        <f>'Données projet'!D122</f>
        <v>14</v>
      </c>
      <c r="C124" s="191">
        <f>40*'Données projet'!E122+19.5*('Données projet'!F122+'Données projet'!G122)+10*'Données projet'!H122</f>
        <v>22</v>
      </c>
      <c r="D124" s="179">
        <f t="shared" si="8"/>
        <v>308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70</v>
      </c>
      <c r="B125" s="181">
        <f>'Données projet'!D123</f>
        <v>14</v>
      </c>
      <c r="C125" s="191">
        <f>40*'Données projet'!E123+19.5*('Données projet'!F123+'Données projet'!G123)+10*'Données projet'!H123</f>
        <v>22</v>
      </c>
      <c r="D125" s="179">
        <f t="shared" si="8"/>
        <v>308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75</v>
      </c>
      <c r="B126" s="181">
        <f>'Données projet'!D124</f>
        <v>14</v>
      </c>
      <c r="C126" s="191">
        <f>40*'Données projet'!E124+19.5*('Données projet'!F124+'Données projet'!G124)+10*'Données projet'!H124</f>
        <v>25</v>
      </c>
      <c r="D126" s="179">
        <f t="shared" si="8"/>
        <v>350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80</v>
      </c>
      <c r="B127" s="181">
        <f>'Données projet'!D125</f>
        <v>14</v>
      </c>
      <c r="C127" s="191">
        <f>40*'Données projet'!E125+19.5*('Données projet'!F125+'Données projet'!G125)+10*'Données projet'!H125</f>
        <v>25</v>
      </c>
      <c r="D127" s="179">
        <f t="shared" si="8"/>
        <v>350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85</v>
      </c>
      <c r="B128" s="181">
        <f>'Données projet'!D126</f>
        <v>14</v>
      </c>
      <c r="C128" s="191">
        <f>40*'Données projet'!E126+19.5*('Données projet'!F126+'Données projet'!G126)+10*'Données projet'!H126</f>
        <v>28</v>
      </c>
      <c r="D128" s="179">
        <f t="shared" si="8"/>
        <v>392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90</v>
      </c>
      <c r="B129" s="181">
        <f>'Données projet'!D127</f>
        <v>207</v>
      </c>
      <c r="C129" s="191">
        <f>40*'Données projet'!E127+19.5*('Données projet'!F127+'Données projet'!G127)+10*'Données projet'!H127</f>
        <v>28</v>
      </c>
      <c r="D129" s="179">
        <f t="shared" si="8"/>
        <v>5796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40*'Données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40*'Données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40*'Données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40*'Données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40*'Données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40*'Données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2023-07-07T14:02:24Z</dcterms:modified>
</cp:coreProperties>
</file>