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projet_en_cours\Blousson-Sérian (32) - Luro\Doc fin\"/>
    </mc:Choice>
  </mc:AlternateContent>
  <xr:revisionPtr revIDLastSave="0" documentId="13_ncr:1_{25CBB0D7-EFCC-4425-93BD-CE8B95D4994C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90" i="2" a="1"/>
  <c r="AH90" i="2" s="1"/>
  <c r="AH166" i="2" a="1"/>
  <c r="AH166" i="2" s="1"/>
  <c r="AH151" i="2" a="1"/>
  <c r="AH151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<sst xmlns="http://schemas.openxmlformats.org/spreadsheetml/2006/main" count="1171" uniqueCount="324">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</sst>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530.02105046908684</c:v>
                </c:pt>
                <c:pt idx="117">
                  <c:v>536.91096968482668</c:v>
                </c:pt>
                <c:pt idx="118">
                  <c:v>543.79903068153806</c:v>
                </c:pt>
                <c:pt idx="119">
                  <c:v>550.68526032404031</c:v>
                </c:pt>
                <c:pt idx="120">
                  <c:v>557.56968475025815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B18" sqref="B18:M31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9" zoomScaleNormal="100" workbookViewId="0">
      <selection activeCell="E31" sqref="E3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5.19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0.56000000000000005</v>
      </c>
      <c r="D9" s="36">
        <f t="shared" ref="D9:D18" si="0">C9*$C$5</f>
        <v>2.9064000000000005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0.44</v>
      </c>
      <c r="D10" s="36">
        <f t="shared" si="0"/>
        <v>2.2836000000000003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5.1900000000000013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53">
        <v>70</v>
      </c>
      <c r="C36" s="63">
        <v>1</v>
      </c>
      <c r="D36" s="63">
        <v>8</v>
      </c>
      <c r="E36" s="54"/>
      <c r="F36" s="54"/>
      <c r="G36" s="54">
        <v>1</v>
      </c>
      <c r="H36" s="54"/>
      <c r="I36" s="52">
        <f>IFERROR(B36/A36,"")</f>
        <v>2.8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53">
        <v>97</v>
      </c>
      <c r="C37" s="63">
        <v>2</v>
      </c>
      <c r="D37" s="63">
        <v>21</v>
      </c>
      <c r="E37" s="54">
        <v>0.05</v>
      </c>
      <c r="F37" s="54">
        <v>0.25</v>
      </c>
      <c r="G37" s="54">
        <v>0.7</v>
      </c>
      <c r="H37" s="54"/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53">
        <v>116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5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5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53">
        <v>178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8.1999999999999993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53">
        <v>197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60</v>
      </c>
      <c r="B43" s="53">
        <v>214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65</v>
      </c>
      <c r="B44" s="5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252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261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269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5.8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275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284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4.5999999999999996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285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285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285</v>
      </c>
      <c r="C55" s="53">
        <v>20</v>
      </c>
      <c r="D55" s="53">
        <v>285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158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7.9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250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9.1999999999999993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40</v>
      </c>
      <c r="B64" s="63">
        <v>350</v>
      </c>
      <c r="C64" s="63">
        <v>3</v>
      </c>
      <c r="D64" s="63">
        <v>88</v>
      </c>
      <c r="E64" s="54"/>
      <c r="F64" s="54"/>
      <c r="G64" s="54"/>
      <c r="H64" s="54"/>
      <c r="I64" s="52">
        <f>IF(A64&lt;&gt;0,(B64-(B63-D63))/(A64-A63),"")</f>
        <v>10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50</v>
      </c>
      <c r="B65" s="63">
        <v>377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11.5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60</v>
      </c>
      <c r="B66" s="63">
        <v>512</v>
      </c>
      <c r="C66" s="63">
        <v>5</v>
      </c>
      <c r="D66" s="63">
        <v>102</v>
      </c>
      <c r="E66" s="54"/>
      <c r="F66" s="54"/>
      <c r="G66" s="54"/>
      <c r="H66" s="54"/>
      <c r="I66" s="52">
        <f t="shared" ref="I66:I81" si="2">IF(A66&lt;&gt;0,(B66-(B65-D65))/(A66-A65),"")</f>
        <v>13.5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70</v>
      </c>
      <c r="B67" s="63">
        <v>565</v>
      </c>
      <c r="C67" s="63">
        <v>6</v>
      </c>
      <c r="D67" s="63">
        <v>113</v>
      </c>
      <c r="E67" s="54"/>
      <c r="F67" s="54"/>
      <c r="G67" s="54"/>
      <c r="H67" s="54"/>
      <c r="I67" s="52">
        <f t="shared" si="2"/>
        <v>15.5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80</v>
      </c>
      <c r="B68" s="63">
        <v>622</v>
      </c>
      <c r="C68" s="63">
        <v>7</v>
      </c>
      <c r="D68" s="63">
        <v>124</v>
      </c>
      <c r="E68" s="54"/>
      <c r="F68" s="54"/>
      <c r="G68" s="54"/>
      <c r="H68" s="54"/>
      <c r="I68" s="52">
        <f t="shared" si="2"/>
        <v>17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90</v>
      </c>
      <c r="B69" s="53">
        <v>673</v>
      </c>
      <c r="C69" s="53">
        <v>8</v>
      </c>
      <c r="D69" s="53">
        <v>135</v>
      </c>
      <c r="E69" s="54"/>
      <c r="F69" s="54"/>
      <c r="G69" s="54"/>
      <c r="H69" s="54"/>
      <c r="I69" s="52">
        <f t="shared" si="2"/>
        <v>17.5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100</v>
      </c>
      <c r="B70" s="53">
        <v>723</v>
      </c>
      <c r="C70" s="53">
        <v>9</v>
      </c>
      <c r="D70" s="53">
        <v>723</v>
      </c>
      <c r="E70" s="54"/>
      <c r="F70" s="54"/>
      <c r="G70" s="54"/>
      <c r="H70" s="54"/>
      <c r="I70" s="52">
        <f t="shared" si="2"/>
        <v>18.5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5" sqref="C2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Cèdre de l'Atlas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371.7282125501186</v>
      </c>
      <c r="T3" s="62">
        <f>IF('Données projet'!E9&gt;30,$R$33-$H$33,LOOKUP('Données projet'!$E$9,$A$3:$A$203,R3:R203)-LOOKUP('Données projet'!$E$9,$A$3:$A$203,$H$3:$H$203))</f>
        <v>231.36959598460686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396.92963589781414</v>
      </c>
      <c r="AO3" s="62">
        <f>IF('Données projet'!E10&gt;30,$AM$33-$H$33,LOOKUP('Données projet'!$E$10,$A$3:$A$203,AM3:AM203)-LOOKUP('Données projet'!$E$10,$A$3:$A$203,$H$3:$H$203))</f>
        <v>294.38852181137639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</v>
      </c>
      <c r="N4" s="14">
        <f>IF('Données projet'!$A$36&gt;35,N3+M4-V3,IF(A4&lt;'Données projet'!$A$36,$K$205^A4,IF(A4='Données projet'!$A$36,'Données projet'!$B$36,N3+M4-V3)))</f>
        <v>1.1852335095914694</v>
      </c>
      <c r="O4" s="14">
        <f>N4*VLOOKUP('Données projet'!$B$9,Paramètres!$A$1:$I$89,3,0)*VLOOKUP('Données projet'!$B$9,Paramètres!$A$1:$I$89,5,0)</f>
        <v>1.0723992794783614</v>
      </c>
      <c r="P4" s="14">
        <f>EXP(-1.0587+0.8836*LN(O4)+0.284)</f>
        <v>0.49020200157376026</v>
      </c>
      <c r="Q4" s="22">
        <f t="shared" ref="Q4:Q34" si="2">(O4+P4)*0.475*44/12</f>
        <v>2.7215305644991119</v>
      </c>
      <c r="R4" s="62">
        <f t="shared" si="0"/>
        <v>260.61041945338798</v>
      </c>
      <c r="S4" s="62">
        <f ca="1">AVERAGE(OFFSET($R$3,0,0,'Données projet'!$E$9+1,1))-AVERAGE(OFFSET($H$3,0,0,'Données projet'!$E$9+1,1))</f>
        <v>371.7282125501186</v>
      </c>
      <c r="T4" s="62">
        <f>$T$3</f>
        <v>231.36959598460686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7.9</v>
      </c>
      <c r="AI4" s="14">
        <f>IF('Données projet'!$A$62&gt;35,AI3+AH4-AQ3,IF(A4&lt;'Données projet'!$A$62,$AF$205^A4,IF(A4='Données projet'!$A$62,'Données projet'!$B$62,AI3+AH4-AQ3)))</f>
        <v>1.2880503926580862</v>
      </c>
      <c r="AJ4" s="14">
        <f>AI4*VLOOKUP('Données projet'!$B$10,Paramètres!$A$1:$I$89,3,0)*VLOOKUP('Données projet'!$B$10,Paramètres!$A$1:$I$89,5,0)</f>
        <v>0.60280758376398436</v>
      </c>
      <c r="AK4" s="14">
        <f>EXP(-1.0587+0.8836*LN(AJ4)+0.284)</f>
        <v>0.29465781953181042</v>
      </c>
      <c r="AL4" s="22">
        <f t="shared" ref="AL4:AL67" si="4">(AJ4+AK4)*0.475*44/12</f>
        <v>1.5630855774068424</v>
      </c>
      <c r="AM4" s="62">
        <f t="shared" ref="AM4:AM67" si="5">AL4+(AD4+AE4)*44/12</f>
        <v>259.45197446629572</v>
      </c>
      <c r="AN4" s="62">
        <f ca="1">AVERAGE(OFFSET($AM$3,0,0,'Données projet'!$E$10+1,1))-AVERAGE(OFFSET($H$3,0,0,'Données projet'!$E$10+1,1))</f>
        <v>396.92963589781414</v>
      </c>
      <c r="AO4" s="62">
        <f>$AO$3</f>
        <v>294.38852181137639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</v>
      </c>
      <c r="N5" s="14">
        <f>IF('Données projet'!$A$36&gt;35,N4+M5-V4,IF(A5&lt;'Données projet'!$A$36,$K$205^A5,IF(A5='Données projet'!$A$36,'Données projet'!$B$36,N4+M5-V4)))</f>
        <v>1.4047784722585119</v>
      </c>
      <c r="O5" s="14">
        <f>N5*VLOOKUP('Données projet'!$B$9,Paramètres!$A$1:$I$89,3,0)*VLOOKUP('Données projet'!$B$9,Paramètres!$A$1:$I$89,5,0)</f>
        <v>1.2710435616995015</v>
      </c>
      <c r="P5" s="14">
        <f t="shared" ref="P5:P68" si="33">EXP(-1.0587+0.8836*LN(O5)+0.284)</f>
        <v>0.56962392939903683</v>
      </c>
      <c r="Q5" s="22">
        <f t="shared" si="2"/>
        <v>3.2058292136632871</v>
      </c>
      <c r="R5" s="62">
        <f t="shared" si="0"/>
        <v>262.31694032477441</v>
      </c>
      <c r="S5" s="62">
        <f ca="1">AVERAGE(OFFSET($R$3,0,0,'Données projet'!$E$9+1,1))-AVERAGE(OFFSET($H$3,0,0,'Données projet'!$E$9+1,1))</f>
        <v>371.7282125501186</v>
      </c>
      <c r="T5" s="62">
        <f t="shared" ref="T5:T68" si="34">$T$3</f>
        <v>231.36959598460686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7.9</v>
      </c>
      <c r="AI5" s="14">
        <f>IF('Données projet'!$A$62&gt;35,AI4+AH5-AQ4,IF(A5&lt;'Données projet'!$A$62,$AF$205^A5,IF(A5='Données projet'!$A$62,'Données projet'!$B$62,AI4+AH5-AQ4)))</f>
        <v>1.6590738140266501</v>
      </c>
      <c r="AJ5" s="14">
        <f>AI5*VLOOKUP('Données projet'!$B$10,Paramètres!$A$1:$I$89,3,0)*VLOOKUP('Données projet'!$B$10,Paramètres!$A$1:$I$89,5,0)</f>
        <v>0.77644654496447219</v>
      </c>
      <c r="AK5" s="14">
        <f t="shared" ref="AK5:AK68" si="35">EXP(-1.0587+0.8836*LN(AJ5)+0.284)</f>
        <v>0.36851455096495994</v>
      </c>
      <c r="AL5" s="22">
        <f t="shared" si="4"/>
        <v>1.9941405754104276</v>
      </c>
      <c r="AM5" s="62">
        <f t="shared" si="5"/>
        <v>261.10525168652157</v>
      </c>
      <c r="AN5" s="62">
        <f ca="1">AVERAGE(OFFSET($AM$3,0,0,'Données projet'!$E$10+1,1))-AVERAGE(OFFSET($H$3,0,0,'Données projet'!$E$10+1,1))</f>
        <v>396.92963589781414</v>
      </c>
      <c r="AO5" s="62">
        <f t="shared" ref="AO5:AO68" si="36">$AO$3</f>
        <v>294.38852181137639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</v>
      </c>
      <c r="N6" s="14">
        <f>IF('Données projet'!$A$36&gt;35,N5+M6-V5,IF(A6&lt;'Données projet'!$A$36,$K$205^A6,IF(A6='Données projet'!$A$36,'Données projet'!$B$36,N5+M6-V5)))</f>
        <v>1.6649905188734988</v>
      </c>
      <c r="O6" s="14">
        <f>N6*VLOOKUP('Données projet'!$B$9,Paramètres!$A$1:$I$89,3,0)*VLOOKUP('Données projet'!$B$9,Paramètres!$A$1:$I$89,5,0)</f>
        <v>1.5064834214767417</v>
      </c>
      <c r="P6" s="14">
        <f t="shared" si="33"/>
        <v>0.66191370068319888</v>
      </c>
      <c r="Q6" s="22">
        <f t="shared" si="2"/>
        <v>3.7766249877618967</v>
      </c>
      <c r="R6" s="62">
        <f t="shared" si="0"/>
        <v>264.10995832109523</v>
      </c>
      <c r="S6" s="62">
        <f ca="1">AVERAGE(OFFSET($R$3,0,0,'Données projet'!$E$9+1,1))-AVERAGE(OFFSET($H$3,0,0,'Données projet'!$E$9+1,1))</f>
        <v>371.7282125501186</v>
      </c>
      <c r="T6" s="62">
        <f t="shared" si="34"/>
        <v>231.36959598460686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7.9</v>
      </c>
      <c r="AI6" s="14">
        <f>IF('Données projet'!$A$62&gt;35,AI5+AH6-AQ5,IF(A6&lt;'Données projet'!$A$62,$AF$205^A6,IF(A6='Données projet'!$A$62,'Données projet'!$B$62,AI5+AH6-AQ5)))</f>
        <v>2.1369706776057753</v>
      </c>
      <c r="AJ6" s="14">
        <f>AI6*VLOOKUP('Données projet'!$B$10,Paramètres!$A$1:$I$89,3,0)*VLOOKUP('Données projet'!$B$10,Paramètres!$A$1:$I$89,5,0)</f>
        <v>1.0001022771195029</v>
      </c>
      <c r="AK6" s="14">
        <f t="shared" si="35"/>
        <v>0.46088365986243646</v>
      </c>
      <c r="AL6" s="22">
        <f t="shared" si="4"/>
        <v>2.5445505069102112</v>
      </c>
      <c r="AM6" s="62">
        <f t="shared" si="5"/>
        <v>262.8778838402435</v>
      </c>
      <c r="AN6" s="62">
        <f ca="1">AVERAGE(OFFSET($AM$3,0,0,'Données projet'!$E$10+1,1))-AVERAGE(OFFSET($H$3,0,0,'Données projet'!$E$10+1,1))</f>
        <v>396.92963589781414</v>
      </c>
      <c r="AO6" s="62">
        <f t="shared" si="36"/>
        <v>294.38852181137639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</v>
      </c>
      <c r="N7" s="14">
        <f>IF('Données projet'!$A$36&gt;35,N6+M7-V6,IF(A7&lt;'Données projet'!$A$36,$K$205^A7,IF(A7='Données projet'!$A$36,'Données projet'!$B$36,N6+M7-V6)))</f>
        <v>1.9734025561209587</v>
      </c>
      <c r="O7" s="14">
        <f>N7*VLOOKUP('Données projet'!$B$9,Paramètres!$A$1:$I$89,3,0)*VLOOKUP('Données projet'!$B$9,Paramètres!$A$1:$I$89,5,0)</f>
        <v>1.7855346327782433</v>
      </c>
      <c r="P7" s="14">
        <f t="shared" si="33"/>
        <v>0.7691561476610751</v>
      </c>
      <c r="Q7" s="22">
        <f t="shared" si="2"/>
        <v>4.4494197759318128</v>
      </c>
      <c r="R7" s="62">
        <f t="shared" si="0"/>
        <v>266.00497533148734</v>
      </c>
      <c r="S7" s="62">
        <f ca="1">AVERAGE(OFFSET($R$3,0,0,'Données projet'!$E$9+1,1))-AVERAGE(OFFSET($H$3,0,0,'Données projet'!$E$9+1,1))</f>
        <v>371.7282125501186</v>
      </c>
      <c r="T7" s="62">
        <f t="shared" si="34"/>
        <v>231.36959598460686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7.9</v>
      </c>
      <c r="AI7" s="14">
        <f>IF('Données projet'!$A$62&gt;35,AI6+AH7-AQ6,IF(A7&lt;'Données projet'!$A$62,$AF$205^A7,IF(A7='Données projet'!$A$62,'Données projet'!$B$62,AI6+AH7-AQ6)))</f>
        <v>2.7525259203889356</v>
      </c>
      <c r="AJ7" s="14">
        <f>AI7*VLOOKUP('Données projet'!$B$10,Paramètres!$A$1:$I$89,3,0)*VLOOKUP('Données projet'!$B$10,Paramètres!$A$1:$I$89,5,0)</f>
        <v>1.2881821307420218</v>
      </c>
      <c r="AK7" s="14">
        <f t="shared" si="35"/>
        <v>0.57640532069082717</v>
      </c>
      <c r="AL7" s="22">
        <f t="shared" si="4"/>
        <v>3.2474898112455457</v>
      </c>
      <c r="AM7" s="62">
        <f t="shared" si="5"/>
        <v>264.80304536680109</v>
      </c>
      <c r="AN7" s="62">
        <f ca="1">AVERAGE(OFFSET($AM$3,0,0,'Données projet'!$E$10+1,1))-AVERAGE(OFFSET($H$3,0,0,'Données projet'!$E$10+1,1))</f>
        <v>396.92963589781414</v>
      </c>
      <c r="AO7" s="62">
        <f t="shared" si="36"/>
        <v>294.38852181137639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</v>
      </c>
      <c r="N8" s="14">
        <f>IF('Données projet'!$A$36&gt;35,N7+M8-V7,IF(A8&lt;'Données projet'!$A$36,$K$205^A8,IF(A8='Données projet'!$A$36,'Données projet'!$B$36,N7+M8-V7)))</f>
        <v>2.3389428374280206</v>
      </c>
      <c r="O8" s="14">
        <f>N8*VLOOKUP('Données projet'!$B$9,Paramètres!$A$1:$I$89,3,0)*VLOOKUP('Données projet'!$B$9,Paramètres!$A$1:$I$89,5,0)</f>
        <v>2.1162754793048726</v>
      </c>
      <c r="P8" s="14">
        <f t="shared" si="33"/>
        <v>0.89377388453237949</v>
      </c>
      <c r="Q8" s="22">
        <f t="shared" si="2"/>
        <v>5.2425026420165475</v>
      </c>
      <c r="R8" s="62">
        <f t="shared" si="0"/>
        <v>268.02028041979435</v>
      </c>
      <c r="S8" s="62">
        <f ca="1">AVERAGE(OFFSET($R$3,0,0,'Données projet'!$E$9+1,1))-AVERAGE(OFFSET($H$3,0,0,'Données projet'!$E$9+1,1))</f>
        <v>371.7282125501186</v>
      </c>
      <c r="T8" s="62">
        <f t="shared" si="34"/>
        <v>231.36959598460686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7.9</v>
      </c>
      <c r="AI8" s="14">
        <f>IF('Données projet'!$A$62&gt;35,AI7+AH8-AQ7,IF(A8&lt;'Données projet'!$A$62,$AF$205^A8,IF(A8='Données projet'!$A$62,'Données projet'!$B$62,AI7+AH8-AQ7)))</f>
        <v>3.5453920925585285</v>
      </c>
      <c r="AJ8" s="14">
        <f>AI8*VLOOKUP('Données projet'!$B$10,Paramètres!$A$1:$I$89,3,0)*VLOOKUP('Données projet'!$B$10,Paramètres!$A$1:$I$89,5,0)</f>
        <v>1.6592434993173915</v>
      </c>
      <c r="AK8" s="14">
        <f t="shared" si="35"/>
        <v>0.72088277944126433</v>
      </c>
      <c r="AL8" s="22">
        <f t="shared" si="4"/>
        <v>4.1453866021713255</v>
      </c>
      <c r="AM8" s="62">
        <f t="shared" si="5"/>
        <v>266.92316437994907</v>
      </c>
      <c r="AN8" s="62">
        <f ca="1">AVERAGE(OFFSET($AM$3,0,0,'Données projet'!$E$10+1,1))-AVERAGE(OFFSET($H$3,0,0,'Données projet'!$E$10+1,1))</f>
        <v>396.92963589781414</v>
      </c>
      <c r="AO8" s="62">
        <f t="shared" si="36"/>
        <v>294.38852181137639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</v>
      </c>
      <c r="N9" s="14">
        <f>IF('Données projet'!$A$36&gt;35,N8+M9-V8,IF(A9&lt;'Données projet'!$A$36,$K$205^A9,IF(A9='Données projet'!$A$36,'Données projet'!$B$36,N8+M9-V8)))</f>
        <v>2.7721934279386429</v>
      </c>
      <c r="O9" s="14">
        <f>N9*VLOOKUP('Données projet'!$B$9,Paramètres!$A$1:$I$89,3,0)*VLOOKUP('Données projet'!$B$9,Paramètres!$A$1:$I$89,5,0)</f>
        <v>2.5082806135988838</v>
      </c>
      <c r="P9" s="14">
        <f t="shared" si="33"/>
        <v>1.0385820344818992</v>
      </c>
      <c r="Q9" s="22">
        <f t="shared" si="2"/>
        <v>6.1774524454073623</v>
      </c>
      <c r="R9" s="62">
        <f t="shared" si="0"/>
        <v>270.17745244540737</v>
      </c>
      <c r="S9" s="62">
        <f ca="1">AVERAGE(OFFSET($R$3,0,0,'Données projet'!$E$9+1,1))-AVERAGE(OFFSET($H$3,0,0,'Données projet'!$E$9+1,1))</f>
        <v>371.7282125501186</v>
      </c>
      <c r="T9" s="62">
        <f t="shared" si="34"/>
        <v>231.36959598460686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7.9</v>
      </c>
      <c r="AI9" s="14">
        <f>IF('Données projet'!$A$62&gt;35,AI8+AH9-AQ8,IF(A9&lt;'Données projet'!$A$62,$AF$205^A9,IF(A9='Données projet'!$A$62,'Données projet'!$B$62,AI8+AH9-AQ8)))</f>
        <v>4.566643676946887</v>
      </c>
      <c r="AJ9" s="14">
        <f>AI9*VLOOKUP('Données projet'!$B$10,Paramètres!$A$1:$I$89,3,0)*VLOOKUP('Données projet'!$B$10,Paramètres!$A$1:$I$89,5,0)</f>
        <v>2.1371892408111433</v>
      </c>
      <c r="AK9" s="14">
        <f t="shared" si="35"/>
        <v>0.9015738804633705</v>
      </c>
      <c r="AL9" s="22">
        <f t="shared" si="4"/>
        <v>5.292512436219778</v>
      </c>
      <c r="AM9" s="62">
        <f t="shared" si="5"/>
        <v>269.29251243621979</v>
      </c>
      <c r="AN9" s="62">
        <f ca="1">AVERAGE(OFFSET($AM$3,0,0,'Données projet'!$E$10+1,1))-AVERAGE(OFFSET($H$3,0,0,'Données projet'!$E$10+1,1))</f>
        <v>396.92963589781414</v>
      </c>
      <c r="AO9" s="62">
        <f t="shared" si="36"/>
        <v>294.38852181137639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</v>
      </c>
      <c r="N10" s="14">
        <f>IF('Données projet'!$A$36&gt;35,N9+M10-V9,IF(A10&lt;'Données projet'!$A$36,$K$205^A10,IF(A10='Données projet'!$A$36,'Données projet'!$B$36,N9+M10-V9)))</f>
        <v>3.2856965458621241</v>
      </c>
      <c r="O10" s="14">
        <f>N10*VLOOKUP('Données projet'!$B$9,Paramètres!$A$1:$I$89,3,0)*VLOOKUP('Données projet'!$B$9,Paramètres!$A$1:$I$89,5,0)</f>
        <v>2.9728982346960495</v>
      </c>
      <c r="P10" s="14">
        <f t="shared" si="33"/>
        <v>1.2068518235044534</v>
      </c>
      <c r="Q10" s="22">
        <f t="shared" si="2"/>
        <v>7.279731351365875</v>
      </c>
      <c r="R10" s="62">
        <f t="shared" si="0"/>
        <v>272.50195357358808</v>
      </c>
      <c r="S10" s="62">
        <f ca="1">AVERAGE(OFFSET($R$3,0,0,'Données projet'!$E$9+1,1))-AVERAGE(OFFSET($H$3,0,0,'Données projet'!$E$9+1,1))</f>
        <v>371.7282125501186</v>
      </c>
      <c r="T10" s="62">
        <f t="shared" si="34"/>
        <v>231.36959598460686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7.9</v>
      </c>
      <c r="AI10" s="14">
        <f>IF('Données projet'!$A$62&gt;35,AI9+AH10-AQ9,IF(A10&lt;'Données projet'!$A$62,$AF$205^A10,IF(A10='Données projet'!$A$62,'Données projet'!$B$62,AI9+AH10-AQ9)))</f>
        <v>5.8820671812210037</v>
      </c>
      <c r="AJ10" s="14">
        <f>AI10*VLOOKUP('Données projet'!$B$10,Paramètres!$A$1:$I$89,3,0)*VLOOKUP('Données projet'!$B$10,Paramètres!$A$1:$I$89,5,0)</f>
        <v>2.7528074408114294</v>
      </c>
      <c r="AK10" s="14">
        <f t="shared" si="35"/>
        <v>1.1275556652411438</v>
      </c>
      <c r="AL10" s="22">
        <f t="shared" si="4"/>
        <v>6.7582990763748976</v>
      </c>
      <c r="AM10" s="62">
        <f t="shared" si="5"/>
        <v>271.98052129859713</v>
      </c>
      <c r="AN10" s="62">
        <f ca="1">AVERAGE(OFFSET($AM$3,0,0,'Données projet'!$E$10+1,1))-AVERAGE(OFFSET($H$3,0,0,'Données projet'!$E$10+1,1))</f>
        <v>396.92963589781414</v>
      </c>
      <c r="AO10" s="62">
        <f t="shared" si="36"/>
        <v>294.38852181137639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</v>
      </c>
      <c r="N11" s="14">
        <f>IF('Données projet'!$A$36&gt;35,N10+M11-V10,IF(A11&lt;'Données projet'!$A$36,$K$205^A11,IF(A11='Données projet'!$A$36,'Données projet'!$B$36,N10+M11-V10)))</f>
        <v>3.8943176485047335</v>
      </c>
      <c r="O11" s="14">
        <f>N11*VLOOKUP('Données projet'!$B$9,Paramètres!$A$1:$I$89,3,0)*VLOOKUP('Données projet'!$B$9,Paramètres!$A$1:$I$89,5,0)</f>
        <v>3.5235786083670826</v>
      </c>
      <c r="P11" s="14">
        <f t="shared" si="33"/>
        <v>1.4023844776234748</v>
      </c>
      <c r="Q11" s="22">
        <f t="shared" si="2"/>
        <v>8.5793857081002205</v>
      </c>
      <c r="R11" s="62">
        <f t="shared" si="0"/>
        <v>275.02383015254469</v>
      </c>
      <c r="S11" s="62">
        <f ca="1">AVERAGE(OFFSET($R$3,0,0,'Données projet'!$E$9+1,1))-AVERAGE(OFFSET($H$3,0,0,'Données projet'!$E$9+1,1))</f>
        <v>371.7282125501186</v>
      </c>
      <c r="T11" s="62">
        <f t="shared" si="34"/>
        <v>231.36959598460686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7.9</v>
      </c>
      <c r="AI11" s="14">
        <f>IF('Données projet'!$A$62&gt;35,AI10+AH11-AQ10,IF(A11&lt;'Données projet'!$A$62,$AF$205^A11,IF(A11='Données projet'!$A$62,'Données projet'!$B$62,AI10+AH11-AQ10)))</f>
        <v>7.5763989424129567</v>
      </c>
      <c r="AJ11" s="14">
        <f>AI11*VLOOKUP('Données projet'!$B$10,Paramètres!$A$1:$I$89,3,0)*VLOOKUP('Données projet'!$B$10,Paramètres!$A$1:$I$89,5,0)</f>
        <v>3.5457547050492639</v>
      </c>
      <c r="AK11" s="14">
        <f t="shared" si="35"/>
        <v>1.4101803587787649</v>
      </c>
      <c r="AL11" s="22">
        <f t="shared" si="4"/>
        <v>8.631586902833817</v>
      </c>
      <c r="AM11" s="62">
        <f t="shared" si="5"/>
        <v>275.07603134727827</v>
      </c>
      <c r="AN11" s="62">
        <f ca="1">AVERAGE(OFFSET($AM$3,0,0,'Données projet'!$E$10+1,1))-AVERAGE(OFFSET($H$3,0,0,'Données projet'!$E$10+1,1))</f>
        <v>396.92963589781414</v>
      </c>
      <c r="AO11" s="62">
        <f t="shared" si="36"/>
        <v>294.38852181137639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</v>
      </c>
      <c r="N12" s="14">
        <f>IF('Données projet'!$A$36&gt;35,N11+M12-V11,IF(A12&lt;'Données projet'!$A$36,$K$205^A12,IF(A12='Données projet'!$A$36,'Données projet'!$B$36,N11+M12-V11)))</f>
        <v>4.6156757740012635</v>
      </c>
      <c r="O12" s="14">
        <f>N12*VLOOKUP('Données projet'!$B$9,Paramètres!$A$1:$I$89,3,0)*VLOOKUP('Données projet'!$B$9,Paramètres!$A$1:$I$89,5,0)</f>
        <v>4.176263440316343</v>
      </c>
      <c r="P12" s="14">
        <f t="shared" si="33"/>
        <v>1.6295970928464274</v>
      </c>
      <c r="Q12" s="22">
        <f t="shared" si="2"/>
        <v>10.111873761925157</v>
      </c>
      <c r="R12" s="62">
        <f t="shared" si="0"/>
        <v>277.77854042859184</v>
      </c>
      <c r="S12" s="62">
        <f ca="1">AVERAGE(OFFSET($R$3,0,0,'Données projet'!$E$9+1,1))-AVERAGE(OFFSET($H$3,0,0,'Données projet'!$E$9+1,1))</f>
        <v>371.7282125501186</v>
      </c>
      <c r="T12" s="62">
        <f t="shared" si="34"/>
        <v>231.36959598460686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7.9</v>
      </c>
      <c r="AI12" s="14">
        <f>IF('Données projet'!$A$62&gt;35,AI11+AH12-AQ11,IF(A12&lt;'Données projet'!$A$62,$AF$205^A12,IF(A12='Données projet'!$A$62,'Données projet'!$B$62,AI11+AH12-AQ11)))</f>
        <v>9.7587836327093171</v>
      </c>
      <c r="AJ12" s="14">
        <f>AI12*VLOOKUP('Données projet'!$B$10,Paramètres!$A$1:$I$89,3,0)*VLOOKUP('Données projet'!$B$10,Paramètres!$A$1:$I$89,5,0)</f>
        <v>4.5671107401079603</v>
      </c>
      <c r="AK12" s="14">
        <f t="shared" si="35"/>
        <v>1.763645650133036</v>
      </c>
      <c r="AL12" s="22">
        <f t="shared" si="4"/>
        <v>11.026067379669733</v>
      </c>
      <c r="AM12" s="62">
        <f t="shared" si="5"/>
        <v>278.6927340463364</v>
      </c>
      <c r="AN12" s="62">
        <f ca="1">AVERAGE(OFFSET($AM$3,0,0,'Données projet'!$E$10+1,1))-AVERAGE(OFFSET($H$3,0,0,'Données projet'!$E$10+1,1))</f>
        <v>396.92963589781414</v>
      </c>
      <c r="AO12" s="62">
        <f t="shared" si="36"/>
        <v>294.38852181137639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</v>
      </c>
      <c r="N13" s="14">
        <f>IF('Données projet'!$A$36&gt;35,N12+M13-V12,IF(A13&lt;'Données projet'!$A$36,$K$205^A13,IF(A13='Données projet'!$A$36,'Données projet'!$B$36,N12+M13-V12)))</f>
        <v>5.4706535967558398</v>
      </c>
      <c r="O13" s="14">
        <f>N13*VLOOKUP('Données projet'!$B$9,Paramètres!$A$1:$I$89,3,0)*VLOOKUP('Données projet'!$B$9,Paramètres!$A$1:$I$89,5,0)</f>
        <v>4.9498473743446834</v>
      </c>
      <c r="P13" s="14">
        <f t="shared" si="33"/>
        <v>1.8936224176652101</v>
      </c>
      <c r="Q13" s="22">
        <f t="shared" si="2"/>
        <v>11.919043221083896</v>
      </c>
      <c r="R13" s="62">
        <f t="shared" si="0"/>
        <v>280.80793210997274</v>
      </c>
      <c r="S13" s="62">
        <f ca="1">AVERAGE(OFFSET($R$3,0,0,'Données projet'!$E$9+1,1))-AVERAGE(OFFSET($H$3,0,0,'Données projet'!$E$9+1,1))</f>
        <v>371.7282125501186</v>
      </c>
      <c r="T13" s="62">
        <f t="shared" si="34"/>
        <v>231.36959598460686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7.9</v>
      </c>
      <c r="AI13" s="14">
        <f>IF('Données projet'!$A$62&gt;35,AI12+AH13-AQ12,IF(A13&lt;'Données projet'!$A$62,$AF$205^A13,IF(A13='Données projet'!$A$62,'Données projet'!$B$62,AI12+AH13-AQ12)))</f>
        <v>12.569805089976542</v>
      </c>
      <c r="AJ13" s="14">
        <f>AI13*VLOOKUP('Données projet'!$B$10,Paramètres!$A$1:$I$89,3,0)*VLOOKUP('Données projet'!$B$10,Paramètres!$A$1:$I$89,5,0)</f>
        <v>5.8826687821090227</v>
      </c>
      <c r="AK13" s="14">
        <f t="shared" si="35"/>
        <v>2.2057079152108381</v>
      </c>
      <c r="AL13" s="22">
        <f t="shared" si="4"/>
        <v>14.087256081165423</v>
      </c>
      <c r="AM13" s="62">
        <f t="shared" si="5"/>
        <v>282.97614497005429</v>
      </c>
      <c r="AN13" s="62">
        <f ca="1">AVERAGE(OFFSET($AM$3,0,0,'Données projet'!$E$10+1,1))-AVERAGE(OFFSET($H$3,0,0,'Données projet'!$E$10+1,1))</f>
        <v>396.92963589781414</v>
      </c>
      <c r="AO13" s="62">
        <f t="shared" si="36"/>
        <v>294.38852181137639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</v>
      </c>
      <c r="N14" s="14">
        <f>IF('Données projet'!$A$36&gt;35,N13+M14-V13,IF(A14&lt;'Données projet'!$A$36,$K$205^A14,IF(A14='Données projet'!$A$36,'Données projet'!$B$36,N13+M14-V13)))</f>
        <v>6.4840019622421199</v>
      </c>
      <c r="O14" s="14">
        <f>N14*VLOOKUP('Données projet'!$B$9,Paramètres!$A$1:$I$89,3,0)*VLOOKUP('Données projet'!$B$9,Paramètres!$A$1:$I$89,5,0)</f>
        <v>5.8667249754366697</v>
      </c>
      <c r="P14" s="14">
        <f t="shared" si="33"/>
        <v>2.2004248021950543</v>
      </c>
      <c r="Q14" s="22">
        <f t="shared" si="2"/>
        <v>14.050285862708584</v>
      </c>
      <c r="R14" s="62">
        <f t="shared" si="0"/>
        <v>284.16139697381971</v>
      </c>
      <c r="S14" s="62">
        <f ca="1">AVERAGE(OFFSET($R$3,0,0,'Données projet'!$E$9+1,1))-AVERAGE(OFFSET($H$3,0,0,'Données projet'!$E$9+1,1))</f>
        <v>371.7282125501186</v>
      </c>
      <c r="T14" s="62">
        <f t="shared" si="34"/>
        <v>231.36959598460686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7.9</v>
      </c>
      <c r="AI14" s="14">
        <f>IF('Données projet'!$A$62&gt;35,AI13+AH14-AQ13,IF(A14&lt;'Données projet'!$A$62,$AF$205^A14,IF(A14='Données projet'!$A$62,'Données projet'!$B$62,AI13+AH14-AQ13)))</f>
        <v>16.190542381779895</v>
      </c>
      <c r="AJ14" s="14">
        <f>AI14*VLOOKUP('Données projet'!$B$10,Paramètres!$A$1:$I$89,3,0)*VLOOKUP('Données projet'!$B$10,Paramètres!$A$1:$I$89,5,0)</f>
        <v>7.5771738346729904</v>
      </c>
      <c r="AK14" s="14">
        <f t="shared" si="35"/>
        <v>2.7585742106736397</v>
      </c>
      <c r="AL14" s="22">
        <f t="shared" si="4"/>
        <v>18.001427845645381</v>
      </c>
      <c r="AM14" s="62">
        <f t="shared" si="5"/>
        <v>288.11253895675651</v>
      </c>
      <c r="AN14" s="62">
        <f ca="1">AVERAGE(OFFSET($AM$3,0,0,'Données projet'!$E$10+1,1))-AVERAGE(OFFSET($H$3,0,0,'Données projet'!$E$10+1,1))</f>
        <v>396.92963589781414</v>
      </c>
      <c r="AO14" s="62">
        <f t="shared" si="36"/>
        <v>294.38852181137639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</v>
      </c>
      <c r="N15" s="14">
        <f>IF('Données projet'!$A$36&gt;35,N14+M15-V14,IF(A15&lt;'Données projet'!$A$36,$K$205^A15,IF(A15='Données projet'!$A$36,'Données projet'!$B$36,N14+M15-V14)))</f>
        <v>7.685056401906202</v>
      </c>
      <c r="O15" s="14">
        <f>N15*VLOOKUP('Données projet'!$B$9,Paramètres!$A$1:$I$89,3,0)*VLOOKUP('Données projet'!$B$9,Paramètres!$A$1:$I$89,5,0)</f>
        <v>6.9534390324447317</v>
      </c>
      <c r="P15" s="14">
        <f t="shared" si="33"/>
        <v>2.55693493325087</v>
      </c>
      <c r="Q15" s="22">
        <f t="shared" si="2"/>
        <v>16.563901323586503</v>
      </c>
      <c r="R15" s="62">
        <f t="shared" si="0"/>
        <v>287.89723465691981</v>
      </c>
      <c r="S15" s="62">
        <f ca="1">AVERAGE(OFFSET($R$3,0,0,'Données projet'!$E$9+1,1))-AVERAGE(OFFSET($H$3,0,0,'Données projet'!$E$9+1,1))</f>
        <v>371.7282125501186</v>
      </c>
      <c r="T15" s="62">
        <f t="shared" si="34"/>
        <v>231.36959598460686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7.9</v>
      </c>
      <c r="AI15" s="14">
        <f>IF('Données projet'!$A$62&gt;35,AI14+AH15-AQ14,IF(A15&lt;'Données projet'!$A$62,$AF$205^A15,IF(A15='Données projet'!$A$62,'Données projet'!$B$62,AI14+AH15-AQ14)))</f>
        <v>20.854234472198982</v>
      </c>
      <c r="AJ15" s="14">
        <f>AI15*VLOOKUP('Données projet'!$B$10,Paramètres!$A$1:$I$89,3,0)*VLOOKUP('Données projet'!$B$10,Paramètres!$A$1:$I$89,5,0)</f>
        <v>9.7597817329891239</v>
      </c>
      <c r="AK15" s="14">
        <f t="shared" si="35"/>
        <v>3.4500178483814818</v>
      </c>
      <c r="AL15" s="22">
        <f t="shared" si="4"/>
        <v>23.00706760422047</v>
      </c>
      <c r="AM15" s="62">
        <f t="shared" si="5"/>
        <v>294.3404009375538</v>
      </c>
      <c r="AN15" s="62">
        <f ca="1">AVERAGE(OFFSET($AM$3,0,0,'Données projet'!$E$10+1,1))-AVERAGE(OFFSET($H$3,0,0,'Données projet'!$E$10+1,1))</f>
        <v>396.92963589781414</v>
      </c>
      <c r="AO15" s="62">
        <f t="shared" si="36"/>
        <v>294.38852181137639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</v>
      </c>
      <c r="N16" s="14">
        <f>IF('Données projet'!$A$36&gt;35,N15+M16-V15,IF(A16&lt;'Données projet'!$A$36,$K$205^A16,IF(A16='Données projet'!$A$36,'Données projet'!$B$36,N15+M16-V15)))</f>
        <v>9.1085863706396779</v>
      </c>
      <c r="O16" s="14">
        <f>N16*VLOOKUP('Données projet'!$B$9,Paramètres!$A$1:$I$89,3,0)*VLOOKUP('Données projet'!$B$9,Paramètres!$A$1:$I$89,5,0)</f>
        <v>8.2414489481547797</v>
      </c>
      <c r="P16" s="14">
        <f t="shared" si="33"/>
        <v>2.971206399035617</v>
      </c>
      <c r="Q16" s="22">
        <f t="shared" si="2"/>
        <v>19.528708063023274</v>
      </c>
      <c r="R16" s="62">
        <f t="shared" si="0"/>
        <v>292.0842636185788</v>
      </c>
      <c r="S16" s="62">
        <f ca="1">AVERAGE(OFFSET($R$3,0,0,'Données projet'!$E$9+1,1))-AVERAGE(OFFSET($H$3,0,0,'Données projet'!$E$9+1,1))</f>
        <v>371.7282125501186</v>
      </c>
      <c r="T16" s="62">
        <f t="shared" si="34"/>
        <v>231.36959598460686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7.9</v>
      </c>
      <c r="AI16" s="14">
        <f>IF('Données projet'!$A$62&gt;35,AI15+AH16-AQ15,IF(A16&lt;'Données projet'!$A$62,$AF$205^A16,IF(A16='Données projet'!$A$62,'Données projet'!$B$62,AI15+AH16-AQ15)))</f>
        <v>26.861304900499697</v>
      </c>
      <c r="AJ16" s="14">
        <f>AI16*VLOOKUP('Données projet'!$B$10,Paramètres!$A$1:$I$89,3,0)*VLOOKUP('Données projet'!$B$10,Paramètres!$A$1:$I$89,5,0)</f>
        <v>12.571090693433858</v>
      </c>
      <c r="AK16" s="14">
        <f t="shared" si="35"/>
        <v>4.3147735914069099</v>
      </c>
      <c r="AL16" s="22">
        <f t="shared" si="4"/>
        <v>29.409546962764335</v>
      </c>
      <c r="AM16" s="62">
        <f t="shared" si="5"/>
        <v>301.9651025183199</v>
      </c>
      <c r="AN16" s="62">
        <f ca="1">AVERAGE(OFFSET($AM$3,0,0,'Données projet'!$E$10+1,1))-AVERAGE(OFFSET($H$3,0,0,'Données projet'!$E$10+1,1))</f>
        <v>396.92963589781414</v>
      </c>
      <c r="AO16" s="62">
        <f t="shared" si="36"/>
        <v>294.38852181137639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</v>
      </c>
      <c r="N17" s="14">
        <f>IF('Données projet'!$A$36&gt;35,N16+M17-V16,IF(A17&lt;'Données projet'!$A$36,$K$205^A17,IF(A17='Données projet'!$A$36,'Données projet'!$B$36,N16+M17-V16)))</f>
        <v>10.795801791490293</v>
      </c>
      <c r="O17" s="14">
        <f>N17*VLOOKUP('Données projet'!$B$9,Paramètres!$A$1:$I$89,3,0)*VLOOKUP('Données projet'!$B$9,Paramètres!$A$1:$I$89,5,0)</f>
        <v>9.7680414609404167</v>
      </c>
      <c r="P17" s="14">
        <f t="shared" si="33"/>
        <v>3.4525976202477158</v>
      </c>
      <c r="Q17" s="22">
        <f t="shared" si="2"/>
        <v>23.025946399735997</v>
      </c>
      <c r="R17" s="62">
        <f t="shared" si="0"/>
        <v>296.80372417751374</v>
      </c>
      <c r="S17" s="62">
        <f ca="1">AVERAGE(OFFSET($R$3,0,0,'Données projet'!$E$9+1,1))-AVERAGE(OFFSET($H$3,0,0,'Données projet'!$E$9+1,1))</f>
        <v>371.7282125501186</v>
      </c>
      <c r="T17" s="62">
        <f t="shared" si="34"/>
        <v>231.36959598460686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7.9</v>
      </c>
      <c r="AI17" s="14">
        <f>IF('Données projet'!$A$62&gt;35,AI16+AH17-AQ16,IF(A17&lt;'Données projet'!$A$62,$AF$205^A17,IF(A17='Données projet'!$A$62,'Données projet'!$B$62,AI16+AH17-AQ16)))</f>
        <v>34.598714324397214</v>
      </c>
      <c r="AJ17" s="14">
        <f>AI17*VLOOKUP('Données projet'!$B$10,Paramètres!$A$1:$I$89,3,0)*VLOOKUP('Données projet'!$B$10,Paramètres!$A$1:$I$89,5,0)</f>
        <v>16.192198303817896</v>
      </c>
      <c r="AK17" s="14">
        <f t="shared" si="35"/>
        <v>5.3962825594761723</v>
      </c>
      <c r="AL17" s="22">
        <f t="shared" si="4"/>
        <v>37.599937503570509</v>
      </c>
      <c r="AM17" s="62">
        <f t="shared" si="5"/>
        <v>311.37771528134829</v>
      </c>
      <c r="AN17" s="62">
        <f ca="1">AVERAGE(OFFSET($AM$3,0,0,'Données projet'!$E$10+1,1))-AVERAGE(OFFSET($H$3,0,0,'Données projet'!$E$10+1,1))</f>
        <v>396.92963589781414</v>
      </c>
      <c r="AO17" s="62">
        <f t="shared" si="36"/>
        <v>294.38852181137639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</v>
      </c>
      <c r="N18" s="14">
        <f>IF('Données projet'!$A$36&gt;35,N17+M18-V17,IF(A18&lt;'Données projet'!$A$36,$K$205^A18,IF(A18='Données projet'!$A$36,'Données projet'!$B$36,N17+M18-V17)))</f>
        <v>12.795546046181913</v>
      </c>
      <c r="O18" s="14">
        <f>N18*VLOOKUP('Données projet'!$B$9,Paramètres!$A$1:$I$89,3,0)*VLOOKUP('Données projet'!$B$9,Paramètres!$A$1:$I$89,5,0)</f>
        <v>11.577410062585395</v>
      </c>
      <c r="P18" s="14">
        <f t="shared" si="33"/>
        <v>4.0119832574435987</v>
      </c>
      <c r="Q18" s="22">
        <f t="shared" si="2"/>
        <v>27.151526699050493</v>
      </c>
      <c r="R18" s="62">
        <f t="shared" si="0"/>
        <v>302.15152669905046</v>
      </c>
      <c r="S18" s="62">
        <f ca="1">AVERAGE(OFFSET($R$3,0,0,'Données projet'!$E$9+1,1))-AVERAGE(OFFSET($H$3,0,0,'Données projet'!$E$9+1,1))</f>
        <v>371.7282125501186</v>
      </c>
      <c r="T18" s="62">
        <f t="shared" si="34"/>
        <v>231.36959598460686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7.9</v>
      </c>
      <c r="AI18" s="14">
        <f>IF('Données projet'!$A$62&gt;35,AI17+AH18-AQ17,IF(A18&lt;'Données projet'!$A$62,$AF$205^A18,IF(A18='Données projet'!$A$62,'Données projet'!$B$62,AI17+AH18-AQ17)))</f>
        <v>44.564887571004775</v>
      </c>
      <c r="AJ18" s="14">
        <f>AI18*VLOOKUP('Données projet'!$B$10,Paramètres!$A$1:$I$89,3,0)*VLOOKUP('Données projet'!$B$10,Paramètres!$A$1:$I$89,5,0)</f>
        <v>20.856367383230236</v>
      </c>
      <c r="AK18" s="14">
        <f t="shared" si="35"/>
        <v>6.7488744993944465</v>
      </c>
      <c r="AL18" s="22">
        <f t="shared" si="4"/>
        <v>48.079129612237985</v>
      </c>
      <c r="AM18" s="62">
        <f t="shared" si="5"/>
        <v>323.07912961223798</v>
      </c>
      <c r="AN18" s="62">
        <f ca="1">AVERAGE(OFFSET($AM$3,0,0,'Données projet'!$E$10+1,1))-AVERAGE(OFFSET($H$3,0,0,'Données projet'!$E$10+1,1))</f>
        <v>396.92963589781414</v>
      </c>
      <c r="AO18" s="62">
        <f t="shared" si="36"/>
        <v>294.38852181137639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</v>
      </c>
      <c r="N19" s="14">
        <f>IF('Données projet'!$A$36&gt;35,N18+M19-V18,IF(A19&lt;'Données projet'!$A$36,$K$205^A19,IF(A19='Données projet'!$A$36,'Données projet'!$B$36,N18+M19-V18)))</f>
        <v>15.165709947455436</v>
      </c>
      <c r="O19" s="14">
        <f>N19*VLOOKUP('Données projet'!$B$9,Paramètres!$A$1:$I$89,3,0)*VLOOKUP('Données projet'!$B$9,Paramètres!$A$1:$I$89,5,0)</f>
        <v>13.721934360457679</v>
      </c>
      <c r="P19" s="14">
        <f t="shared" si="33"/>
        <v>4.6619998703622194</v>
      </c>
      <c r="Q19" s="22">
        <f t="shared" si="2"/>
        <v>32.018685452011319</v>
      </c>
      <c r="R19" s="62">
        <f t="shared" si="0"/>
        <v>308.24090767423354</v>
      </c>
      <c r="S19" s="62">
        <f ca="1">AVERAGE(OFFSET($R$3,0,0,'Données projet'!$E$9+1,1))-AVERAGE(OFFSET($H$3,0,0,'Données projet'!$E$9+1,1))</f>
        <v>371.7282125501186</v>
      </c>
      <c r="T19" s="62">
        <f t="shared" si="34"/>
        <v>231.36959598460686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7.9</v>
      </c>
      <c r="AI19" s="14">
        <f>IF('Données projet'!$A$62&gt;35,AI18+AH19-AQ18,IF(A19&lt;'Données projet'!$A$62,$AF$205^A19,IF(A19='Données projet'!$A$62,'Données projet'!$B$62,AI18+AH19-AQ18)))</f>
        <v>57.401820934596167</v>
      </c>
      <c r="AJ19" s="14">
        <f>AI19*VLOOKUP('Données projet'!$B$10,Paramètres!$A$1:$I$89,3,0)*VLOOKUP('Données projet'!$B$10,Paramètres!$A$1:$I$89,5,0)</f>
        <v>26.864052197391008</v>
      </c>
      <c r="AK19" s="14">
        <f t="shared" si="35"/>
        <v>8.4404970471001413</v>
      </c>
      <c r="AL19" s="22">
        <f t="shared" si="4"/>
        <v>61.488756600822086</v>
      </c>
      <c r="AM19" s="62">
        <f t="shared" si="5"/>
        <v>337.71097882304434</v>
      </c>
      <c r="AN19" s="62">
        <f ca="1">AVERAGE(OFFSET($AM$3,0,0,'Données projet'!$E$10+1,1))-AVERAGE(OFFSET($H$3,0,0,'Données projet'!$E$10+1,1))</f>
        <v>396.92963589781414</v>
      </c>
      <c r="AO19" s="62">
        <f t="shared" si="36"/>
        <v>294.38852181137639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</v>
      </c>
      <c r="N20" s="14">
        <f>IF('Données projet'!$A$36&gt;35,N19+M20-V19,IF(A20&lt;'Données projet'!$A$36,$K$205^A20,IF(A20='Données projet'!$A$36,'Données projet'!$B$36,N19+M20-V19)))</f>
        <v>17.974907626468866</v>
      </c>
      <c r="O20" s="14">
        <f>N20*VLOOKUP('Données projet'!$B$9,Paramètres!$A$1:$I$89,3,0)*VLOOKUP('Données projet'!$B$9,Paramètres!$A$1:$I$89,5,0)</f>
        <v>16.263696420429028</v>
      </c>
      <c r="P20" s="14">
        <f t="shared" si="33"/>
        <v>5.4173313786723556</v>
      </c>
      <c r="Q20" s="22">
        <f t="shared" si="2"/>
        <v>37.761123416768235</v>
      </c>
      <c r="R20" s="62">
        <f t="shared" si="0"/>
        <v>315.20556786121267</v>
      </c>
      <c r="S20" s="62">
        <f ca="1">AVERAGE(OFFSET($R$3,0,0,'Données projet'!$E$9+1,1))-AVERAGE(OFFSET($H$3,0,0,'Données projet'!$E$9+1,1))</f>
        <v>371.7282125501186</v>
      </c>
      <c r="T20" s="62">
        <f t="shared" si="34"/>
        <v>231.36959598460686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7.9</v>
      </c>
      <c r="AI20" s="14">
        <f>IF('Données projet'!$A$62&gt;35,AI19+AH20-AQ19,IF(A20&lt;'Données projet'!$A$62,$AF$205^A20,IF(A20='Données projet'!$A$62,'Données projet'!$B$62,AI19+AH20-AQ19)))</f>
        <v>73.936437994095741</v>
      </c>
      <c r="AJ20" s="14">
        <f>AI20*VLOOKUP('Données projet'!$B$10,Paramètres!$A$1:$I$89,3,0)*VLOOKUP('Données projet'!$B$10,Paramètres!$A$1:$I$89,5,0)</f>
        <v>34.602252981236802</v>
      </c>
      <c r="AK20" s="14">
        <f t="shared" si="35"/>
        <v>10.556129086190376</v>
      </c>
      <c r="AL20" s="22">
        <f t="shared" si="4"/>
        <v>78.650848767435647</v>
      </c>
      <c r="AM20" s="62">
        <f t="shared" si="5"/>
        <v>356.09529321188012</v>
      </c>
      <c r="AN20" s="62">
        <f ca="1">AVERAGE(OFFSET($AM$3,0,0,'Données projet'!$E$10+1,1))-AVERAGE(OFFSET($H$3,0,0,'Données projet'!$E$10+1,1))</f>
        <v>396.92963589781414</v>
      </c>
      <c r="AO20" s="62">
        <f t="shared" si="36"/>
        <v>294.38852181137639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</v>
      </c>
      <c r="N21" s="14">
        <f>IF('Données projet'!$A$36&gt;35,N20+M21-V20,IF(A21&lt;'Données projet'!$A$36,$K$205^A21,IF(A21='Données projet'!$A$36,'Données projet'!$B$36,N20+M21-V20)))</f>
        <v>21.304462850702166</v>
      </c>
      <c r="O21" s="14">
        <f>N21*VLOOKUP('Données projet'!$B$9,Paramètres!$A$1:$I$89,3,0)*VLOOKUP('Données projet'!$B$9,Paramètres!$A$1:$I$89,5,0)</f>
        <v>19.276277987315318</v>
      </c>
      <c r="P21" s="14">
        <f t="shared" si="33"/>
        <v>6.2950407727205615</v>
      </c>
      <c r="Q21" s="22">
        <f t="shared" si="2"/>
        <v>44.536713507062494</v>
      </c>
      <c r="R21" s="62">
        <f t="shared" si="0"/>
        <v>323.20338017372916</v>
      </c>
      <c r="S21" s="62">
        <f ca="1">AVERAGE(OFFSET($R$3,0,0,'Données projet'!$E$9+1,1))-AVERAGE(OFFSET($H$3,0,0,'Données projet'!$E$9+1,1))</f>
        <v>371.7282125501186</v>
      </c>
      <c r="T21" s="62">
        <f t="shared" si="34"/>
        <v>231.36959598460686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7.9</v>
      </c>
      <c r="AI21" s="14">
        <f>IF('Données projet'!$A$62&gt;35,AI20+AH21-AQ20,IF(A21&lt;'Données projet'!$A$62,$AF$205^A21,IF(A21='Données projet'!$A$62,'Données projet'!$B$62,AI20+AH21-AQ20)))</f>
        <v>95.233857990035276</v>
      </c>
      <c r="AJ21" s="14">
        <f>AI21*VLOOKUP('Données projet'!$B$10,Paramètres!$A$1:$I$89,3,0)*VLOOKUP('Données projet'!$B$10,Paramètres!$A$1:$I$89,5,0)</f>
        <v>44.569445539336513</v>
      </c>
      <c r="AK21" s="14">
        <f t="shared" si="35"/>
        <v>13.202049673437019</v>
      </c>
      <c r="AL21" s="22">
        <f t="shared" si="4"/>
        <v>100.61868749558056</v>
      </c>
      <c r="AM21" s="62">
        <f t="shared" si="5"/>
        <v>379.28535416224724</v>
      </c>
      <c r="AN21" s="62">
        <f ca="1">AVERAGE(OFFSET($AM$3,0,0,'Données projet'!$E$10+1,1))-AVERAGE(OFFSET($H$3,0,0,'Données projet'!$E$10+1,1))</f>
        <v>396.92963589781414</v>
      </c>
      <c r="AO21" s="62">
        <f t="shared" si="36"/>
        <v>294.38852181137639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</v>
      </c>
      <c r="N22" s="14">
        <f>IF('Données projet'!$A$36&gt;35,N21+M22-V21,IF(A22&lt;'Données projet'!$A$36,$K$205^A22,IF(A22='Données projet'!$A$36,'Données projet'!$B$36,N21+M22-V21)))</f>
        <v>25.250763274498809</v>
      </c>
      <c r="O22" s="14">
        <f>N22*VLOOKUP('Données projet'!$B$9,Paramètres!$A$1:$I$89,3,0)*VLOOKUP('Données projet'!$B$9,Paramètres!$A$1:$I$89,5,0)</f>
        <v>22.846890610766522</v>
      </c>
      <c r="P22" s="14">
        <f t="shared" si="33"/>
        <v>7.3149555676481315</v>
      </c>
      <c r="Q22" s="22">
        <f t="shared" si="2"/>
        <v>52.531882094072188</v>
      </c>
      <c r="R22" s="62">
        <f t="shared" si="0"/>
        <v>332.42077098296102</v>
      </c>
      <c r="S22" s="62">
        <f ca="1">AVERAGE(OFFSET($R$3,0,0,'Données projet'!$E$9+1,1))-AVERAGE(OFFSET($H$3,0,0,'Données projet'!$E$9+1,1))</f>
        <v>371.7282125501186</v>
      </c>
      <c r="T22" s="62">
        <f t="shared" si="34"/>
        <v>231.36959598460686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7.9</v>
      </c>
      <c r="AI22" s="14">
        <f>IF('Données projet'!$A$62&gt;35,AI21+AH22-AQ21,IF(A22&lt;'Données projet'!$A$62,$AF$205^A22,IF(A22='Données projet'!$A$62,'Données projet'!$B$62,AI21+AH22-AQ21)))</f>
        <v>122.66600817840934</v>
      </c>
      <c r="AJ22" s="14">
        <f>AI22*VLOOKUP('Données projet'!$B$10,Paramètres!$A$1:$I$89,3,0)*VLOOKUP('Données projet'!$B$10,Paramètres!$A$1:$I$89,5,0)</f>
        <v>57.407691827495569</v>
      </c>
      <c r="AK22" s="14">
        <f t="shared" si="35"/>
        <v>16.511176981334152</v>
      </c>
      <c r="AL22" s="22">
        <f t="shared" si="4"/>
        <v>128.7420298420451</v>
      </c>
      <c r="AM22" s="62">
        <f t="shared" si="5"/>
        <v>408.63091873093396</v>
      </c>
      <c r="AN22" s="62">
        <f ca="1">AVERAGE(OFFSET($AM$3,0,0,'Données projet'!$E$10+1,1))-AVERAGE(OFFSET($H$3,0,0,'Données projet'!$E$10+1,1))</f>
        <v>396.92963589781414</v>
      </c>
      <c r="AO22" s="62">
        <f t="shared" si="36"/>
        <v>294.38852181137639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</v>
      </c>
      <c r="N23" s="14">
        <f>IF('Données projet'!$A$36&gt;35,N22+M23-V22,IF(A23&lt;'Données projet'!$A$36,$K$205^A23,IF(A23='Données projet'!$A$36,'Données projet'!$B$36,N22+M23-V22)))</f>
        <v>29.92805077569761</v>
      </c>
      <c r="O23" s="14">
        <f>N23*VLOOKUP('Données projet'!$B$9,Paramètres!$A$1:$I$89,3,0)*VLOOKUP('Données projet'!$B$9,Paramètres!$A$1:$I$89,5,0)</f>
        <v>27.078900341851195</v>
      </c>
      <c r="P23" s="14">
        <f t="shared" si="33"/>
        <v>8.5001157083119736</v>
      </c>
      <c r="Q23" s="22">
        <f t="shared" si="2"/>
        <v>61.966786287367512</v>
      </c>
      <c r="R23" s="62">
        <f t="shared" si="0"/>
        <v>343.07789739847863</v>
      </c>
      <c r="S23" s="62">
        <f ca="1">AVERAGE(OFFSET($R$3,0,0,'Données projet'!$E$9+1,1))-AVERAGE(OFFSET($H$3,0,0,'Données projet'!$E$9+1,1))</f>
        <v>371.7282125501186</v>
      </c>
      <c r="T23" s="62">
        <f t="shared" si="34"/>
        <v>231.36959598460686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158</v>
      </c>
      <c r="AG23" s="13">
        <f>VLOOKUP(A23,'Données projet'!$A$61:$I$81,9,0)</f>
        <v>7.9</v>
      </c>
      <c r="AH23" s="13">
        <f t="array" ref="AH23">INDEX(AG:AG,MIN(IF(ISNUMBER(AG23:AG219),ROW(AG23:AG219),"")))</f>
        <v>7.9</v>
      </c>
      <c r="AI23" s="14">
        <f>IF('Données projet'!$A$62&gt;35,AI22+AH23-AQ22,IF(A23&lt;'Données projet'!$A$62,$AF$205^A23,IF(A23='Données projet'!$A$62,'Données projet'!$B$62,AI22+AH23-AQ22)))</f>
        <v>158</v>
      </c>
      <c r="AJ23" s="14">
        <f>AI23*VLOOKUP('Données projet'!$B$10,Paramètres!$A$1:$I$89,3,0)*VLOOKUP('Données projet'!$B$10,Paramètres!$A$1:$I$89,5,0)</f>
        <v>73.944000000000003</v>
      </c>
      <c r="AK23" s="14">
        <f t="shared" si="35"/>
        <v>20.649745460165708</v>
      </c>
      <c r="AL23" s="22">
        <f t="shared" si="4"/>
        <v>164.75077334312192</v>
      </c>
      <c r="AM23" s="62">
        <f t="shared" si="5"/>
        <v>445.86188445423306</v>
      </c>
      <c r="AN23" s="62">
        <f ca="1">AVERAGE(OFFSET($AM$3,0,0,'Données projet'!$E$10+1,1))-AVERAGE(OFFSET($H$3,0,0,'Données projet'!$E$10+1,1))</f>
        <v>396.92963589781414</v>
      </c>
      <c r="AO23" s="62">
        <f t="shared" si="36"/>
        <v>294.38852181137639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</v>
      </c>
      <c r="N24" s="14">
        <f>IF('Données projet'!$A$36&gt;35,N23+M24-V23,IF(A24&lt;'Données projet'!$A$36,$K$205^A24,IF(A24='Données projet'!$A$36,'Données projet'!$B$36,N23+M24-V23)))</f>
        <v>35.471728656111772</v>
      </c>
      <c r="O24" s="14">
        <f>N24*VLOOKUP('Données projet'!$B$9,Paramètres!$A$1:$I$89,3,0)*VLOOKUP('Données projet'!$B$9,Paramètres!$A$1:$I$89,5,0)</f>
        <v>32.094820088049929</v>
      </c>
      <c r="P24" s="14">
        <f t="shared" si="33"/>
        <v>9.8772940432120837</v>
      </c>
      <c r="Q24" s="22">
        <f t="shared" si="2"/>
        <v>73.101432111948</v>
      </c>
      <c r="R24" s="62">
        <f t="shared" si="0"/>
        <v>355.4347654452813</v>
      </c>
      <c r="S24" s="62">
        <f ca="1">AVERAGE(OFFSET($R$3,0,0,'Données projet'!$E$9+1,1))-AVERAGE(OFFSET($H$3,0,0,'Données projet'!$E$9+1,1))</f>
        <v>371.7282125501186</v>
      </c>
      <c r="T24" s="62">
        <f t="shared" si="34"/>
        <v>231.36959598460686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9.1999999999999993</v>
      </c>
      <c r="AI24" s="14">
        <f>IF('Données projet'!$A$62&gt;35,AI23+AH24-AQ23,IF(A24&lt;'Données projet'!$A$62,$AF$205^A24,IF(A24='Données projet'!$A$62,'Données projet'!$B$62,AI23+AH24-AQ23)))</f>
        <v>167.2</v>
      </c>
      <c r="AJ24" s="14">
        <f>AI24*VLOOKUP('Données projet'!$B$10,Paramètres!$A$1:$I$89,3,0)*VLOOKUP('Données projet'!$B$10,Paramètres!$A$1:$I$89,5,0)</f>
        <v>78.249599999999987</v>
      </c>
      <c r="AK24" s="14">
        <f t="shared" si="35"/>
        <v>21.708652740239781</v>
      </c>
      <c r="AL24" s="22">
        <f t="shared" si="4"/>
        <v>174.09395685591758</v>
      </c>
      <c r="AM24" s="62">
        <f t="shared" si="5"/>
        <v>456.42729018925093</v>
      </c>
      <c r="AN24" s="62">
        <f ca="1">AVERAGE(OFFSET($AM$3,0,0,'Données projet'!$E$10+1,1))-AVERAGE(OFFSET($H$3,0,0,'Données projet'!$E$10+1,1))</f>
        <v>396.92963589781414</v>
      </c>
      <c r="AO24" s="62">
        <f t="shared" si="36"/>
        <v>294.38852181137639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</v>
      </c>
      <c r="N25" s="14">
        <f>IF('Données projet'!$A$36&gt;35,N24+M25-V24,IF(A25&lt;'Données projet'!$A$36,$K$205^A25,IF(A25='Données projet'!$A$36,'Données projet'!$B$36,N24+M25-V24)))</f>
        <v>42.042281446359659</v>
      </c>
      <c r="O25" s="14">
        <f>N25*VLOOKUP('Données projet'!$B$9,Paramètres!$A$1:$I$89,3,0)*VLOOKUP('Données projet'!$B$9,Paramètres!$A$1:$I$89,5,0)</f>
        <v>38.039856252666219</v>
      </c>
      <c r="P25" s="14">
        <f t="shared" si="33"/>
        <v>11.477601124967212</v>
      </c>
      <c r="Q25" s="22">
        <f t="shared" si="2"/>
        <v>86.242904932711554</v>
      </c>
      <c r="R25" s="62">
        <f t="shared" si="0"/>
        <v>369.7984604882671</v>
      </c>
      <c r="S25" s="62">
        <f ca="1">AVERAGE(OFFSET($R$3,0,0,'Données projet'!$E$9+1,1))-AVERAGE(OFFSET($H$3,0,0,'Données projet'!$E$9+1,1))</f>
        <v>371.7282125501186</v>
      </c>
      <c r="T25" s="62">
        <f t="shared" si="34"/>
        <v>231.36959598460686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9.1999999999999993</v>
      </c>
      <c r="AI25" s="14">
        <f>IF('Données projet'!$A$62&gt;35,AI24+AH25-AQ24,IF(A25&lt;'Données projet'!$A$62,$AF$205^A25,IF(A25='Données projet'!$A$62,'Données projet'!$B$62,AI24+AH25-AQ24)))</f>
        <v>176.39999999999998</v>
      </c>
      <c r="AJ25" s="14">
        <f>AI25*VLOOKUP('Données projet'!$B$10,Paramètres!$A$1:$I$89,3,0)*VLOOKUP('Données projet'!$B$10,Paramètres!$A$1:$I$89,5,0)</f>
        <v>82.555199999999985</v>
      </c>
      <c r="AK25" s="14">
        <f t="shared" si="35"/>
        <v>22.760796016854769</v>
      </c>
      <c r="AL25" s="22">
        <f t="shared" si="4"/>
        <v>183.42535972935536</v>
      </c>
      <c r="AM25" s="62">
        <f t="shared" si="5"/>
        <v>466.98091528491091</v>
      </c>
      <c r="AN25" s="62">
        <f ca="1">AVERAGE(OFFSET($AM$3,0,0,'Données projet'!$E$10+1,1))-AVERAGE(OFFSET($H$3,0,0,'Données projet'!$E$10+1,1))</f>
        <v>396.92963589781414</v>
      </c>
      <c r="AO25" s="62">
        <f t="shared" si="36"/>
        <v>294.38852181137639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</v>
      </c>
      <c r="N26" s="14">
        <f>IF('Données projet'!$A$36&gt;35,N25+M26-V25,IF(A26&lt;'Données projet'!$A$36,$K$205^A26,IF(A26='Données projet'!$A$36,'Données projet'!$B$36,N25+M26-V25)))</f>
        <v>49.82992078990118</v>
      </c>
      <c r="O26" s="14">
        <f>N26*VLOOKUP('Données projet'!$B$9,Paramètres!$A$1:$I$89,3,0)*VLOOKUP('Données projet'!$B$9,Paramètres!$A$1:$I$89,5,0)</f>
        <v>45.086112330702591</v>
      </c>
      <c r="P26" s="14">
        <f t="shared" si="33"/>
        <v>13.337187999822708</v>
      </c>
      <c r="Q26" s="22">
        <f t="shared" si="2"/>
        <v>101.75391474233156</v>
      </c>
      <c r="R26" s="62">
        <f t="shared" si="0"/>
        <v>386.53169252010935</v>
      </c>
      <c r="S26" s="62">
        <f ca="1">AVERAGE(OFFSET($R$3,0,0,'Données projet'!$E$9+1,1))-AVERAGE(OFFSET($H$3,0,0,'Données projet'!$E$9+1,1))</f>
        <v>371.7282125501186</v>
      </c>
      <c r="T26" s="62">
        <f t="shared" si="34"/>
        <v>231.36959598460686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9.1999999999999993</v>
      </c>
      <c r="AI26" s="14">
        <f>IF('Données projet'!$A$62&gt;35,AI25+AH26-AQ25,IF(A26&lt;'Données projet'!$A$62,$AF$205^A26,IF(A26='Données projet'!$A$62,'Données projet'!$B$62,AI25+AH26-AQ25)))</f>
        <v>185.59999999999997</v>
      </c>
      <c r="AJ26" s="14">
        <f>AI26*VLOOKUP('Données projet'!$B$10,Paramètres!$A$1:$I$89,3,0)*VLOOKUP('Données projet'!$B$10,Paramètres!$A$1:$I$89,5,0)</f>
        <v>86.860799999999983</v>
      </c>
      <c r="AK26" s="14">
        <f t="shared" si="35"/>
        <v>23.806568296036275</v>
      </c>
      <c r="AL26" s="22">
        <f t="shared" si="4"/>
        <v>192.7456664489298</v>
      </c>
      <c r="AM26" s="62">
        <f t="shared" si="5"/>
        <v>477.52344422670757</v>
      </c>
      <c r="AN26" s="62">
        <f ca="1">AVERAGE(OFFSET($AM$3,0,0,'Données projet'!$E$10+1,1))-AVERAGE(OFFSET($H$3,0,0,'Données projet'!$E$10+1,1))</f>
        <v>396.92963589781414</v>
      </c>
      <c r="AO26" s="62">
        <f t="shared" si="36"/>
        <v>294.38852181137639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</v>
      </c>
      <c r="N27" s="14">
        <f>IF('Données projet'!$A$36&gt;35,N26+M27-V26,IF(A27&lt;'Données projet'!$A$36,$K$205^A27,IF(A27='Données projet'!$A$36,'Données projet'!$B$36,N26+M27-V26)))</f>
        <v>59.060091900479499</v>
      </c>
      <c r="O27" s="14">
        <f>N27*VLOOKUP('Données projet'!$B$9,Paramètres!$A$1:$I$89,3,0)*VLOOKUP('Données projet'!$B$9,Paramètres!$A$1:$I$89,5,0)</f>
        <v>53.437571151553847</v>
      </c>
      <c r="P27" s="14">
        <f t="shared" si="33"/>
        <v>15.498062862253629</v>
      </c>
      <c r="Q27" s="22">
        <f t="shared" si="2"/>
        <v>120.06289590738133</v>
      </c>
      <c r="R27" s="62">
        <f t="shared" si="0"/>
        <v>406.06289590738135</v>
      </c>
      <c r="S27" s="62">
        <f ca="1">AVERAGE(OFFSET($R$3,0,0,'Données projet'!$E$9+1,1))-AVERAGE(OFFSET($H$3,0,0,'Données projet'!$E$9+1,1))</f>
        <v>371.7282125501186</v>
      </c>
      <c r="T27" s="62">
        <f t="shared" si="34"/>
        <v>231.36959598460686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9.1999999999999993</v>
      </c>
      <c r="AI27" s="14">
        <f>IF('Données projet'!$A$62&gt;35,AI26+AH27-AQ26,IF(A27&lt;'Données projet'!$A$62,$AF$205^A27,IF(A27='Données projet'!$A$62,'Données projet'!$B$62,AI26+AH27-AQ26)))</f>
        <v>194.79999999999995</v>
      </c>
      <c r="AJ27" s="14">
        <f>AI27*VLOOKUP('Données projet'!$B$10,Paramètres!$A$1:$I$89,3,0)*VLOOKUP('Données projet'!$B$10,Paramètres!$A$1:$I$89,5,0)</f>
        <v>91.166399999999982</v>
      </c>
      <c r="AK27" s="14">
        <f t="shared" si="35"/>
        <v>24.846321420979159</v>
      </c>
      <c r="AL27" s="22">
        <f t="shared" si="4"/>
        <v>202.05548980820535</v>
      </c>
      <c r="AM27" s="62">
        <f t="shared" si="5"/>
        <v>488.05548980820538</v>
      </c>
      <c r="AN27" s="62">
        <f ca="1">AVERAGE(OFFSET($AM$3,0,0,'Données projet'!$E$10+1,1))-AVERAGE(OFFSET($H$3,0,0,'Données projet'!$E$10+1,1))</f>
        <v>396.92963589781414</v>
      </c>
      <c r="AO27" s="62">
        <f t="shared" si="36"/>
        <v>294.38852181137639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2.8</v>
      </c>
      <c r="M28" s="13">
        <f t="array" ref="M28">INDEX(L:L,MIN(IF(ISNUMBER(L28:L224),ROW(L28:L224),"")))</f>
        <v>2.8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428.89816692885358</v>
      </c>
      <c r="S28" s="62">
        <f ca="1">AVERAGE(OFFSET($R$3,0,0,'Données projet'!$E$9+1,1))-AVERAGE(OFFSET($H$3,0,0,'Données projet'!$E$9+1,1))</f>
        <v>371.7282125501186</v>
      </c>
      <c r="T28" s="62">
        <f t="shared" si="34"/>
        <v>231.36959598460686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1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6.8296252186796416</v>
      </c>
      <c r="AC28" s="24">
        <f t="shared" si="3"/>
        <v>6.8296252186796416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9.1999999999999993</v>
      </c>
      <c r="AI28" s="14">
        <f>IF('Données projet'!$A$62&gt;35,AI27+AH28-AQ27,IF(A28&lt;'Données projet'!$A$62,$AF$205^A28,IF(A28='Données projet'!$A$62,'Données projet'!$B$62,AI27+AH28-AQ27)))</f>
        <v>203.99999999999994</v>
      </c>
      <c r="AJ28" s="14">
        <f>AI28*VLOOKUP('Données projet'!$B$10,Paramètres!$A$1:$I$89,3,0)*VLOOKUP('Données projet'!$B$10,Paramètres!$A$1:$I$89,5,0)</f>
        <v>95.47199999999998</v>
      </c>
      <c r="AK28" s="14">
        <f t="shared" si="35"/>
        <v>25.880372123231144</v>
      </c>
      <c r="AL28" s="22">
        <f t="shared" si="4"/>
        <v>211.35538144796087</v>
      </c>
      <c r="AM28" s="62">
        <f t="shared" si="5"/>
        <v>498.57760367018307</v>
      </c>
      <c r="AN28" s="62">
        <f ca="1">AVERAGE(OFFSET($AM$3,0,0,'Données projet'!$E$10+1,1))-AVERAGE(OFFSET($H$3,0,0,'Données projet'!$E$10+1,1))</f>
        <v>396.92963589781414</v>
      </c>
      <c r="AO28" s="62">
        <f t="shared" si="36"/>
        <v>294.38852181137639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62.431199999999997</v>
      </c>
      <c r="P29" s="14">
        <f t="shared" si="33"/>
        <v>17.781524466058684</v>
      </c>
      <c r="Q29" s="22">
        <f t="shared" si="2"/>
        <v>139.70382844505221</v>
      </c>
      <c r="R29" s="62">
        <f t="shared" si="0"/>
        <v>428.14827288949664</v>
      </c>
      <c r="S29" s="62">
        <f ca="1">AVERAGE(OFFSET($R$3,0,0,'Données projet'!$E$9+1,1))-AVERAGE(OFFSET($H$3,0,0,'Données projet'!$E$9+1,1))</f>
        <v>371.7282125501186</v>
      </c>
      <c r="T29" s="62">
        <f t="shared" si="34"/>
        <v>231.36959598460686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4.8292743050910323</v>
      </c>
      <c r="AC29" s="24">
        <f t="shared" si="3"/>
        <v>4.8292743050910323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213.19999999999993</v>
      </c>
      <c r="AJ29" s="14">
        <f>AI29*VLOOKUP('Données projet'!$B$10,Paramètres!$A$1:$I$89,3,0)*VLOOKUP('Données projet'!$B$10,Paramètres!$A$1:$I$89,5,0)</f>
        <v>99.777599999999964</v>
      </c>
      <c r="AK29" s="14">
        <f t="shared" si="35"/>
        <v>26.909006951444532</v>
      </c>
      <c r="AL29" s="22">
        <f t="shared" si="4"/>
        <v>220.64584044043249</v>
      </c>
      <c r="AM29" s="62">
        <f t="shared" si="5"/>
        <v>509.09028488487695</v>
      </c>
      <c r="AN29" s="62">
        <f ca="1">AVERAGE(OFFSET($AM$3,0,0,'Données projet'!$E$10+1,1))-AVERAGE(OFFSET($H$3,0,0,'Données projet'!$E$10+1,1))</f>
        <v>396.92963589781414</v>
      </c>
      <c r="AO29" s="62">
        <f t="shared" si="36"/>
        <v>294.38852181137639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68.764799999999994</v>
      </c>
      <c r="P30" s="14">
        <f t="shared" si="33"/>
        <v>19.366396769521369</v>
      </c>
      <c r="Q30" s="22">
        <f t="shared" si="2"/>
        <v>153.49516770691636</v>
      </c>
      <c r="R30" s="62">
        <f t="shared" si="0"/>
        <v>443.16183437358302</v>
      </c>
      <c r="S30" s="62">
        <f ca="1">AVERAGE(OFFSET($R$3,0,0,'Données projet'!$E$9+1,1))-AVERAGE(OFFSET($H$3,0,0,'Données projet'!$E$9+1,1))</f>
        <v>371.7282125501186</v>
      </c>
      <c r="T30" s="62">
        <f t="shared" si="34"/>
        <v>231.36959598460686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3.4148126093398212</v>
      </c>
      <c r="AC30" s="24">
        <f t="shared" si="3"/>
        <v>3.4148126093398212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222.39999999999992</v>
      </c>
      <c r="AJ30" s="14">
        <f>AI30*VLOOKUP('Données projet'!$B$10,Paramètres!$A$1:$I$89,3,0)*VLOOKUP('Données projet'!$B$10,Paramètres!$A$1:$I$89,5,0)</f>
        <v>104.08319999999996</v>
      </c>
      <c r="AK30" s="14">
        <f t="shared" si="35"/>
        <v>27.932486325387405</v>
      </c>
      <c r="AL30" s="22">
        <f t="shared" si="4"/>
        <v>229.92732035004965</v>
      </c>
      <c r="AM30" s="62">
        <f t="shared" si="5"/>
        <v>519.59398701671637</v>
      </c>
      <c r="AN30" s="62">
        <f ca="1">AVERAGE(OFFSET($AM$3,0,0,'Données projet'!$E$10+1,1))-AVERAGE(OFFSET($H$3,0,0,'Données projet'!$E$10+1,1))</f>
        <v>396.92963589781414</v>
      </c>
      <c r="AO30" s="62">
        <f t="shared" si="36"/>
        <v>294.38852181137639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75.098399999999998</v>
      </c>
      <c r="P31" s="14">
        <f t="shared" si="33"/>
        <v>20.934343091450742</v>
      </c>
      <c r="Q31" s="22">
        <f t="shared" si="2"/>
        <v>167.25702755094335</v>
      </c>
      <c r="R31" s="62">
        <f t="shared" si="0"/>
        <v>458.14591643983221</v>
      </c>
      <c r="S31" s="62">
        <f ca="1">AVERAGE(OFFSET($R$3,0,0,'Données projet'!$E$9+1,1))-AVERAGE(OFFSET($H$3,0,0,'Données projet'!$E$9+1,1))</f>
        <v>371.7282125501186</v>
      </c>
      <c r="T31" s="62">
        <f t="shared" si="34"/>
        <v>231.36959598460686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2.4146371525455166</v>
      </c>
      <c r="AC31" s="24">
        <f t="shared" si="3"/>
        <v>2.4146371525455166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231.59999999999991</v>
      </c>
      <c r="AJ31" s="14">
        <f>AI31*VLOOKUP('Données projet'!$B$10,Paramètres!$A$1:$I$89,3,0)*VLOOKUP('Données projet'!$B$10,Paramètres!$A$1:$I$89,5,0)</f>
        <v>108.38879999999996</v>
      </c>
      <c r="AK31" s="14">
        <f t="shared" si="35"/>
        <v>28.95104790024919</v>
      </c>
      <c r="AL31" s="22">
        <f t="shared" si="4"/>
        <v>239.20023509293392</v>
      </c>
      <c r="AM31" s="62">
        <f t="shared" si="5"/>
        <v>530.08912398182281</v>
      </c>
      <c r="AN31" s="62">
        <f ca="1">AVERAGE(OFFSET($AM$3,0,0,'Données projet'!$E$10+1,1))-AVERAGE(OFFSET($H$3,0,0,'Données projet'!$E$10+1,1))</f>
        <v>396.92963589781414</v>
      </c>
      <c r="AO31" s="62">
        <f t="shared" si="36"/>
        <v>294.38852181137639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81.432000000000002</v>
      </c>
      <c r="P32" s="14">
        <f t="shared" si="33"/>
        <v>22.486953220240881</v>
      </c>
      <c r="Q32" s="22">
        <f t="shared" si="2"/>
        <v>180.99217685858619</v>
      </c>
      <c r="R32" s="62">
        <f t="shared" si="0"/>
        <v>473.10328796969736</v>
      </c>
      <c r="S32" s="62">
        <f ca="1">AVERAGE(OFFSET($R$3,0,0,'Données projet'!$E$9+1,1))-AVERAGE(OFFSET($H$3,0,0,'Données projet'!$E$9+1,1))</f>
        <v>371.7282125501186</v>
      </c>
      <c r="T32" s="62">
        <f t="shared" si="34"/>
        <v>231.36959598460686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1.7074063046699108</v>
      </c>
      <c r="AC32" s="24">
        <f t="shared" si="3"/>
        <v>1.7074063046699108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240.7999999999999</v>
      </c>
      <c r="AJ32" s="14">
        <f>AI32*VLOOKUP('Données projet'!$B$10,Paramètres!$A$1:$I$89,3,0)*VLOOKUP('Données projet'!$B$10,Paramètres!$A$1:$I$89,5,0)</f>
        <v>112.69439999999994</v>
      </c>
      <c r="AK32" s="14">
        <f t="shared" si="35"/>
        <v>29.964909381330607</v>
      </c>
      <c r="AL32" s="22">
        <f t="shared" si="4"/>
        <v>248.46496383915073</v>
      </c>
      <c r="AM32" s="62">
        <f t="shared" si="5"/>
        <v>540.57607495026184</v>
      </c>
      <c r="AN32" s="62">
        <f ca="1">AVERAGE(OFFSET($AM$3,0,0,'Données projet'!$E$10+1,1))-AVERAGE(OFFSET($H$3,0,0,'Données projet'!$E$10+1,1))</f>
        <v>396.92963589781414</v>
      </c>
      <c r="AO32" s="62">
        <f t="shared" si="36"/>
        <v>294.38852181137639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87.765600000000006</v>
      </c>
      <c r="P33" s="14">
        <f t="shared" si="33"/>
        <v>24.025555589247954</v>
      </c>
      <c r="Q33" s="22">
        <f t="shared" si="2"/>
        <v>194.7029293179402</v>
      </c>
      <c r="R33" s="62">
        <f t="shared" si="0"/>
        <v>488.03626265127355</v>
      </c>
      <c r="S33" s="62">
        <f ca="1">AVERAGE(OFFSET($R$3,0,0,'Données projet'!$E$9+1,1))-AVERAGE(OFFSET($H$3,0,0,'Données projet'!$E$9+1,1))</f>
        <v>371.7282125501186</v>
      </c>
      <c r="T33" s="62">
        <f t="shared" si="34"/>
        <v>231.36959598460686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2.1500000000000002E-2</v>
      </c>
      <c r="X33" s="17">
        <f>IF(ISNA(VLOOKUP(A33,'Données projet'!$A$35:$I$55,6,0)),0%,VLOOKUP(A33,'Données projet'!$A$35:$I$55,6,0)*VLOOKUP('Données projet'!$B$9,Paramètres!$A$1:$I$89,7,0))</f>
        <v>0.1075</v>
      </c>
      <c r="Y33" s="17">
        <f>IF(ISNA(VLOOKUP(A33,'Données projet'!$A$35:$I$55,7,0)),0%,VLOOKUP(A33,'Données projet'!$A$35:$I$55,7,0))</f>
        <v>0.7</v>
      </c>
      <c r="Z33" s="23">
        <f>EXP(-LN(2)/35)*Z32+(1-EXP(-LN(2)/35))/(LN(2)/35)*V33*W33*VLOOKUP('Données projet'!$B$9,Paramètres!$A$1:$I$89,3,0)*0.475*44/12</f>
        <v>0.45160366412973807</v>
      </c>
      <c r="AA33" s="23">
        <f>EXP(-LN(2)/25)*AA32+(1-EXP(-LN(2)/25))/(LN(2)/25)*Calculateur!V33*Calculateur!X33*VLOOKUP('Données projet'!$B$9,Paramètres!$A$1:$I$89,3,0)*0.475*44/12</f>
        <v>2.2491276421478639</v>
      </c>
      <c r="AB33" s="23">
        <f>EXP(-LN(2)/2)*AB32+(1-EXP(-LN(2)/2))/(LN(2)/2)*V33*Y33*VLOOKUP('Données projet'!$B$9,Paramètres!$A$1:$I$89,3,0)*0.475*44/12</f>
        <v>13.756754915596598</v>
      </c>
      <c r="AC33" s="24">
        <f t="shared" si="3"/>
        <v>16.457486221874198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250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249.99999999999989</v>
      </c>
      <c r="AJ33" s="14">
        <f>AI33*VLOOKUP('Données projet'!$B$10,Paramètres!$A$1:$I$89,3,0)*VLOOKUP('Données projet'!$B$10,Paramètres!$A$1:$I$89,5,0)</f>
        <v>116.99999999999994</v>
      </c>
      <c r="AK33" s="14">
        <f t="shared" si="35"/>
        <v>30.974270896484118</v>
      </c>
      <c r="AL33" s="22">
        <f t="shared" si="4"/>
        <v>257.72185514470976</v>
      </c>
      <c r="AM33" s="62">
        <f t="shared" si="5"/>
        <v>551.05518847804308</v>
      </c>
      <c r="AN33" s="62">
        <f ca="1">AVERAGE(OFFSET($AM$3,0,0,'Données projet'!$E$10+1,1))-AVERAGE(OFFSET($H$3,0,0,'Données projet'!$E$10+1,1))</f>
        <v>396.92963589781414</v>
      </c>
      <c r="AO33" s="62">
        <f t="shared" si="36"/>
        <v>294.38852181137639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2">
        <f t="shared" si="0"/>
        <v>462.55410206940076</v>
      </c>
      <c r="S34" s="62">
        <f ca="1">AVERAGE(OFFSET($R$3,0,0,'Données projet'!$E$9+1,1))-AVERAGE(OFFSET($H$3,0,0,'Données projet'!$E$9+1,1))</f>
        <v>371.7282125501186</v>
      </c>
      <c r="T34" s="62">
        <f t="shared" si="34"/>
        <v>231.36959598460686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0.44274799172719048</v>
      </c>
      <c r="AA34" s="23">
        <f>EXP(-LN(2)/25)*AA33+(1-EXP(-LN(2)/25))/(LN(2)/25)*Calculateur!V34*Calculateur!X34*VLOOKUP('Données projet'!$B$9,Paramètres!$A$1:$I$89,3,0)*0.475*44/12</f>
        <v>2.1876251284968484</v>
      </c>
      <c r="AB34" s="23">
        <f>EXP(-LN(2)/2)*AB33+(1-EXP(-LN(2)/2))/(LN(2)/2)*V34*Y34*VLOOKUP('Données projet'!$B$9,Paramètres!$A$1:$I$89,3,0)*0.475*44/12</f>
        <v>9.7274946879397266</v>
      </c>
      <c r="AC34" s="24">
        <f t="shared" si="3"/>
        <v>12.357867808163766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</v>
      </c>
      <c r="AI34" s="14">
        <f>IF('Données projet'!$A$62&gt;35,AI33+AH34-AQ33,IF(A34&lt;'Données projet'!$A$62,$AF$205^A34,IF(A34='Données projet'!$A$62,'Données projet'!$B$62,AI33+AH34-AQ33)))</f>
        <v>259.99999999999989</v>
      </c>
      <c r="AJ34" s="14">
        <f>AI34*VLOOKUP('Données projet'!$B$10,Paramètres!$A$1:$I$89,3,0)*VLOOKUP('Données projet'!$B$10,Paramètres!$A$1:$I$89,5,0)</f>
        <v>121.67999999999994</v>
      </c>
      <c r="AK34" s="14">
        <f t="shared" si="35"/>
        <v>32.066514091456256</v>
      </c>
      <c r="AL34" s="22">
        <f t="shared" si="4"/>
        <v>267.77517870928619</v>
      </c>
      <c r="AM34" s="62">
        <f t="shared" si="5"/>
        <v>561.10851204261951</v>
      </c>
      <c r="AN34" s="62">
        <f ca="1">AVERAGE(OFFSET($AM$3,0,0,'Données projet'!$E$10+1,1))-AVERAGE(OFFSET($H$3,0,0,'Données projet'!$E$10+1,1))</f>
        <v>396.92963589781414</v>
      </c>
      <c r="AO34" s="62">
        <f t="shared" si="36"/>
        <v>294.38852181137639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2">
        <f t="shared" si="0"/>
        <v>478.24526587136597</v>
      </c>
      <c r="S35" s="62">
        <f ca="1">AVERAGE(OFFSET($R$3,0,0,'Données projet'!$E$9+1,1))-AVERAGE(OFFSET($H$3,0,0,'Données projet'!$E$9+1,1))</f>
        <v>371.7282125501186</v>
      </c>
      <c r="T35" s="62">
        <f t="shared" si="34"/>
        <v>231.36959598460686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0.43406597365903005</v>
      </c>
      <c r="AA35" s="23">
        <f>EXP(-LN(2)/25)*AA34+(1-EXP(-LN(2)/25))/(LN(2)/25)*Calculateur!V35*Calculateur!X35*VLOOKUP('Données projet'!$B$9,Paramètres!$A$1:$I$89,3,0)*0.475*44/12</f>
        <v>2.1278044043158966</v>
      </c>
      <c r="AB35" s="23">
        <f>EXP(-LN(2)/2)*AB34+(1-EXP(-LN(2)/2))/(LN(2)/2)*V35*Y35*VLOOKUP('Données projet'!$B$9,Paramètres!$A$1:$I$89,3,0)*0.475*44/12</f>
        <v>6.8783774577983001</v>
      </c>
      <c r="AC35" s="24">
        <f t="shared" si="3"/>
        <v>9.4402478357732278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</v>
      </c>
      <c r="AI35" s="14">
        <f>IF('Données projet'!$A$62&gt;35,AI34+AH35-AQ34,IF(A35&lt;'Données projet'!$A$62,$AF$205^A35,IF(A35='Données projet'!$A$62,'Données projet'!$B$62,AI34+AH35-AQ34)))</f>
        <v>269.99999999999989</v>
      </c>
      <c r="AJ35" s="14">
        <f>AI35*VLOOKUP('Données projet'!$B$10,Paramètres!$A$1:$I$89,3,0)*VLOOKUP('Données projet'!$B$10,Paramètres!$A$1:$I$89,5,0)</f>
        <v>126.35999999999996</v>
      </c>
      <c r="AK35" s="14">
        <f t="shared" si="35"/>
        <v>33.153877056327453</v>
      </c>
      <c r="AL35" s="22">
        <f t="shared" si="4"/>
        <v>277.82000253977026</v>
      </c>
      <c r="AM35" s="62">
        <f t="shared" si="5"/>
        <v>571.15333587310352</v>
      </c>
      <c r="AN35" s="62">
        <f ca="1">AVERAGE(OFFSET($AM$3,0,0,'Données projet'!$E$10+1,1))-AVERAGE(OFFSET($H$3,0,0,'Données projet'!$E$10+1,1))</f>
        <v>396.92963589781414</v>
      </c>
      <c r="AO35" s="62">
        <f t="shared" si="36"/>
        <v>294.38852181137639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2">
        <f t="shared" si="0"/>
        <v>493.9053274736159</v>
      </c>
      <c r="S36" s="62">
        <f ca="1">AVERAGE(OFFSET($R$3,0,0,'Données projet'!$E$9+1,1))-AVERAGE(OFFSET($H$3,0,0,'Données projet'!$E$9+1,1))</f>
        <v>371.7282125501186</v>
      </c>
      <c r="T36" s="62">
        <f t="shared" si="34"/>
        <v>231.36959598460686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0.42555420466967808</v>
      </c>
      <c r="AA36" s="23">
        <f>EXP(-LN(2)/25)*AA35+(1-EXP(-LN(2)/25))/(LN(2)/25)*Calculateur!V36*Calculateur!X36*VLOOKUP('Données projet'!$B$9,Paramètres!$A$1:$I$89,3,0)*0.475*44/12</f>
        <v>2.069619480983508</v>
      </c>
      <c r="AB36" s="23">
        <f>EXP(-LN(2)/2)*AB35+(1-EXP(-LN(2)/2))/(LN(2)/2)*V36*Y36*VLOOKUP('Données projet'!$B$9,Paramètres!$A$1:$I$89,3,0)*0.475*44/12</f>
        <v>4.8637473439698642</v>
      </c>
      <c r="AC36" s="24">
        <f t="shared" si="3"/>
        <v>7.3589210296230503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</v>
      </c>
      <c r="AI36" s="14">
        <f>IF('Données projet'!$A$62&gt;35,AI35+AH36-AQ35,IF(A36&lt;'Données projet'!$A$62,$AF$205^A36,IF(A36='Données projet'!$A$62,'Données projet'!$B$62,AI35+AH36-AQ35)))</f>
        <v>279.99999999999989</v>
      </c>
      <c r="AJ36" s="14">
        <f>AI36*VLOOKUP('Données projet'!$B$10,Paramètres!$A$1:$I$89,3,0)*VLOOKUP('Données projet'!$B$10,Paramètres!$A$1:$I$89,5,0)</f>
        <v>131.03999999999994</v>
      </c>
      <c r="AK36" s="14">
        <f t="shared" si="35"/>
        <v>34.236561238949889</v>
      </c>
      <c r="AL36" s="22">
        <f t="shared" si="4"/>
        <v>287.85667749117096</v>
      </c>
      <c r="AM36" s="62">
        <f t="shared" si="5"/>
        <v>581.19001082450427</v>
      </c>
      <c r="AN36" s="62">
        <f ca="1">AVERAGE(OFFSET($AM$3,0,0,'Données projet'!$E$10+1,1))-AVERAGE(OFFSET($H$3,0,0,'Données projet'!$E$10+1,1))</f>
        <v>396.92963589781414</v>
      </c>
      <c r="AO36" s="62">
        <f t="shared" si="36"/>
        <v>294.38852181137639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2">
        <f t="shared" si="0"/>
        <v>509.537057935093</v>
      </c>
      <c r="S37" s="62">
        <f ca="1">AVERAGE(OFFSET($R$3,0,0,'Données projet'!$E$9+1,1))-AVERAGE(OFFSET($H$3,0,0,'Données projet'!$E$9+1,1))</f>
        <v>371.7282125501186</v>
      </c>
      <c r="T37" s="62">
        <f t="shared" si="34"/>
        <v>231.36959598460686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0.41720934627854089</v>
      </c>
      <c r="AA37" s="23">
        <f>EXP(-LN(2)/25)*AA36+(1-EXP(-LN(2)/25))/(LN(2)/25)*Calculateur!V37*Calculateur!X37*VLOOKUP('Données projet'!$B$9,Paramètres!$A$1:$I$89,3,0)*0.475*44/12</f>
        <v>2.0130256274394558</v>
      </c>
      <c r="AB37" s="23">
        <f>EXP(-LN(2)/2)*AB36+(1-EXP(-LN(2)/2))/(LN(2)/2)*V37*Y37*VLOOKUP('Données projet'!$B$9,Paramètres!$A$1:$I$89,3,0)*0.475*44/12</f>
        <v>3.4391887288991505</v>
      </c>
      <c r="AC37" s="24">
        <f t="shared" si="3"/>
        <v>5.869423702617147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</v>
      </c>
      <c r="AI37" s="14">
        <f>IF('Données projet'!$A$62&gt;35,AI36+AH37-AQ36,IF(A37&lt;'Données projet'!$A$62,$AF$205^A37,IF(A37='Données projet'!$A$62,'Données projet'!$B$62,AI36+AH37-AQ36)))</f>
        <v>289.99999999999989</v>
      </c>
      <c r="AJ37" s="14">
        <f>AI37*VLOOKUP('Données projet'!$B$10,Paramètres!$A$1:$I$89,3,0)*VLOOKUP('Données projet'!$B$10,Paramètres!$A$1:$I$89,5,0)</f>
        <v>135.71999999999994</v>
      </c>
      <c r="AK37" s="14">
        <f t="shared" si="35"/>
        <v>35.314752882348131</v>
      </c>
      <c r="AL37" s="22">
        <f t="shared" si="4"/>
        <v>297.8855279367562</v>
      </c>
      <c r="AM37" s="62">
        <f t="shared" si="5"/>
        <v>591.21886127008952</v>
      </c>
      <c r="AN37" s="62">
        <f ca="1">AVERAGE(OFFSET($AM$3,0,0,'Données projet'!$E$10+1,1))-AVERAGE(OFFSET($H$3,0,0,'Données projet'!$E$10+1,1))</f>
        <v>396.92963589781414</v>
      </c>
      <c r="AO37" s="62">
        <f t="shared" si="36"/>
        <v>294.38852181137639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371.7282125501186</v>
      </c>
      <c r="T38" s="62">
        <f t="shared" si="34"/>
        <v>231.36959598460686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0.40902812547059286</v>
      </c>
      <c r="AA38" s="23">
        <f>EXP(-LN(2)/25)*AA37+(1-EXP(-LN(2)/25))/(LN(2)/25)*Calculateur!V38*Calculateur!X38*VLOOKUP('Données projet'!$B$9,Paramètres!$A$1:$I$89,3,0)*0.475*44/12</f>
        <v>1.957979335796707</v>
      </c>
      <c r="AB38" s="23">
        <f>EXP(-LN(2)/2)*AB37+(1-EXP(-LN(2)/2))/(LN(2)/2)*V38*Y38*VLOOKUP('Données projet'!$B$9,Paramètres!$A$1:$I$89,3,0)*0.475*44/12</f>
        <v>2.4318736719849321</v>
      </c>
      <c r="AC38" s="24">
        <f t="shared" si="3"/>
        <v>4.7988811332522321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10</v>
      </c>
      <c r="AI38" s="14">
        <f>IF('Données projet'!$A$62&gt;35,AI37+AH38-AQ37,IF(A38&lt;'Données projet'!$A$62,$AF$205^A38,IF(A38='Données projet'!$A$62,'Données projet'!$B$62,AI37+AH38-AQ37)))</f>
        <v>299.99999999999989</v>
      </c>
      <c r="AJ38" s="14">
        <f>AI38*VLOOKUP('Données projet'!$B$10,Paramètres!$A$1:$I$89,3,0)*VLOOKUP('Données projet'!$B$10,Paramètres!$A$1:$I$89,5,0)</f>
        <v>140.39999999999995</v>
      </c>
      <c r="AK38" s="14">
        <f t="shared" si="35"/>
        <v>36.388624656711166</v>
      </c>
      <c r="AL38" s="22">
        <f t="shared" si="4"/>
        <v>307.90685461043853</v>
      </c>
      <c r="AM38" s="62">
        <f t="shared" si="5"/>
        <v>601.24018794377184</v>
      </c>
      <c r="AN38" s="62">
        <f ca="1">AVERAGE(OFFSET($AM$3,0,0,'Données projet'!$E$10+1,1))-AVERAGE(OFFSET($H$3,0,0,'Données projet'!$E$10+1,1))</f>
        <v>396.92963589781414</v>
      </c>
      <c r="AO38" s="62">
        <f t="shared" si="36"/>
        <v>294.38852181137639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371.7282125501186</v>
      </c>
      <c r="T39" s="62">
        <f t="shared" si="34"/>
        <v>231.36959598460686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0.40100733341263672</v>
      </c>
      <c r="AA39" s="23">
        <f>EXP(-LN(2)/25)*AA38+(1-EXP(-LN(2)/25))/(LN(2)/25)*Calculateur!V39*Calculateur!X39*VLOOKUP('Données projet'!$B$9,Paramètres!$A$1:$I$89,3,0)*0.475*44/12</f>
        <v>1.9044382878936879</v>
      </c>
      <c r="AB39" s="23">
        <f>EXP(-LN(2)/2)*AB38+(1-EXP(-LN(2)/2))/(LN(2)/2)*V39*Y39*VLOOKUP('Données projet'!$B$9,Paramètres!$A$1:$I$89,3,0)*0.475*44/12</f>
        <v>1.7195943644495753</v>
      </c>
      <c r="AC39" s="24">
        <f t="shared" si="3"/>
        <v>4.0250399857558996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</v>
      </c>
      <c r="AI39" s="14">
        <f>IF('Données projet'!$A$62&gt;35,AI38+AH39-AQ38,IF(A39&lt;'Données projet'!$A$62,$AF$205^A39,IF(A39='Données projet'!$A$62,'Données projet'!$B$62,AI38+AH39-AQ38)))</f>
        <v>309.99999999999989</v>
      </c>
      <c r="AJ39" s="14">
        <f>AI39*VLOOKUP('Données projet'!$B$10,Paramètres!$A$1:$I$89,3,0)*VLOOKUP('Données projet'!$B$10,Paramètres!$A$1:$I$89,5,0)</f>
        <v>145.07999999999996</v>
      </c>
      <c r="AK39" s="14">
        <f t="shared" si="35"/>
        <v>37.458337067672986</v>
      </c>
      <c r="AL39" s="22">
        <f t="shared" si="4"/>
        <v>317.92093705953039</v>
      </c>
      <c r="AM39" s="62">
        <f t="shared" si="5"/>
        <v>611.25427039286365</v>
      </c>
      <c r="AN39" s="62">
        <f ca="1">AVERAGE(OFFSET($AM$3,0,0,'Données projet'!$E$10+1,1))-AVERAGE(OFFSET($H$3,0,0,'Données projet'!$E$10+1,1))</f>
        <v>396.92963589781414</v>
      </c>
      <c r="AO39" s="62">
        <f t="shared" si="36"/>
        <v>294.38852181137639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101.15664000000001</v>
      </c>
      <c r="P40" s="14">
        <f t="shared" si="33"/>
        <v>27.237366379381644</v>
      </c>
      <c r="Q40" s="22">
        <f t="shared" si="53"/>
        <v>223.61956111075639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371.7282125501186</v>
      </c>
      <c r="T40" s="62">
        <f t="shared" si="34"/>
        <v>231.36959598460686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0.39314382419473703</v>
      </c>
      <c r="AA40" s="23">
        <f>EXP(-LN(2)/25)*AA39+(1-EXP(-LN(2)/25))/(LN(2)/25)*Calculateur!V40*Calculateur!X40*VLOOKUP('Données projet'!$B$9,Paramètres!$A$1:$I$89,3,0)*0.475*44/12</f>
        <v>1.8523613227611782</v>
      </c>
      <c r="AB40" s="23">
        <f>EXP(-LN(2)/2)*AB39+(1-EXP(-LN(2)/2))/(LN(2)/2)*V40*Y40*VLOOKUP('Données projet'!$B$9,Paramètres!$A$1:$I$89,3,0)*0.475*44/12</f>
        <v>1.215936835992466</v>
      </c>
      <c r="AC40" s="24">
        <f t="shared" si="3"/>
        <v>3.4614419829483811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</v>
      </c>
      <c r="AI40" s="14">
        <f>IF('Données projet'!$A$62&gt;35,AI39+AH40-AQ39,IF(A40&lt;'Données projet'!$A$62,$AF$205^A40,IF(A40='Données projet'!$A$62,'Données projet'!$B$62,AI39+AH40-AQ39)))</f>
        <v>319.99999999999989</v>
      </c>
      <c r="AJ40" s="14">
        <f>AI40*VLOOKUP('Données projet'!$B$10,Paramètres!$A$1:$I$89,3,0)*VLOOKUP('Données projet'!$B$10,Paramètres!$A$1:$I$89,5,0)</f>
        <v>149.75999999999996</v>
      </c>
      <c r="AK40" s="14">
        <f t="shared" si="35"/>
        <v>38.524039677774766</v>
      </c>
      <c r="AL40" s="22">
        <f t="shared" si="4"/>
        <v>327.9280357721243</v>
      </c>
      <c r="AM40" s="62">
        <f t="shared" si="5"/>
        <v>621.26136910545756</v>
      </c>
      <c r="AN40" s="62">
        <f ca="1">AVERAGE(OFFSET($AM$3,0,0,'Données projet'!$E$10+1,1))-AVERAGE(OFFSET($H$3,0,0,'Données projet'!$E$10+1,1))</f>
        <v>396.92963589781414</v>
      </c>
      <c r="AO40" s="62">
        <f t="shared" si="36"/>
        <v>294.38852181137639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108.75696000000002</v>
      </c>
      <c r="P41" s="14">
        <f t="shared" si="33"/>
        <v>29.037921223305609</v>
      </c>
      <c r="Q41" s="22">
        <f t="shared" si="53"/>
        <v>239.99275146392395</v>
      </c>
      <c r="R41" s="62">
        <f t="shared" si="0"/>
        <v>533.32608479725729</v>
      </c>
      <c r="S41" s="62">
        <f ca="1">AVERAGE(OFFSET($R$3,0,0,'Données projet'!$E$9+1,1))-AVERAGE(OFFSET($H$3,0,0,'Données projet'!$E$9+1,1))</f>
        <v>371.7282125501186</v>
      </c>
      <c r="T41" s="62">
        <f t="shared" si="34"/>
        <v>231.36959598460686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0.38543451359633329</v>
      </c>
      <c r="AA41" s="23">
        <f>EXP(-LN(2)/25)*AA40+(1-EXP(-LN(2)/25))/(LN(2)/25)*Calculateur!V41*Calculateur!X41*VLOOKUP('Données projet'!$B$9,Paramètres!$A$1:$I$89,3,0)*0.475*44/12</f>
        <v>1.8017084049788255</v>
      </c>
      <c r="AB41" s="23">
        <f>EXP(-LN(2)/2)*AB40+(1-EXP(-LN(2)/2))/(LN(2)/2)*V41*Y41*VLOOKUP('Données projet'!$B$9,Paramètres!$A$1:$I$89,3,0)*0.475*44/12</f>
        <v>0.85979718222478763</v>
      </c>
      <c r="AC41" s="24">
        <f t="shared" si="3"/>
        <v>3.0469401007999464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</v>
      </c>
      <c r="AI41" s="14">
        <f>IF('Données projet'!$A$62&gt;35,AI40+AH41-AQ40,IF(A41&lt;'Données projet'!$A$62,$AF$205^A41,IF(A41='Données projet'!$A$62,'Données projet'!$B$62,AI40+AH41-AQ40)))</f>
        <v>329.99999999999989</v>
      </c>
      <c r="AJ41" s="14">
        <f>AI41*VLOOKUP('Données projet'!$B$10,Paramètres!$A$1:$I$89,3,0)*VLOOKUP('Données projet'!$B$10,Paramètres!$A$1:$I$89,5,0)</f>
        <v>154.43999999999994</v>
      </c>
      <c r="AK41" s="14">
        <f t="shared" si="35"/>
        <v>39.585872170955454</v>
      </c>
      <c r="AL41" s="22">
        <f t="shared" si="4"/>
        <v>337.92839403108059</v>
      </c>
      <c r="AM41" s="62">
        <f t="shared" si="5"/>
        <v>631.2617273644139</v>
      </c>
      <c r="AN41" s="62">
        <f ca="1">AVERAGE(OFFSET($AM$3,0,0,'Données projet'!$E$10+1,1))-AVERAGE(OFFSET($H$3,0,0,'Données projet'!$E$10+1,1))</f>
        <v>396.92963589781414</v>
      </c>
      <c r="AO41" s="62">
        <f t="shared" si="36"/>
        <v>294.38852181137639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116.35728000000002</v>
      </c>
      <c r="P42" s="14">
        <f t="shared" si="33"/>
        <v>30.823876427820704</v>
      </c>
      <c r="Q42" s="22">
        <f t="shared" si="53"/>
        <v>256.34051411178774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371.7282125501186</v>
      </c>
      <c r="T42" s="62">
        <f t="shared" si="34"/>
        <v>231.36959598460686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0.3778763778765491</v>
      </c>
      <c r="AA42" s="23">
        <f>EXP(-LN(2)/25)*AA41+(1-EXP(-LN(2)/25))/(LN(2)/25)*Calculateur!V42*Calculateur!X42*VLOOKUP('Données projet'!$B$9,Paramètres!$A$1:$I$89,3,0)*0.475*44/12</f>
        <v>1.7524405938969523</v>
      </c>
      <c r="AB42" s="23">
        <f>EXP(-LN(2)/2)*AB41+(1-EXP(-LN(2)/2))/(LN(2)/2)*V42*Y42*VLOOKUP('Données projet'!$B$9,Paramètres!$A$1:$I$89,3,0)*0.475*44/12</f>
        <v>0.60796841799623302</v>
      </c>
      <c r="AC42" s="24">
        <f t="shared" si="3"/>
        <v>2.7382853897697341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</v>
      </c>
      <c r="AI42" s="14">
        <f>IF('Données projet'!$A$62&gt;35,AI41+AH42-AQ41,IF(A42&lt;'Données projet'!$A$62,$AF$205^A42,IF(A42='Données projet'!$A$62,'Données projet'!$B$62,AI41+AH42-AQ41)))</f>
        <v>339.99999999999989</v>
      </c>
      <c r="AJ42" s="14">
        <f>AI42*VLOOKUP('Données projet'!$B$10,Paramètres!$A$1:$I$89,3,0)*VLOOKUP('Données projet'!$B$10,Paramètres!$A$1:$I$89,5,0)</f>
        <v>159.11999999999995</v>
      </c>
      <c r="AK42" s="14">
        <f t="shared" si="35"/>
        <v>40.643965284387697</v>
      </c>
      <c r="AL42" s="22">
        <f t="shared" si="4"/>
        <v>347.92223953697516</v>
      </c>
      <c r="AM42" s="62">
        <f t="shared" si="5"/>
        <v>641.25557287030847</v>
      </c>
      <c r="AN42" s="62">
        <f ca="1">AVERAGE(OFFSET($AM$3,0,0,'Données projet'!$E$10+1,1))-AVERAGE(OFFSET($H$3,0,0,'Données projet'!$E$10+1,1))</f>
        <v>396.92963589781414</v>
      </c>
      <c r="AO42" s="62">
        <f t="shared" si="36"/>
        <v>294.38852181137639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123.95760000000001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371.7282125501186</v>
      </c>
      <c r="T43" s="62">
        <f t="shared" si="34"/>
        <v>231.36959598460686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0.37046645258822231</v>
      </c>
      <c r="AA43" s="23">
        <f>EXP(-LN(2)/25)*AA42+(1-EXP(-LN(2)/25))/(LN(2)/25)*Calculateur!V43*Calculateur!X43*VLOOKUP('Données projet'!$B$9,Paramètres!$A$1:$I$89,3,0)*0.475*44/12</f>
        <v>1.7045200136999945</v>
      </c>
      <c r="AB43" s="23">
        <f>EXP(-LN(2)/2)*AB42+(1-EXP(-LN(2)/2))/(LN(2)/2)*V43*Y43*VLOOKUP('Données projet'!$B$9,Paramètres!$A$1:$I$89,3,0)*0.475*44/12</f>
        <v>0.42989859111239381</v>
      </c>
      <c r="AC43" s="24">
        <f t="shared" si="3"/>
        <v>2.5048850574006107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350</v>
      </c>
      <c r="AG43" s="13">
        <f>VLOOKUP(A43,'Données projet'!$A$61:$I$81,9,0)</f>
        <v>10</v>
      </c>
      <c r="AH43" s="13">
        <f t="array" ref="AH43">INDEX(AG:AG,MIN(IF(ISNUMBER(AG43:AG239),ROW(AG43:AG239),"")))</f>
        <v>10</v>
      </c>
      <c r="AI43" s="14">
        <f>IF('Données projet'!$A$62&gt;35,AI42+AH43-AQ42,IF(A43&lt;'Données projet'!$A$62,$AF$205^A43,IF(A43='Données projet'!$A$62,'Données projet'!$B$62,AI42+AH43-AQ42)))</f>
        <v>349.99999999999989</v>
      </c>
      <c r="AJ43" s="14">
        <f>AI43*VLOOKUP('Données projet'!$B$10,Paramètres!$A$1:$I$89,3,0)*VLOOKUP('Données projet'!$B$10,Paramètres!$A$1:$I$89,5,0)</f>
        <v>163.79999999999995</v>
      </c>
      <c r="AK43" s="14">
        <f t="shared" si="35"/>
        <v>41.698441627605291</v>
      </c>
      <c r="AL43" s="22">
        <f t="shared" si="4"/>
        <v>357.90978583474572</v>
      </c>
      <c r="AM43" s="62">
        <f t="shared" si="5"/>
        <v>651.24311916807903</v>
      </c>
      <c r="AN43" s="62">
        <f ca="1">AVERAGE(OFFSET($AM$3,0,0,'Données projet'!$E$10+1,1))-AVERAGE(OFFSET($H$3,0,0,'Données projet'!$E$10+1,1))</f>
        <v>396.92963589781414</v>
      </c>
      <c r="AO43" s="62">
        <f t="shared" si="36"/>
        <v>294.38852181137639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88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371.7282125501186</v>
      </c>
      <c r="T44" s="62">
        <f t="shared" si="34"/>
        <v>231.36959598460686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0.36320183141519141</v>
      </c>
      <c r="AA44" s="23">
        <f>EXP(-LN(2)/25)*AA43+(1-EXP(-LN(2)/25))/(LN(2)/25)*Calculateur!V44*Calculateur!X44*VLOOKUP('Données projet'!$B$9,Paramètres!$A$1:$I$89,3,0)*0.475*44/12</f>
        <v>1.6579098242885564</v>
      </c>
      <c r="AB44" s="23">
        <f>EXP(-LN(2)/2)*AB43+(1-EXP(-LN(2)/2))/(LN(2)/2)*V44*Y44*VLOOKUP('Données projet'!$B$9,Paramètres!$A$1:$I$89,3,0)*0.475*44/12</f>
        <v>0.30398420899811651</v>
      </c>
      <c r="AC44" s="24">
        <f t="shared" si="3"/>
        <v>2.325095864701864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11.5</v>
      </c>
      <c r="AI44" s="14">
        <f>IF('Données projet'!$A$62&gt;35,AI43+AH44-AQ43,IF(A44&lt;'Données projet'!$A$62,$AF$205^A44,IF(A44='Données projet'!$A$62,'Données projet'!$B$62,AI43+AH44-AQ43)))</f>
        <v>273.49999999999989</v>
      </c>
      <c r="AJ44" s="14">
        <f>AI44*VLOOKUP('Données projet'!$B$10,Paramètres!$A$1:$I$89,3,0)*VLOOKUP('Données projet'!$B$10,Paramètres!$A$1:$I$89,5,0)</f>
        <v>127.99799999999995</v>
      </c>
      <c r="AK44" s="14">
        <f t="shared" si="35"/>
        <v>33.533338894635314</v>
      </c>
      <c r="AL44" s="22">
        <f t="shared" si="4"/>
        <v>281.33374857482306</v>
      </c>
      <c r="AM44" s="62">
        <f t="shared" si="5"/>
        <v>574.66708190815643</v>
      </c>
      <c r="AN44" s="62">
        <f ca="1">AVERAGE(OFFSET($AM$3,0,0,'Données projet'!$E$10+1,1))-AVERAGE(OFFSET($H$3,0,0,'Données projet'!$E$10+1,1))</f>
        <v>396.92963589781414</v>
      </c>
      <c r="AO44" s="62">
        <f t="shared" si="36"/>
        <v>294.38852181137639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2">
        <f t="shared" si="0"/>
        <v>557.83878140250954</v>
      </c>
      <c r="S45" s="62">
        <f ca="1">AVERAGE(OFFSET($R$3,0,0,'Données projet'!$E$9+1,1))-AVERAGE(OFFSET($H$3,0,0,'Données projet'!$E$9+1,1))</f>
        <v>371.7282125501186</v>
      </c>
      <c r="T45" s="62">
        <f t="shared" si="34"/>
        <v>231.36959598460686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0.35607966503238225</v>
      </c>
      <c r="AA45" s="23">
        <f>EXP(-LN(2)/25)*AA44+(1-EXP(-LN(2)/25))/(LN(2)/25)*Calculateur!V45*Calculateur!X45*VLOOKUP('Données projet'!$B$9,Paramètres!$A$1:$I$89,3,0)*0.475*44/12</f>
        <v>1.6125741929576973</v>
      </c>
      <c r="AB45" s="23">
        <f>EXP(-LN(2)/2)*AB44+(1-EXP(-LN(2)/2))/(LN(2)/2)*V45*Y45*VLOOKUP('Données projet'!$B$9,Paramètres!$A$1:$I$89,3,0)*0.475*44/12</f>
        <v>0.21494929555619691</v>
      </c>
      <c r="AC45" s="24">
        <f t="shared" si="3"/>
        <v>2.1836031535462768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11.5</v>
      </c>
      <c r="AI45" s="14">
        <f>IF('Données projet'!$A$62&gt;35,AI44+AH45-AQ44,IF(A45&lt;'Données projet'!$A$62,$AF$205^A45,IF(A45='Données projet'!$A$62,'Données projet'!$B$62,AI44+AH45-AQ44)))</f>
        <v>284.99999999999989</v>
      </c>
      <c r="AJ45" s="14">
        <f>AI45*VLOOKUP('Données projet'!$B$10,Paramètres!$A$1:$I$89,3,0)*VLOOKUP('Données projet'!$B$10,Paramètres!$A$1:$I$89,5,0)</f>
        <v>133.37999999999994</v>
      </c>
      <c r="AK45" s="14">
        <f t="shared" si="35"/>
        <v>34.776207535548991</v>
      </c>
      <c r="AL45" s="22">
        <f t="shared" si="4"/>
        <v>292.87206145774769</v>
      </c>
      <c r="AM45" s="62">
        <f t="shared" si="5"/>
        <v>586.20539479108106</v>
      </c>
      <c r="AN45" s="62">
        <f ca="1">AVERAGE(OFFSET($AM$3,0,0,'Données projet'!$E$10+1,1))-AVERAGE(OFFSET($H$3,0,0,'Données projet'!$E$10+1,1))</f>
        <v>396.92963589781414</v>
      </c>
      <c r="AO45" s="62">
        <f t="shared" si="36"/>
        <v>294.38852181137639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371.7282125501186</v>
      </c>
      <c r="T46" s="62">
        <f t="shared" si="34"/>
        <v>231.36959598460686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0.34909715998824747</v>
      </c>
      <c r="AA46" s="23">
        <f>EXP(-LN(2)/25)*AA45+(1-EXP(-LN(2)/25))/(LN(2)/25)*Calculateur!V46*Calculateur!X46*VLOOKUP('Données projet'!$B$9,Paramètres!$A$1:$I$89,3,0)*0.475*44/12</f>
        <v>1.5684782668496779</v>
      </c>
      <c r="AB46" s="23">
        <f>EXP(-LN(2)/2)*AB45+(1-EXP(-LN(2)/2))/(LN(2)/2)*V46*Y46*VLOOKUP('Données projet'!$B$9,Paramètres!$A$1:$I$89,3,0)*0.475*44/12</f>
        <v>0.15199210449905826</v>
      </c>
      <c r="AC46" s="24">
        <f t="shared" si="3"/>
        <v>2.0695675313369839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11.5</v>
      </c>
      <c r="AI46" s="14">
        <f>IF('Données projet'!$A$62&gt;35,AI45+AH46-AQ45,IF(A46&lt;'Données projet'!$A$62,$AF$205^A46,IF(A46='Données projet'!$A$62,'Données projet'!$B$62,AI45+AH46-AQ45)))</f>
        <v>296.49999999999989</v>
      </c>
      <c r="AJ46" s="14">
        <f>AI46*VLOOKUP('Données projet'!$B$10,Paramètres!$A$1:$I$89,3,0)*VLOOKUP('Données projet'!$B$10,Paramètres!$A$1:$I$89,5,0)</f>
        <v>138.76199999999994</v>
      </c>
      <c r="AK46" s="14">
        <f t="shared" si="35"/>
        <v>36.01325063671441</v>
      </c>
      <c r="AL46" s="22">
        <f t="shared" si="4"/>
        <v>304.4002281922775</v>
      </c>
      <c r="AM46" s="62">
        <f t="shared" si="5"/>
        <v>597.73356152561087</v>
      </c>
      <c r="AN46" s="62">
        <f ca="1">AVERAGE(OFFSET($AM$3,0,0,'Données projet'!$E$10+1,1))-AVERAGE(OFFSET($H$3,0,0,'Données projet'!$E$10+1,1))</f>
        <v>396.92963589781414</v>
      </c>
      <c r="AO46" s="62">
        <f t="shared" si="36"/>
        <v>294.38852181137639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371.7282125501186</v>
      </c>
      <c r="T47" s="62">
        <f t="shared" si="34"/>
        <v>231.36959598460686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0.34225157760912062</v>
      </c>
      <c r="AA47" s="23">
        <f>EXP(-LN(2)/25)*AA46+(1-EXP(-LN(2)/25))/(LN(2)/25)*Calculateur!V47*Calculateur!X47*VLOOKUP('Données projet'!$B$9,Paramètres!$A$1:$I$89,3,0)*0.475*44/12</f>
        <v>1.5255881461599863</v>
      </c>
      <c r="AB47" s="23">
        <f>EXP(-LN(2)/2)*AB46+(1-EXP(-LN(2)/2))/(LN(2)/2)*V47*Y47*VLOOKUP('Données projet'!$B$9,Paramètres!$A$1:$I$89,3,0)*0.475*44/12</f>
        <v>0.10747464777809845</v>
      </c>
      <c r="AC47" s="24">
        <f t="shared" si="3"/>
        <v>1.9753143715472055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11.5</v>
      </c>
      <c r="AI47" s="14">
        <f>IF('Données projet'!$A$62&gt;35,AI46+AH47-AQ46,IF(A47&lt;'Données projet'!$A$62,$AF$205^A47,IF(A47='Données projet'!$A$62,'Données projet'!$B$62,AI46+AH47-AQ46)))</f>
        <v>307.99999999999989</v>
      </c>
      <c r="AJ47" s="14">
        <f>AI47*VLOOKUP('Données projet'!$B$10,Paramètres!$A$1:$I$89,3,0)*VLOOKUP('Données projet'!$B$10,Paramètres!$A$1:$I$89,5,0)</f>
        <v>144.14399999999995</v>
      </c>
      <c r="AK47" s="14">
        <f t="shared" si="35"/>
        <v>37.244720006976216</v>
      </c>
      <c r="AL47" s="22">
        <f t="shared" si="4"/>
        <v>315.91868734548348</v>
      </c>
      <c r="AM47" s="62">
        <f t="shared" si="5"/>
        <v>609.25202067881673</v>
      </c>
      <c r="AN47" s="62">
        <f ca="1">AVERAGE(OFFSET($AM$3,0,0,'Données projet'!$E$10+1,1))-AVERAGE(OFFSET($H$3,0,0,'Données projet'!$E$10+1,1))</f>
        <v>396.92963589781414</v>
      </c>
      <c r="AO47" s="62">
        <f t="shared" si="36"/>
        <v>294.38852181137639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371.7282125501186</v>
      </c>
      <c r="T48" s="62">
        <f t="shared" si="34"/>
        <v>231.36959598460686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0.33554023292505547</v>
      </c>
      <c r="AA48" s="23">
        <f>EXP(-LN(2)/25)*AA47+(1-EXP(-LN(2)/25))/(LN(2)/25)*Calculateur!V48*Calculateur!X48*VLOOKUP('Données projet'!$B$9,Paramètres!$A$1:$I$89,3,0)*0.475*44/12</f>
        <v>1.4838708580760476</v>
      </c>
      <c r="AB48" s="23">
        <f>EXP(-LN(2)/2)*AB47+(1-EXP(-LN(2)/2))/(LN(2)/2)*V48*Y48*VLOOKUP('Données projet'!$B$9,Paramètres!$A$1:$I$89,3,0)*0.475*44/12</f>
        <v>7.5996052249529128E-2</v>
      </c>
      <c r="AC48" s="24">
        <f t="shared" si="3"/>
        <v>1.8954071432506321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11.5</v>
      </c>
      <c r="AI48" s="14">
        <f>IF('Données projet'!$A$62&gt;35,AI47+AH48-AQ47,IF(A48&lt;'Données projet'!$A$62,$AF$205^A48,IF(A48='Données projet'!$A$62,'Données projet'!$B$62,AI47+AH48-AQ47)))</f>
        <v>319.49999999999989</v>
      </c>
      <c r="AJ48" s="14">
        <f>AI48*VLOOKUP('Données projet'!$B$10,Paramètres!$A$1:$I$89,3,0)*VLOOKUP('Données projet'!$B$10,Paramètres!$A$1:$I$89,5,0)</f>
        <v>149.52599999999995</v>
      </c>
      <c r="AK48" s="14">
        <f t="shared" si="35"/>
        <v>38.470847585964201</v>
      </c>
      <c r="AL48" s="22">
        <f t="shared" si="4"/>
        <v>327.42784287888759</v>
      </c>
      <c r="AM48" s="62">
        <f t="shared" si="5"/>
        <v>620.7611762122209</v>
      </c>
      <c r="AN48" s="62">
        <f ca="1">AVERAGE(OFFSET($AM$3,0,0,'Données projet'!$E$10+1,1))-AVERAGE(OFFSET($H$3,0,0,'Données projet'!$E$10+1,1))</f>
        <v>396.92963589781414</v>
      </c>
      <c r="AO48" s="62">
        <f t="shared" si="36"/>
        <v>294.38852181137639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131.37696000000003</v>
      </c>
      <c r="P49" s="14">
        <f t="shared" si="33"/>
        <v>34.314338988223334</v>
      </c>
      <c r="Q49" s="22">
        <f t="shared" si="53"/>
        <v>288.57901240448905</v>
      </c>
      <c r="R49" s="62">
        <f t="shared" si="0"/>
        <v>581.91234573782231</v>
      </c>
      <c r="S49" s="62">
        <f ca="1">AVERAGE(OFFSET($R$3,0,0,'Données projet'!$E$9+1,1))-AVERAGE(OFFSET($H$3,0,0,'Données projet'!$E$9+1,1))</f>
        <v>371.7282125501186</v>
      </c>
      <c r="T49" s="62">
        <f t="shared" si="34"/>
        <v>231.36959598460686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0.3289604936167288</v>
      </c>
      <c r="AA49" s="23">
        <f>EXP(-LN(2)/25)*AA48+(1-EXP(-LN(2)/25))/(LN(2)/25)*Calculateur!V49*Calculateur!X49*VLOOKUP('Données projet'!$B$9,Paramètres!$A$1:$I$89,3,0)*0.475*44/12</f>
        <v>1.4432943314285811</v>
      </c>
      <c r="AB49" s="23">
        <f>EXP(-LN(2)/2)*AB48+(1-EXP(-LN(2)/2))/(LN(2)/2)*V49*Y49*VLOOKUP('Données projet'!$B$9,Paramètres!$A$1:$I$89,3,0)*0.475*44/12</f>
        <v>5.3737323889049227E-2</v>
      </c>
      <c r="AC49" s="24">
        <f t="shared" si="3"/>
        <v>1.8259921489343591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11.5</v>
      </c>
      <c r="AI49" s="14">
        <f>IF('Données projet'!$A$62&gt;35,AI48+AH49-AQ48,IF(A49&lt;'Données projet'!$A$62,$AF$205^A49,IF(A49='Données projet'!$A$62,'Données projet'!$B$62,AI48+AH49-AQ48)))</f>
        <v>330.99999999999989</v>
      </c>
      <c r="AJ49" s="14">
        <f>AI49*VLOOKUP('Données projet'!$B$10,Paramètres!$A$1:$I$89,3,0)*VLOOKUP('Données projet'!$B$10,Paramètres!$A$1:$I$89,5,0)</f>
        <v>154.90799999999996</v>
      </c>
      <c r="AK49" s="14">
        <f t="shared" si="35"/>
        <v>39.691847670151873</v>
      </c>
      <c r="AL49" s="22">
        <f t="shared" si="4"/>
        <v>338.92806802551439</v>
      </c>
      <c r="AM49" s="62">
        <f t="shared" si="5"/>
        <v>632.26140135884771</v>
      </c>
      <c r="AN49" s="62">
        <f ca="1">AVERAGE(OFFSET($AM$3,0,0,'Données projet'!$E$10+1,1))-AVERAGE(OFFSET($H$3,0,0,'Données projet'!$E$10+1,1))</f>
        <v>396.92963589781414</v>
      </c>
      <c r="AO49" s="62">
        <f t="shared" si="36"/>
        <v>294.38852181137639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138.79632000000001</v>
      </c>
      <c r="P50" s="14">
        <f t="shared" si="33"/>
        <v>36.021120886354588</v>
      </c>
      <c r="Q50" s="22">
        <f t="shared" si="53"/>
        <v>304.47370954373423</v>
      </c>
      <c r="R50" s="62">
        <f t="shared" si="0"/>
        <v>597.80704287706749</v>
      </c>
      <c r="S50" s="62">
        <f ca="1">AVERAGE(OFFSET($R$3,0,0,'Données projet'!$E$9+1,1))-AVERAGE(OFFSET($H$3,0,0,'Données projet'!$E$9+1,1))</f>
        <v>371.7282125501186</v>
      </c>
      <c r="T50" s="62">
        <f t="shared" si="34"/>
        <v>231.36959598460686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0.32250977898299371</v>
      </c>
      <c r="AA50" s="23">
        <f>EXP(-LN(2)/25)*AA49+(1-EXP(-LN(2)/25))/(LN(2)/25)*Calculateur!V50*Calculateur!X50*VLOOKUP('Données projet'!$B$9,Paramètres!$A$1:$I$89,3,0)*0.475*44/12</f>
        <v>1.4038273720361163</v>
      </c>
      <c r="AB50" s="23">
        <f>EXP(-LN(2)/2)*AB49+(1-EXP(-LN(2)/2))/(LN(2)/2)*V50*Y50*VLOOKUP('Données projet'!$B$9,Paramètres!$A$1:$I$89,3,0)*0.475*44/12</f>
        <v>3.7998026124764564E-2</v>
      </c>
      <c r="AC50" s="24">
        <f t="shared" si="3"/>
        <v>1.7643351771438747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11.5</v>
      </c>
      <c r="AI50" s="14">
        <f>IF('Données projet'!$A$62&gt;35,AI49+AH50-AQ49,IF(A50&lt;'Données projet'!$A$62,$AF$205^A50,IF(A50='Données projet'!$A$62,'Données projet'!$B$62,AI49+AH50-AQ49)))</f>
        <v>342.49999999999989</v>
      </c>
      <c r="AJ50" s="14">
        <f>AI50*VLOOKUP('Données projet'!$B$10,Paramètres!$A$1:$I$89,3,0)*VLOOKUP('Données projet'!$B$10,Paramètres!$A$1:$I$89,5,0)</f>
        <v>160.28999999999994</v>
      </c>
      <c r="AK50" s="14">
        <f t="shared" si="35"/>
        <v>40.907918820862015</v>
      </c>
      <c r="AL50" s="22">
        <f t="shared" si="4"/>
        <v>350.41970861300121</v>
      </c>
      <c r="AM50" s="62">
        <f t="shared" si="5"/>
        <v>643.75304194633452</v>
      </c>
      <c r="AN50" s="62">
        <f ca="1">AVERAGE(OFFSET($AM$3,0,0,'Données projet'!$E$10+1,1))-AVERAGE(OFFSET($H$3,0,0,'Données projet'!$E$10+1,1))</f>
        <v>396.92963589781414</v>
      </c>
      <c r="AO50" s="62">
        <f t="shared" si="36"/>
        <v>294.38852181137639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146.21568000000002</v>
      </c>
      <c r="P51" s="14">
        <f t="shared" si="33"/>
        <v>37.717310552893402</v>
      </c>
      <c r="Q51" s="22">
        <f t="shared" si="53"/>
        <v>320.34995854628937</v>
      </c>
      <c r="R51" s="62">
        <f t="shared" si="0"/>
        <v>613.68329187962263</v>
      </c>
      <c r="S51" s="62">
        <f ca="1">AVERAGE(OFFSET($R$3,0,0,'Données projet'!$E$9+1,1))-AVERAGE(OFFSET($H$3,0,0,'Données projet'!$E$9+1,1))</f>
        <v>371.7282125501186</v>
      </c>
      <c r="T51" s="62">
        <f t="shared" si="34"/>
        <v>231.36959598460686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0.31618555892867872</v>
      </c>
      <c r="AA51" s="23">
        <f>EXP(-LN(2)/25)*AA50+(1-EXP(-LN(2)/25))/(LN(2)/25)*Calculateur!V51*Calculateur!X51*VLOOKUP('Données projet'!$B$9,Paramètres!$A$1:$I$89,3,0)*0.475*44/12</f>
        <v>1.3654396387237158</v>
      </c>
      <c r="AB51" s="23">
        <f>EXP(-LN(2)/2)*AB50+(1-EXP(-LN(2)/2))/(LN(2)/2)*V51*Y51*VLOOKUP('Données projet'!$B$9,Paramètres!$A$1:$I$89,3,0)*0.475*44/12</f>
        <v>2.6868661944524613E-2</v>
      </c>
      <c r="AC51" s="24">
        <f t="shared" si="3"/>
        <v>1.708493859596919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11.5</v>
      </c>
      <c r="AI51" s="14">
        <f>IF('Données projet'!$A$62&gt;35,AI50+AH51-AQ50,IF(A51&lt;'Données projet'!$A$62,$AF$205^A51,IF(A51='Données projet'!$A$62,'Données projet'!$B$62,AI50+AH51-AQ50)))</f>
        <v>353.99999999999989</v>
      </c>
      <c r="AJ51" s="14">
        <f>AI51*VLOOKUP('Données projet'!$B$10,Paramètres!$A$1:$I$89,3,0)*VLOOKUP('Données projet'!$B$10,Paramètres!$A$1:$I$89,5,0)</f>
        <v>165.67199999999994</v>
      </c>
      <c r="AK51" s="14">
        <f t="shared" si="35"/>
        <v>42.119245508815517</v>
      </c>
      <c r="AL51" s="22">
        <f t="shared" si="4"/>
        <v>361.90308592785351</v>
      </c>
      <c r="AM51" s="62">
        <f t="shared" si="5"/>
        <v>655.23641926118682</v>
      </c>
      <c r="AN51" s="62">
        <f ca="1">AVERAGE(OFFSET($AM$3,0,0,'Données projet'!$E$10+1,1))-AVERAGE(OFFSET($H$3,0,0,'Données projet'!$E$10+1,1))</f>
        <v>396.92963589781414</v>
      </c>
      <c r="AO51" s="62">
        <f t="shared" si="36"/>
        <v>294.38852181137639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153.63504</v>
      </c>
      <c r="P52" s="14">
        <f t="shared" si="33"/>
        <v>39.403506785222667</v>
      </c>
      <c r="Q52" s="22">
        <f t="shared" si="53"/>
        <v>336.20880231759617</v>
      </c>
      <c r="R52" s="62">
        <f t="shared" si="0"/>
        <v>629.54213565092948</v>
      </c>
      <c r="S52" s="62">
        <f ca="1">AVERAGE(OFFSET($R$3,0,0,'Données projet'!$E$9+1,1))-AVERAGE(OFFSET($H$3,0,0,'Données projet'!$E$9+1,1))</f>
        <v>371.7282125501186</v>
      </c>
      <c r="T52" s="62">
        <f t="shared" si="34"/>
        <v>231.36959598460686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0.30998535297223551</v>
      </c>
      <c r="AA52" s="23">
        <f>EXP(-LN(2)/25)*AA51+(1-EXP(-LN(2)/25))/(LN(2)/25)*Calculateur!V52*Calculateur!X52*VLOOKUP('Données projet'!$B$9,Paramètres!$A$1:$I$89,3,0)*0.475*44/12</f>
        <v>1.328101619997466</v>
      </c>
      <c r="AB52" s="23">
        <f>EXP(-LN(2)/2)*AB51+(1-EXP(-LN(2)/2))/(LN(2)/2)*V52*Y52*VLOOKUP('Données projet'!$B$9,Paramètres!$A$1:$I$89,3,0)*0.475*44/12</f>
        <v>1.8999013062382282E-2</v>
      </c>
      <c r="AC52" s="24">
        <f t="shared" si="3"/>
        <v>1.6570859860320839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11.5</v>
      </c>
      <c r="AI52" s="14">
        <f>IF('Données projet'!$A$62&gt;35,AI51+AH52-AQ51,IF(A52&lt;'Données projet'!$A$62,$AF$205^A52,IF(A52='Données projet'!$A$62,'Données projet'!$B$62,AI51+AH52-AQ51)))</f>
        <v>365.49999999999989</v>
      </c>
      <c r="AJ52" s="14">
        <f>AI52*VLOOKUP('Données projet'!$B$10,Paramètres!$A$1:$I$89,3,0)*VLOOKUP('Données projet'!$B$10,Paramètres!$A$1:$I$89,5,0)</f>
        <v>171.05399999999995</v>
      </c>
      <c r="AK52" s="14">
        <f t="shared" si="35"/>
        <v>43.32599953897904</v>
      </c>
      <c r="AL52" s="22">
        <f t="shared" si="4"/>
        <v>373.37849919705508</v>
      </c>
      <c r="AM52" s="62">
        <f t="shared" si="5"/>
        <v>666.71183253038839</v>
      </c>
      <c r="AN52" s="62">
        <f ca="1">AVERAGE(OFFSET($AM$3,0,0,'Données projet'!$E$10+1,1))-AVERAGE(OFFSET($H$3,0,0,'Données projet'!$E$10+1,1))</f>
        <v>396.92963589781414</v>
      </c>
      <c r="AO52" s="62">
        <f t="shared" si="36"/>
        <v>294.38852181137639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161.05439999999999</v>
      </c>
      <c r="P53" s="14">
        <f t="shared" si="33"/>
        <v>41.080247278685491</v>
      </c>
      <c r="Q53" s="22">
        <f t="shared" si="53"/>
        <v>352.05117734371055</v>
      </c>
      <c r="R53" s="62">
        <f t="shared" si="0"/>
        <v>645.38451067704386</v>
      </c>
      <c r="S53" s="62">
        <f ca="1">AVERAGE(OFFSET($R$3,0,0,'Données projet'!$E$9+1,1))-AVERAGE(OFFSET($H$3,0,0,'Données projet'!$E$9+1,1))</f>
        <v>371.7282125501186</v>
      </c>
      <c r="T53" s="62">
        <f t="shared" si="34"/>
        <v>231.36959598460686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0.30390672927284595</v>
      </c>
      <c r="AA53" s="23">
        <f>EXP(-LN(2)/25)*AA52+(1-EXP(-LN(2)/25))/(LN(2)/25)*Calculateur!V53*Calculateur!X53*VLOOKUP('Données projet'!$B$9,Paramètres!$A$1:$I$89,3,0)*0.475*44/12</f>
        <v>1.2917846113568066</v>
      </c>
      <c r="AB53" s="23">
        <f>EXP(-LN(2)/2)*AB52+(1-EXP(-LN(2)/2))/(LN(2)/2)*V53*Y53*VLOOKUP('Données projet'!$B$9,Paramètres!$A$1:$I$89,3,0)*0.475*44/12</f>
        <v>1.3434330972262307E-2</v>
      </c>
      <c r="AC53" s="24">
        <f t="shared" si="3"/>
        <v>1.6091256716019147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377</v>
      </c>
      <c r="AG53" s="13">
        <f>VLOOKUP(A53,'Données projet'!$A$61:$I$81,9,0)</f>
        <v>11.5</v>
      </c>
      <c r="AH53" s="13">
        <f t="array" ref="AH53">INDEX(AG:AG,MIN(IF(ISNUMBER(AG53:AG249),ROW(AG53:AG249),"")))</f>
        <v>11.5</v>
      </c>
      <c r="AI53" s="14">
        <f>IF('Données projet'!$A$62&gt;35,AI52+AH53-AQ52,IF(A53&lt;'Données projet'!$A$62,$AF$205^A53,IF(A53='Données projet'!$A$62,'Données projet'!$B$62,AI52+AH53-AQ52)))</f>
        <v>376.99999999999989</v>
      </c>
      <c r="AJ53" s="14">
        <f>AI53*VLOOKUP('Données projet'!$B$10,Paramètres!$A$1:$I$89,3,0)*VLOOKUP('Données projet'!$B$10,Paramètres!$A$1:$I$89,5,0)</f>
        <v>176.43599999999992</v>
      </c>
      <c r="AK53" s="14">
        <f t="shared" si="35"/>
        <v>44.52834129105058</v>
      </c>
      <c r="AL53" s="22">
        <f t="shared" si="4"/>
        <v>384.84622774857962</v>
      </c>
      <c r="AM53" s="62">
        <f t="shared" si="5"/>
        <v>678.17956108191288</v>
      </c>
      <c r="AN53" s="62">
        <f ca="1">AVERAGE(OFFSET($AM$3,0,0,'Données projet'!$E$10+1,1))-AVERAGE(OFFSET($H$3,0,0,'Données projet'!$E$10+1,1))</f>
        <v>396.92963589781414</v>
      </c>
      <c r="AO53" s="62">
        <f t="shared" si="36"/>
        <v>294.38852181137639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2">
        <f t="shared" si="0"/>
        <v>620.26096644164511</v>
      </c>
      <c r="S54" s="62">
        <f ca="1">AVERAGE(OFFSET($R$3,0,0,'Données projet'!$E$9+1,1))-AVERAGE(OFFSET($H$3,0,0,'Données projet'!$E$9+1,1))</f>
        <v>371.7282125501186</v>
      </c>
      <c r="T54" s="62">
        <f t="shared" si="34"/>
        <v>231.36959598460686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0.29794730367660704</v>
      </c>
      <c r="AA54" s="23">
        <f>EXP(-LN(2)/25)*AA53+(1-EXP(-LN(2)/25))/(LN(2)/25)*Calculateur!V54*Calculateur!X54*VLOOKUP('Données projet'!$B$9,Paramètres!$A$1:$I$89,3,0)*0.475*44/12</f>
        <v>1.2564606932272544</v>
      </c>
      <c r="AB54" s="23">
        <f>EXP(-LN(2)/2)*AB53+(1-EXP(-LN(2)/2))/(LN(2)/2)*V54*Y54*VLOOKUP('Données projet'!$B$9,Paramètres!$A$1:$I$89,3,0)*0.475*44/12</f>
        <v>9.499506531191141E-3</v>
      </c>
      <c r="AC54" s="24">
        <f t="shared" si="3"/>
        <v>1.5639075034350527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13.5</v>
      </c>
      <c r="AI54" s="14">
        <f>IF('Données projet'!$A$62&gt;35,AI53+AH54-AQ53,IF(A54&lt;'Données projet'!$A$62,$AF$205^A54,IF(A54='Données projet'!$A$62,'Données projet'!$B$62,AI53+AH54-AQ53)))</f>
        <v>390.49999999999989</v>
      </c>
      <c r="AJ54" s="14">
        <f>AI54*VLOOKUP('Données projet'!$B$10,Paramètres!$A$1:$I$89,3,0)*VLOOKUP('Données projet'!$B$10,Paramètres!$A$1:$I$89,5,0)</f>
        <v>182.75399999999996</v>
      </c>
      <c r="AK54" s="14">
        <f t="shared" si="35"/>
        <v>45.934357911110212</v>
      </c>
      <c r="AL54" s="22">
        <f t="shared" si="4"/>
        <v>398.29889002851684</v>
      </c>
      <c r="AM54" s="62">
        <f t="shared" si="5"/>
        <v>691.63222336185015</v>
      </c>
      <c r="AN54" s="62">
        <f ca="1">AVERAGE(OFFSET($AM$3,0,0,'Données projet'!$E$10+1,1))-AVERAGE(OFFSET($H$3,0,0,'Données projet'!$E$10+1,1))</f>
        <v>396.92963589781414</v>
      </c>
      <c r="AO54" s="62">
        <f t="shared" si="36"/>
        <v>294.38852181137639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2">
        <f t="shared" si="0"/>
        <v>635.72643681712532</v>
      </c>
      <c r="S55" s="62">
        <f ca="1">AVERAGE(OFFSET($R$3,0,0,'Données projet'!$E$9+1,1))-AVERAGE(OFFSET($H$3,0,0,'Données projet'!$E$9+1,1))</f>
        <v>371.7282125501186</v>
      </c>
      <c r="T55" s="62">
        <f t="shared" si="34"/>
        <v>231.36959598460686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0.29210473878141968</v>
      </c>
      <c r="AA55" s="23">
        <f>EXP(-LN(2)/25)*AA54+(1-EXP(-LN(2)/25))/(LN(2)/25)*Calculateur!V55*Calculateur!X55*VLOOKUP('Données projet'!$B$9,Paramètres!$A$1:$I$89,3,0)*0.475*44/12</f>
        <v>1.2221027094965589</v>
      </c>
      <c r="AB55" s="23">
        <f>EXP(-LN(2)/2)*AB54+(1-EXP(-LN(2)/2))/(LN(2)/2)*V55*Y55*VLOOKUP('Données projet'!$B$9,Paramètres!$A$1:$I$89,3,0)*0.475*44/12</f>
        <v>6.7171654861311533E-3</v>
      </c>
      <c r="AC55" s="24">
        <f t="shared" si="3"/>
        <v>1.5209246137641097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13.5</v>
      </c>
      <c r="AI55" s="14">
        <f>IF('Données projet'!$A$62&gt;35,AI54+AH55-AQ54,IF(A55&lt;'Données projet'!$A$62,$AF$205^A55,IF(A55='Données projet'!$A$62,'Données projet'!$B$62,AI54+AH55-AQ54)))</f>
        <v>403.99999999999989</v>
      </c>
      <c r="AJ55" s="14">
        <f>AI55*VLOOKUP('Données projet'!$B$10,Paramètres!$A$1:$I$89,3,0)*VLOOKUP('Données projet'!$B$10,Paramètres!$A$1:$I$89,5,0)</f>
        <v>189.07199999999992</v>
      </c>
      <c r="AK55" s="14">
        <f t="shared" si="35"/>
        <v>47.33472679972779</v>
      </c>
      <c r="AL55" s="22">
        <f t="shared" si="4"/>
        <v>411.74171584285909</v>
      </c>
      <c r="AM55" s="62">
        <f t="shared" si="5"/>
        <v>705.07504917619235</v>
      </c>
      <c r="AN55" s="62">
        <f ca="1">AVERAGE(OFFSET($AM$3,0,0,'Données projet'!$E$10+1,1))-AVERAGE(OFFSET($H$3,0,0,'Données projet'!$E$10+1,1))</f>
        <v>396.92963589781414</v>
      </c>
      <c r="AO55" s="62">
        <f t="shared" si="36"/>
        <v>294.38852181137639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2">
        <f t="shared" si="0"/>
        <v>651.17655593527957</v>
      </c>
      <c r="S56" s="62">
        <f ca="1">AVERAGE(OFFSET($R$3,0,0,'Données projet'!$E$9+1,1))-AVERAGE(OFFSET($H$3,0,0,'Données projet'!$E$9+1,1))</f>
        <v>371.7282125501186</v>
      </c>
      <c r="T56" s="62">
        <f t="shared" si="34"/>
        <v>231.36959598460686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0.28637674302021426</v>
      </c>
      <c r="AA56" s="23">
        <f>EXP(-LN(2)/25)*AA55+(1-EXP(-LN(2)/25))/(LN(2)/25)*Calculateur!V56*Calculateur!X56*VLOOKUP('Données projet'!$B$9,Paramètres!$A$1:$I$89,3,0)*0.475*44/12</f>
        <v>1.1886842466377872</v>
      </c>
      <c r="AB56" s="23">
        <f>EXP(-LN(2)/2)*AB55+(1-EXP(-LN(2)/2))/(LN(2)/2)*V56*Y56*VLOOKUP('Données projet'!$B$9,Paramètres!$A$1:$I$89,3,0)*0.475*44/12</f>
        <v>4.7497532655955705E-3</v>
      </c>
      <c r="AC56" s="24">
        <f t="shared" si="3"/>
        <v>1.4798107429235969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13.5</v>
      </c>
      <c r="AI56" s="14">
        <f>IF('Données projet'!$A$62&gt;35,AI55+AH56-AQ55,IF(A56&lt;'Données projet'!$A$62,$AF$205^A56,IF(A56='Données projet'!$A$62,'Données projet'!$B$62,AI55+AH56-AQ55)))</f>
        <v>417.49999999999989</v>
      </c>
      <c r="AJ56" s="14">
        <f>AI56*VLOOKUP('Données projet'!$B$10,Paramètres!$A$1:$I$89,3,0)*VLOOKUP('Données projet'!$B$10,Paramètres!$A$1:$I$89,5,0)</f>
        <v>195.38999999999996</v>
      </c>
      <c r="AK56" s="14">
        <f t="shared" si="35"/>
        <v>48.729658318340213</v>
      </c>
      <c r="AL56" s="22">
        <f t="shared" si="4"/>
        <v>425.17507157110907</v>
      </c>
      <c r="AM56" s="62">
        <f t="shared" si="5"/>
        <v>718.50840490444239</v>
      </c>
      <c r="AN56" s="62">
        <f ca="1">AVERAGE(OFFSET($AM$3,0,0,'Données projet'!$E$10+1,1))-AVERAGE(OFFSET($H$3,0,0,'Données projet'!$E$10+1,1))</f>
        <v>396.92963589781414</v>
      </c>
      <c r="AO56" s="62">
        <f t="shared" si="36"/>
        <v>294.38852181137639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2">
        <f t="shared" si="0"/>
        <v>666.61207984061377</v>
      </c>
      <c r="S57" s="62">
        <f ca="1">AVERAGE(OFFSET($R$3,0,0,'Données projet'!$E$9+1,1))-AVERAGE(OFFSET($H$3,0,0,'Données projet'!$E$9+1,1))</f>
        <v>371.7282125501186</v>
      </c>
      <c r="T57" s="62">
        <f t="shared" si="34"/>
        <v>231.36959598460686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0.28076106976215365</v>
      </c>
      <c r="AA57" s="23">
        <f>EXP(-LN(2)/25)*AA56+(1-EXP(-LN(2)/25))/(LN(2)/25)*Calculateur!V57*Calculateur!X57*VLOOKUP('Données projet'!$B$9,Paramètres!$A$1:$I$89,3,0)*0.475*44/12</f>
        <v>1.1561796134032891</v>
      </c>
      <c r="AB57" s="23">
        <f>EXP(-LN(2)/2)*AB56+(1-EXP(-LN(2)/2))/(LN(2)/2)*V57*Y57*VLOOKUP('Données projet'!$B$9,Paramètres!$A$1:$I$89,3,0)*0.475*44/12</f>
        <v>3.3585827430655767E-3</v>
      </c>
      <c r="AC57" s="24">
        <f t="shared" si="3"/>
        <v>1.4402992659085083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13.5</v>
      </c>
      <c r="AI57" s="14">
        <f>IF('Données projet'!$A$62&gt;35,AI56+AH57-AQ56,IF(A57&lt;'Données projet'!$A$62,$AF$205^A57,IF(A57='Données projet'!$A$62,'Données projet'!$B$62,AI56+AH57-AQ56)))</f>
        <v>430.99999999999989</v>
      </c>
      <c r="AJ57" s="14">
        <f>AI57*VLOOKUP('Données projet'!$B$10,Paramètres!$A$1:$I$89,3,0)*VLOOKUP('Données projet'!$B$10,Paramètres!$A$1:$I$89,5,0)</f>
        <v>201.70799999999994</v>
      </c>
      <c r="AK57" s="14">
        <f t="shared" si="35"/>
        <v>50.119348451854243</v>
      </c>
      <c r="AL57" s="22">
        <f t="shared" si="4"/>
        <v>438.59929855364607</v>
      </c>
      <c r="AM57" s="62">
        <f t="shared" si="5"/>
        <v>731.93263188697938</v>
      </c>
      <c r="AN57" s="62">
        <f ca="1">AVERAGE(OFFSET($AM$3,0,0,'Données projet'!$E$10+1,1))-AVERAGE(OFFSET($H$3,0,0,'Données projet'!$E$10+1,1))</f>
        <v>396.92963589781414</v>
      </c>
      <c r="AO57" s="62">
        <f t="shared" si="36"/>
        <v>294.38852181137639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2">
        <f t="shared" si="0"/>
        <v>682.03369695342735</v>
      </c>
      <c r="S58" s="62">
        <f ca="1">AVERAGE(OFFSET($R$3,0,0,'Données projet'!$E$9+1,1))-AVERAGE(OFFSET($H$3,0,0,'Données projet'!$E$9+1,1))</f>
        <v>371.7282125501186</v>
      </c>
      <c r="T58" s="62">
        <f t="shared" si="34"/>
        <v>231.36959598460686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0.27525551643146112</v>
      </c>
      <c r="AA58" s="23">
        <f>EXP(-LN(2)/25)*AA57+(1-EXP(-LN(2)/25))/(LN(2)/25)*Calculateur!V58*Calculateur!X58*VLOOKUP('Données projet'!$B$9,Paramètres!$A$1:$I$89,3,0)*0.475*44/12</f>
        <v>1.1245638210739328</v>
      </c>
      <c r="AB58" s="23">
        <f>EXP(-LN(2)/2)*AB57+(1-EXP(-LN(2)/2))/(LN(2)/2)*V58*Y58*VLOOKUP('Données projet'!$B$9,Paramètres!$A$1:$I$89,3,0)*0.475*44/12</f>
        <v>2.3748766327977852E-3</v>
      </c>
      <c r="AC58" s="24">
        <f t="shared" si="3"/>
        <v>1.4021942141381918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13.5</v>
      </c>
      <c r="AI58" s="14">
        <f>IF('Données projet'!$A$62&gt;35,AI57+AH58-AQ57,IF(A58&lt;'Données projet'!$A$62,$AF$205^A58,IF(A58='Données projet'!$A$62,'Données projet'!$B$62,AI57+AH58-AQ57)))</f>
        <v>444.49999999999989</v>
      </c>
      <c r="AJ58" s="14">
        <f>AI58*VLOOKUP('Données projet'!$B$10,Paramètres!$A$1:$I$89,3,0)*VLOOKUP('Données projet'!$B$10,Paramètres!$A$1:$I$89,5,0)</f>
        <v>208.02599999999995</v>
      </c>
      <c r="AK58" s="14">
        <f t="shared" si="35"/>
        <v>51.503980210368603</v>
      </c>
      <c r="AL58" s="22">
        <f t="shared" si="4"/>
        <v>452.01471553305851</v>
      </c>
      <c r="AM58" s="62">
        <f t="shared" si="5"/>
        <v>745.34804886639176</v>
      </c>
      <c r="AN58" s="62">
        <f ca="1">AVERAGE(OFFSET($AM$3,0,0,'Données projet'!$E$10+1,1))-AVERAGE(OFFSET($H$3,0,0,'Données projet'!$E$10+1,1))</f>
        <v>396.92963589781414</v>
      </c>
      <c r="AO58" s="62">
        <f t="shared" si="36"/>
        <v>294.38852181137639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projet'!$B$9,Paramètres!$A$1:$I$89,3,0)*VLOOKUP('Données projet'!$B$9,Paramètres!$A$1:$I$89,5,0)</f>
        <v>166.12127999999998</v>
      </c>
      <c r="P59" s="14">
        <f t="shared" si="33"/>
        <v>42.220155874487318</v>
      </c>
      <c r="Q59" s="22">
        <f t="shared" si="53"/>
        <v>362.8613341480654</v>
      </c>
      <c r="R59" s="62">
        <f t="shared" si="0"/>
        <v>656.19466748139871</v>
      </c>
      <c r="S59" s="62">
        <f ca="1">AVERAGE(OFFSET($R$3,0,0,'Données projet'!$E$9+1,1))-AVERAGE(OFFSET($H$3,0,0,'Données projet'!$E$9+1,1))</f>
        <v>371.7282125501186</v>
      </c>
      <c r="T59" s="62">
        <f t="shared" si="34"/>
        <v>231.36959598460686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0.26985792364352751</v>
      </c>
      <c r="AA59" s="23">
        <f>EXP(-LN(2)/25)*AA58+(1-EXP(-LN(2)/25))/(LN(2)/25)*Calculateur!V59*Calculateur!X59*VLOOKUP('Données projet'!$B$9,Paramètres!$A$1:$I$89,3,0)*0.475*44/12</f>
        <v>1.0938125642484251</v>
      </c>
      <c r="AB59" s="23">
        <f>EXP(-LN(2)/2)*AB58+(1-EXP(-LN(2)/2))/(LN(2)/2)*V59*Y59*VLOOKUP('Données projet'!$B$9,Paramètres!$A$1:$I$89,3,0)*0.475*44/12</f>
        <v>1.6792913715327883E-3</v>
      </c>
      <c r="AC59" s="24">
        <f t="shared" si="3"/>
        <v>1.3653497792634854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13.5</v>
      </c>
      <c r="AI59" s="14">
        <f>IF('Données projet'!$A$62&gt;35,AI58+AH59-AQ58,IF(A59&lt;'Données projet'!$A$62,$AF$205^A59,IF(A59='Données projet'!$A$62,'Données projet'!$B$62,AI58+AH59-AQ58)))</f>
        <v>457.99999999999989</v>
      </c>
      <c r="AJ59" s="14">
        <f>AI59*VLOOKUP('Données projet'!$B$10,Paramètres!$A$1:$I$89,3,0)*VLOOKUP('Données projet'!$B$10,Paramètres!$A$1:$I$89,5,0)</f>
        <v>214.34399999999997</v>
      </c>
      <c r="AK59" s="14">
        <f t="shared" si="35"/>
        <v>52.883724855822585</v>
      </c>
      <c r="AL59" s="22">
        <f t="shared" si="4"/>
        <v>465.4216207905576</v>
      </c>
      <c r="AM59" s="62">
        <f t="shared" si="5"/>
        <v>758.75495412389091</v>
      </c>
      <c r="AN59" s="62">
        <f ca="1">AVERAGE(OFFSET($AM$3,0,0,'Données projet'!$E$10+1,1))-AVERAGE(OFFSET($H$3,0,0,'Données projet'!$E$10+1,1))</f>
        <v>396.92963589781414</v>
      </c>
      <c r="AO59" s="62">
        <f t="shared" si="36"/>
        <v>294.38852181137639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projet'!$B$9,Paramètres!$A$1:$I$89,3,0)*VLOOKUP('Données projet'!$B$9,Paramètres!$A$1:$I$89,5,0)</f>
        <v>172.99775999999997</v>
      </c>
      <c r="P60" s="14">
        <f t="shared" si="33"/>
        <v>43.760737531919609</v>
      </c>
      <c r="Q60" s="22">
        <f t="shared" si="53"/>
        <v>377.52104986809326</v>
      </c>
      <c r="R60" s="62">
        <f t="shared" si="0"/>
        <v>670.85438320142657</v>
      </c>
      <c r="S60" s="62">
        <f ca="1">AVERAGE(OFFSET($R$3,0,0,'Données projet'!$E$9+1,1))-AVERAGE(OFFSET($H$3,0,0,'Données projet'!$E$9+1,1))</f>
        <v>371.7282125501186</v>
      </c>
      <c r="T60" s="62">
        <f t="shared" si="34"/>
        <v>231.36959598460686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0.26456617435795876</v>
      </c>
      <c r="AA60" s="23">
        <f>EXP(-LN(2)/25)*AA59+(1-EXP(-LN(2)/25))/(LN(2)/25)*Calculateur!V60*Calculateur!X60*VLOOKUP('Données projet'!$B$9,Paramètres!$A$1:$I$89,3,0)*0.475*44/12</f>
        <v>1.0639022021579492</v>
      </c>
      <c r="AB60" s="23">
        <f>EXP(-LN(2)/2)*AB59+(1-EXP(-LN(2)/2))/(LN(2)/2)*V60*Y60*VLOOKUP('Données projet'!$B$9,Paramètres!$A$1:$I$89,3,0)*0.475*44/12</f>
        <v>1.1874383163988926E-3</v>
      </c>
      <c r="AC60" s="24">
        <f t="shared" si="3"/>
        <v>1.329655814832307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13.5</v>
      </c>
      <c r="AI60" s="14">
        <f>IF('Données projet'!$A$62&gt;35,AI59+AH60-AQ59,IF(A60&lt;'Données projet'!$A$62,$AF$205^A60,IF(A60='Données projet'!$A$62,'Données projet'!$B$62,AI59+AH60-AQ59)))</f>
        <v>471.49999999999989</v>
      </c>
      <c r="AJ60" s="14">
        <f>AI60*VLOOKUP('Données projet'!$B$10,Paramètres!$A$1:$I$89,3,0)*VLOOKUP('Données projet'!$B$10,Paramètres!$A$1:$I$89,5,0)</f>
        <v>220.66199999999995</v>
      </c>
      <c r="AK60" s="14">
        <f t="shared" si="35"/>
        <v>54.258742979954953</v>
      </c>
      <c r="AL60" s="22">
        <f t="shared" si="4"/>
        <v>478.82029402342147</v>
      </c>
      <c r="AM60" s="62">
        <f t="shared" si="5"/>
        <v>772.15362735675478</v>
      </c>
      <c r="AN60" s="62">
        <f ca="1">AVERAGE(OFFSET($AM$3,0,0,'Données projet'!$E$10+1,1))-AVERAGE(OFFSET($H$3,0,0,'Données projet'!$E$10+1,1))</f>
        <v>396.92963589781414</v>
      </c>
      <c r="AO60" s="62">
        <f t="shared" si="36"/>
        <v>294.38852181137639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projet'!$B$9,Paramètres!$A$1:$I$89,3,0)*VLOOKUP('Données projet'!$B$9,Paramètres!$A$1:$I$89,5,0)</f>
        <v>179.87423999999999</v>
      </c>
      <c r="P61" s="14">
        <f t="shared" si="33"/>
        <v>45.294205745553846</v>
      </c>
      <c r="Q61" s="22">
        <f t="shared" si="53"/>
        <v>392.16837634017293</v>
      </c>
      <c r="R61" s="62">
        <f t="shared" si="0"/>
        <v>685.50170967350618</v>
      </c>
      <c r="S61" s="62">
        <f ca="1">AVERAGE(OFFSET($R$3,0,0,'Données projet'!$E$9+1,1))-AVERAGE(OFFSET($H$3,0,0,'Données projet'!$E$9+1,1))</f>
        <v>371.7282125501186</v>
      </c>
      <c r="T61" s="62">
        <f t="shared" si="34"/>
        <v>231.36959598460686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0.25937819304823162</v>
      </c>
      <c r="AA61" s="23">
        <f>EXP(-LN(2)/25)*AA60+(1-EXP(-LN(2)/25))/(LN(2)/25)*Calculateur!V61*Calculateur!X61*VLOOKUP('Données projet'!$B$9,Paramètres!$A$1:$I$89,3,0)*0.475*44/12</f>
        <v>1.0348097404917549</v>
      </c>
      <c r="AB61" s="23">
        <f>EXP(-LN(2)/2)*AB60+(1-EXP(-LN(2)/2))/(LN(2)/2)*V61*Y61*VLOOKUP('Données projet'!$B$9,Paramètres!$A$1:$I$89,3,0)*0.475*44/12</f>
        <v>8.3964568576639417E-4</v>
      </c>
      <c r="AC61" s="24">
        <f t="shared" si="3"/>
        <v>1.2950275792257531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13.5</v>
      </c>
      <c r="AI61" s="14">
        <f>IF('Données projet'!$A$62&gt;35,AI60+AH61-AQ60,IF(A61&lt;'Données projet'!$A$62,$AF$205^A61,IF(A61='Données projet'!$A$62,'Données projet'!$B$62,AI60+AH61-AQ60)))</f>
        <v>484.99999999999989</v>
      </c>
      <c r="AJ61" s="14">
        <f>AI61*VLOOKUP('Données projet'!$B$10,Paramètres!$A$1:$I$89,3,0)*VLOOKUP('Données projet'!$B$10,Paramètres!$A$1:$I$89,5,0)</f>
        <v>226.97999999999996</v>
      </c>
      <c r="AK61" s="14">
        <f t="shared" si="35"/>
        <v>55.629185455335929</v>
      </c>
      <c r="AL61" s="22">
        <f t="shared" si="4"/>
        <v>492.21099800137659</v>
      </c>
      <c r="AM61" s="62">
        <f t="shared" si="5"/>
        <v>785.54433133470991</v>
      </c>
      <c r="AN61" s="62">
        <f ca="1">AVERAGE(OFFSET($AM$3,0,0,'Données projet'!$E$10+1,1))-AVERAGE(OFFSET($H$3,0,0,'Données projet'!$E$10+1,1))</f>
        <v>396.92963589781414</v>
      </c>
      <c r="AO61" s="62">
        <f t="shared" si="36"/>
        <v>294.38852181137639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projet'!$B$9,Paramètres!$A$1:$I$89,3,0)*VLOOKUP('Données projet'!$B$9,Paramètres!$A$1:$I$89,5,0)</f>
        <v>186.75071999999997</v>
      </c>
      <c r="P62" s="14">
        <f t="shared" si="33"/>
        <v>46.820863587839391</v>
      </c>
      <c r="Q62" s="22">
        <f t="shared" si="53"/>
        <v>406.80384141548689</v>
      </c>
      <c r="R62" s="62">
        <f t="shared" si="0"/>
        <v>700.13717474882014</v>
      </c>
      <c r="S62" s="62">
        <f ca="1">AVERAGE(OFFSET($R$3,0,0,'Données projet'!$E$9+1,1))-AVERAGE(OFFSET($H$3,0,0,'Données projet'!$E$9+1,1))</f>
        <v>371.7282125501186</v>
      </c>
      <c r="T62" s="62">
        <f t="shared" si="34"/>
        <v>231.36959598460686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0.25429194488763213</v>
      </c>
      <c r="AA62" s="23">
        <f>EXP(-LN(2)/25)*AA61+(1-EXP(-LN(2)/25))/(LN(2)/25)*Calculateur!V62*Calculateur!X62*VLOOKUP('Données projet'!$B$9,Paramètres!$A$1:$I$89,3,0)*0.475*44/12</f>
        <v>1.0065128137197288</v>
      </c>
      <c r="AB62" s="23">
        <f>EXP(-LN(2)/2)*AB61+(1-EXP(-LN(2)/2))/(LN(2)/2)*V62*Y62*VLOOKUP('Données projet'!$B$9,Paramètres!$A$1:$I$89,3,0)*0.475*44/12</f>
        <v>5.9371915819944631E-4</v>
      </c>
      <c r="AC62" s="24">
        <f t="shared" si="3"/>
        <v>1.2613984777655605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13.5</v>
      </c>
      <c r="AI62" s="14">
        <f>IF('Données projet'!$A$62&gt;35,AI61+AH62-AQ61,IF(A62&lt;'Données projet'!$A$62,$AF$205^A62,IF(A62='Données projet'!$A$62,'Données projet'!$B$62,AI61+AH62-AQ61)))</f>
        <v>498.49999999999989</v>
      </c>
      <c r="AJ62" s="14">
        <f>AI62*VLOOKUP('Données projet'!$B$10,Paramètres!$A$1:$I$89,3,0)*VLOOKUP('Données projet'!$B$10,Paramètres!$A$1:$I$89,5,0)</f>
        <v>233.29799999999994</v>
      </c>
      <c r="AK62" s="14">
        <f t="shared" si="35"/>
        <v>56.995194277534011</v>
      </c>
      <c r="AL62" s="22">
        <f t="shared" si="4"/>
        <v>505.59398003337168</v>
      </c>
      <c r="AM62" s="62">
        <f t="shared" si="5"/>
        <v>798.92731336670499</v>
      </c>
      <c r="AN62" s="62">
        <f ca="1">AVERAGE(OFFSET($AM$3,0,0,'Données projet'!$E$10+1,1))-AVERAGE(OFFSET($H$3,0,0,'Données projet'!$E$10+1,1))</f>
        <v>396.92963589781414</v>
      </c>
      <c r="AO62" s="62">
        <f t="shared" si="36"/>
        <v>294.38852181137639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projet'!$B$9,Paramètres!$A$1:$I$89,3,0)*VLOOKUP('Données projet'!$B$9,Paramètres!$A$1:$I$89,5,0)</f>
        <v>193.62719999999996</v>
      </c>
      <c r="P63" s="14">
        <f t="shared" si="33"/>
        <v>48.340990547231193</v>
      </c>
      <c r="Q63" s="22">
        <f t="shared" si="53"/>
        <v>421.42793186976087</v>
      </c>
      <c r="R63" s="62">
        <f t="shared" si="0"/>
        <v>714.76126520309413</v>
      </c>
      <c r="S63" s="62">
        <f ca="1">AVERAGE(OFFSET($R$3,0,0,'Données projet'!$E$9+1,1))-AVERAGE(OFFSET($H$3,0,0,'Données projet'!$E$9+1,1))</f>
        <v>371.7282125501186</v>
      </c>
      <c r="T63" s="62">
        <f t="shared" si="34"/>
        <v>231.36959598460686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0.24930543495115692</v>
      </c>
      <c r="AA63" s="23">
        <f>EXP(-LN(2)/25)*AA62+(1-EXP(-LN(2)/25))/(LN(2)/25)*Calculateur!V63*Calculateur!X63*VLOOKUP('Données projet'!$B$9,Paramètres!$A$1:$I$89,3,0)*0.475*44/12</f>
        <v>0.97898966789835429</v>
      </c>
      <c r="AB63" s="23">
        <f>EXP(-LN(2)/2)*AB62+(1-EXP(-LN(2)/2))/(LN(2)/2)*V63*Y63*VLOOKUP('Données projet'!$B$9,Paramètres!$A$1:$I$89,3,0)*0.475*44/12</f>
        <v>4.1982284288319708E-4</v>
      </c>
      <c r="AC63" s="24">
        <f t="shared" si="3"/>
        <v>1.2287149256923944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512</v>
      </c>
      <c r="AG63" s="13">
        <f>VLOOKUP(A63,'Données projet'!$A$61:$I$81,9,0)</f>
        <v>13.5</v>
      </c>
      <c r="AH63" s="13">
        <f t="array" ref="AH63">INDEX(AG:AG,MIN(IF(ISNUMBER(AG63:AG259),ROW(AG63:AG259),"")))</f>
        <v>13.5</v>
      </c>
      <c r="AI63" s="14">
        <f>IF('Données projet'!$A$62&gt;35,AI62+AH63-AQ62,IF(A63&lt;'Données projet'!$A$62,$AF$205^A63,IF(A63='Données projet'!$A$62,'Données projet'!$B$62,AI62+AH63-AQ62)))</f>
        <v>511.99999999999989</v>
      </c>
      <c r="AJ63" s="14">
        <f>AI63*VLOOKUP('Données projet'!$B$10,Paramètres!$A$1:$I$89,3,0)*VLOOKUP('Données projet'!$B$10,Paramètres!$A$1:$I$89,5,0)</f>
        <v>239.61599999999996</v>
      </c>
      <c r="AK63" s="14">
        <f t="shared" si="35"/>
        <v>58.356903313490157</v>
      </c>
      <c r="AL63" s="22">
        <f t="shared" si="4"/>
        <v>518.96947327099531</v>
      </c>
      <c r="AM63" s="62">
        <f t="shared" si="5"/>
        <v>812.30280660432868</v>
      </c>
      <c r="AN63" s="62">
        <f ca="1">AVERAGE(OFFSET($AM$3,0,0,'Données projet'!$E$10+1,1))-AVERAGE(OFFSET($H$3,0,0,'Données projet'!$E$10+1,1))</f>
        <v>396.92963589781414</v>
      </c>
      <c r="AO63" s="62">
        <f t="shared" si="36"/>
        <v>294.38852181137639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102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2">
        <f t="shared" si="0"/>
        <v>688.19859268339724</v>
      </c>
      <c r="S64" s="62">
        <f ca="1">AVERAGE(OFFSET($R$3,0,0,'Données projet'!$E$9+1,1))-AVERAGE(OFFSET($H$3,0,0,'Données projet'!$E$9+1,1))</f>
        <v>371.7282125501186</v>
      </c>
      <c r="T64" s="62">
        <f t="shared" si="34"/>
        <v>231.36959598460686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0.24441670743306526</v>
      </c>
      <c r="AA64" s="23">
        <f>EXP(-LN(2)/25)*AA63+(1-EXP(-LN(2)/25))/(LN(2)/25)*Calculateur!V64*Calculateur!X64*VLOOKUP('Données projet'!$B$9,Paramètres!$A$1:$I$89,3,0)*0.475*44/12</f>
        <v>0.9522191439468447</v>
      </c>
      <c r="AB64" s="23">
        <f>EXP(-LN(2)/2)*AB63+(1-EXP(-LN(2)/2))/(LN(2)/2)*V64*Y64*VLOOKUP('Données projet'!$B$9,Paramètres!$A$1:$I$89,3,0)*0.475*44/12</f>
        <v>2.9685957909972316E-4</v>
      </c>
      <c r="AC64" s="24">
        <f t="shared" si="3"/>
        <v>1.1969327109590098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15.5</v>
      </c>
      <c r="AI64" s="14">
        <f>IF('Données projet'!$A$62&gt;35,AI63+AH64-AQ63,IF(A64&lt;'Données projet'!$A$62,$AF$205^A64,IF(A64='Données projet'!$A$62,'Données projet'!$B$62,AI63+AH64-AQ63)))</f>
        <v>425.49999999999989</v>
      </c>
      <c r="AJ64" s="14">
        <f>AI64*VLOOKUP('Données projet'!$B$10,Paramètres!$A$1:$I$89,3,0)*VLOOKUP('Données projet'!$B$10,Paramètres!$A$1:$I$89,5,0)</f>
        <v>199.13399999999993</v>
      </c>
      <c r="AK64" s="14">
        <f t="shared" si="35"/>
        <v>49.553799097205186</v>
      </c>
      <c r="AL64" s="22">
        <f t="shared" si="4"/>
        <v>433.13125009429888</v>
      </c>
      <c r="AM64" s="62">
        <f t="shared" si="5"/>
        <v>726.46458342763219</v>
      </c>
      <c r="AN64" s="62">
        <f ca="1">AVERAGE(OFFSET($AM$3,0,0,'Données projet'!$E$10+1,1))-AVERAGE(OFFSET($H$3,0,0,'Données projet'!$E$10+1,1))</f>
        <v>396.92963589781414</v>
      </c>
      <c r="AO64" s="62">
        <f t="shared" si="36"/>
        <v>294.38852181137639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2">
        <f t="shared" si="0"/>
        <v>702.06203699024263</v>
      </c>
      <c r="S65" s="62">
        <f ca="1">AVERAGE(OFFSET($R$3,0,0,'Données projet'!$E$9+1,1))-AVERAGE(OFFSET($H$3,0,0,'Données projet'!$E$9+1,1))</f>
        <v>371.7282125501186</v>
      </c>
      <c r="T65" s="62">
        <f t="shared" si="34"/>
        <v>231.36959598460686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0.23962384487977401</v>
      </c>
      <c r="AA65" s="23">
        <f>EXP(-LN(2)/25)*AA64+(1-EXP(-LN(2)/25))/(LN(2)/25)*Calculateur!V65*Calculateur!X65*VLOOKUP('Données projet'!$B$9,Paramètres!$A$1:$I$89,3,0)*0.475*44/12</f>
        <v>0.92618066138058974</v>
      </c>
      <c r="AB65" s="23">
        <f>EXP(-LN(2)/2)*AB64+(1-EXP(-LN(2)/2))/(LN(2)/2)*V65*Y65*VLOOKUP('Données projet'!$B$9,Paramètres!$A$1:$I$89,3,0)*0.475*44/12</f>
        <v>2.0991142144159854E-4</v>
      </c>
      <c r="AC65" s="24">
        <f t="shared" si="3"/>
        <v>1.1660144176818052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15.5</v>
      </c>
      <c r="AI65" s="14">
        <f>IF('Données projet'!$A$62&gt;35,AI64+AH65-AQ64,IF(A65&lt;'Données projet'!$A$62,$AF$205^A65,IF(A65='Données projet'!$A$62,'Données projet'!$B$62,AI64+AH65-AQ64)))</f>
        <v>440.99999999999989</v>
      </c>
      <c r="AJ65" s="14">
        <f>AI65*VLOOKUP('Données projet'!$B$10,Paramètres!$A$1:$I$89,3,0)*VLOOKUP('Données projet'!$B$10,Paramètres!$A$1:$I$89,5,0)</f>
        <v>206.38799999999995</v>
      </c>
      <c r="AK65" s="14">
        <f t="shared" si="35"/>
        <v>51.145477584014834</v>
      </c>
      <c r="AL65" s="22">
        <f t="shared" si="4"/>
        <v>448.53747345882579</v>
      </c>
      <c r="AM65" s="62">
        <f t="shared" si="5"/>
        <v>741.8708067921591</v>
      </c>
      <c r="AN65" s="62">
        <f ca="1">AVERAGE(OFFSET($AM$3,0,0,'Données projet'!$E$10+1,1))-AVERAGE(OFFSET($H$3,0,0,'Données projet'!$E$10+1,1))</f>
        <v>396.92963589781414</v>
      </c>
      <c r="AO65" s="62">
        <f t="shared" si="36"/>
        <v>294.38852181137639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2">
        <f t="shared" si="0"/>
        <v>715.91532773426115</v>
      </c>
      <c r="S66" s="62">
        <f ca="1">AVERAGE(OFFSET($R$3,0,0,'Données projet'!$E$9+1,1))-AVERAGE(OFFSET($H$3,0,0,'Données projet'!$E$9+1,1))</f>
        <v>371.7282125501186</v>
      </c>
      <c r="T66" s="62">
        <f t="shared" si="34"/>
        <v>231.36959598460686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0.23492496743779528</v>
      </c>
      <c r="AA66" s="23">
        <f>EXP(-LN(2)/25)*AA65+(1-EXP(-LN(2)/25))/(LN(2)/25)*Calculateur!V66*Calculateur!X66*VLOOKUP('Données projet'!$B$9,Paramètres!$A$1:$I$89,3,0)*0.475*44/12</f>
        <v>0.90085420248941339</v>
      </c>
      <c r="AB66" s="23">
        <f>EXP(-LN(2)/2)*AB65+(1-EXP(-LN(2)/2))/(LN(2)/2)*V66*Y66*VLOOKUP('Données projet'!$B$9,Paramètres!$A$1:$I$89,3,0)*0.475*44/12</f>
        <v>1.4842978954986158E-4</v>
      </c>
      <c r="AC66" s="24">
        <f t="shared" si="3"/>
        <v>1.1359275997167584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15.5</v>
      </c>
      <c r="AI66" s="14">
        <f>IF('Données projet'!$A$62&gt;35,AI65+AH66-AQ65,IF(A66&lt;'Données projet'!$A$62,$AF$205^A66,IF(A66='Données projet'!$A$62,'Données projet'!$B$62,AI65+AH66-AQ65)))</f>
        <v>456.49999999999989</v>
      </c>
      <c r="AJ66" s="14">
        <f>AI66*VLOOKUP('Données projet'!$B$10,Paramètres!$A$1:$I$89,3,0)*VLOOKUP('Données projet'!$B$10,Paramètres!$A$1:$I$89,5,0)</f>
        <v>213.64199999999994</v>
      </c>
      <c r="AK66" s="14">
        <f t="shared" si="35"/>
        <v>52.730656153675348</v>
      </c>
      <c r="AL66" s="22">
        <f t="shared" si="4"/>
        <v>463.93237613431779</v>
      </c>
      <c r="AM66" s="62">
        <f t="shared" si="5"/>
        <v>757.26570946765105</v>
      </c>
      <c r="AN66" s="62">
        <f ca="1">AVERAGE(OFFSET($AM$3,0,0,'Données projet'!$E$10+1,1))-AVERAGE(OFFSET($H$3,0,0,'Données projet'!$E$10+1,1))</f>
        <v>396.92963589781414</v>
      </c>
      <c r="AO66" s="62">
        <f t="shared" si="36"/>
        <v>294.38852181137639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2">
        <f t="shared" ref="R67:R130" si="55">Q67+(I67+J67)*44/12</f>
        <v>729.75884463141938</v>
      </c>
      <c r="S67" s="62">
        <f ca="1">AVERAGE(OFFSET($R$3,0,0,'Données projet'!$E$9+1,1))-AVERAGE(OFFSET($H$3,0,0,'Données projet'!$E$9+1,1))</f>
        <v>371.7282125501186</v>
      </c>
      <c r="T67" s="62">
        <f t="shared" si="34"/>
        <v>231.36959598460686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0.23031823211642152</v>
      </c>
      <c r="AA67" s="23">
        <f>EXP(-LN(2)/25)*AA66+(1-EXP(-LN(2)/25))/(LN(2)/25)*Calculateur!V67*Calculateur!X67*VLOOKUP('Données projet'!$B$9,Paramètres!$A$1:$I$89,3,0)*0.475*44/12</f>
        <v>0.87622029694847681</v>
      </c>
      <c r="AB67" s="23">
        <f>EXP(-LN(2)/2)*AB66+(1-EXP(-LN(2)/2))/(LN(2)/2)*V67*Y67*VLOOKUP('Données projet'!$B$9,Paramètres!$A$1:$I$89,3,0)*0.475*44/12</f>
        <v>1.0495571072079927E-4</v>
      </c>
      <c r="AC67" s="24">
        <f t="shared" si="3"/>
        <v>1.1066434847756192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15.5</v>
      </c>
      <c r="AI67" s="14">
        <f>IF('Données projet'!$A$62&gt;35,AI66+AH67-AQ66,IF(A67&lt;'Données projet'!$A$62,$AF$205^A67,IF(A67='Données projet'!$A$62,'Données projet'!$B$62,AI66+AH67-AQ66)))</f>
        <v>471.99999999999989</v>
      </c>
      <c r="AJ67" s="14">
        <f>AI67*VLOOKUP('Données projet'!$B$10,Paramètres!$A$1:$I$89,3,0)*VLOOKUP('Données projet'!$B$10,Paramètres!$A$1:$I$89,5,0)</f>
        <v>220.89599999999996</v>
      </c>
      <c r="AK67" s="14">
        <f t="shared" si="35"/>
        <v>54.309580803412281</v>
      </c>
      <c r="AL67" s="22">
        <f t="shared" si="4"/>
        <v>479.31638656594299</v>
      </c>
      <c r="AM67" s="62">
        <f t="shared" si="5"/>
        <v>772.64971989927631</v>
      </c>
      <c r="AN67" s="62">
        <f ca="1">AVERAGE(OFFSET($AM$3,0,0,'Données projet'!$E$10+1,1))-AVERAGE(OFFSET($H$3,0,0,'Données projet'!$E$10+1,1))</f>
        <v>396.92963589781414</v>
      </c>
      <c r="AO67" s="62">
        <f t="shared" si="36"/>
        <v>294.38852181137639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2">
        <f t="shared" si="55"/>
        <v>743.59294134580057</v>
      </c>
      <c r="S68" s="62">
        <f ca="1">AVERAGE(OFFSET($R$3,0,0,'Données projet'!$E$9+1,1))-AVERAGE(OFFSET($H$3,0,0,'Données projet'!$E$9+1,1))</f>
        <v>371.7282125501186</v>
      </c>
      <c r="T68" s="62">
        <f t="shared" si="34"/>
        <v>231.36959598460686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0.22580183206486881</v>
      </c>
      <c r="AA68" s="23">
        <f>EXP(-LN(2)/25)*AA67+(1-EXP(-LN(2)/25))/(LN(2)/25)*Calculateur!V68*Calculateur!X68*VLOOKUP('Données projet'!$B$9,Paramètres!$A$1:$I$89,3,0)*0.475*44/12</f>
        <v>0.85226000684999792</v>
      </c>
      <c r="AB68" s="23">
        <f>EXP(-LN(2)/2)*AB67+(1-EXP(-LN(2)/2))/(LN(2)/2)*V68*Y68*VLOOKUP('Données projet'!$B$9,Paramètres!$A$1:$I$89,3,0)*0.475*44/12</f>
        <v>7.4214894774930789E-5</v>
      </c>
      <c r="AC68" s="24">
        <f t="shared" ref="AC68:AC131" si="57">SUM(Z68:AB68)</f>
        <v>1.0781360538096418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15.5</v>
      </c>
      <c r="AI68" s="14">
        <f>IF('Données projet'!$A$62&gt;35,AI67+AH68-AQ67,IF(A68&lt;'Données projet'!$A$62,$AF$205^A68,IF(A68='Données projet'!$A$62,'Données projet'!$B$62,AI67+AH68-AQ67)))</f>
        <v>487.49999999999989</v>
      </c>
      <c r="AJ68" s="14">
        <f>AI68*VLOOKUP('Données projet'!$B$10,Paramètres!$A$1:$I$89,3,0)*VLOOKUP('Données projet'!$B$10,Paramètres!$A$1:$I$89,5,0)</f>
        <v>228.14999999999992</v>
      </c>
      <c r="AK68" s="14">
        <f t="shared" si="35"/>
        <v>55.882480456847652</v>
      </c>
      <c r="AL68" s="22">
        <f t="shared" ref="AL68:AL131" si="58">(AJ68+AK68)*0.475*44/12</f>
        <v>494.68990346234278</v>
      </c>
      <c r="AM68" s="62">
        <f t="shared" ref="AM68:AM131" si="59">AL68+(AD68+AE68)*44/12</f>
        <v>788.0232367956761</v>
      </c>
      <c r="AN68" s="62">
        <f ca="1">AVERAGE(OFFSET($AM$3,0,0,'Données projet'!$E$10+1,1))-AVERAGE(OFFSET($H$3,0,0,'Données projet'!$E$10+1,1))</f>
        <v>396.92963589781414</v>
      </c>
      <c r="AO68" s="62">
        <f t="shared" si="36"/>
        <v>294.38852181137639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214.79999999999993</v>
      </c>
      <c r="O69" s="14">
        <f>N69*VLOOKUP('Données projet'!$B$9,Paramètres!$A$1:$I$89,3,0)*VLOOKUP('Données projet'!$B$9,Paramètres!$A$1:$I$89,5,0)</f>
        <v>194.35103999999993</v>
      </c>
      <c r="P69" s="14">
        <f t="shared" ref="P69:P132" si="87">EXP(-1.0587+0.8836*LN(O69)+0.284)</f>
        <v>48.500634729810159</v>
      </c>
      <c r="Q69" s="22">
        <f t="shared" si="54"/>
        <v>422.96666682108594</v>
      </c>
      <c r="R69" s="62">
        <f t="shared" si="55"/>
        <v>716.30000015441919</v>
      </c>
      <c r="S69" s="62">
        <f ca="1">AVERAGE(OFFSET($R$3,0,0,'Données projet'!$E$9+1,1))-AVERAGE(OFFSET($H$3,0,0,'Données projet'!$E$9+1,1))</f>
        <v>371.7282125501186</v>
      </c>
      <c r="T69" s="62">
        <f t="shared" ref="T69:T132" si="88">$T$3</f>
        <v>231.36959598460686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0.22137399586359502</v>
      </c>
      <c r="AA69" s="23">
        <f>EXP(-LN(2)/25)*AA68+(1-EXP(-LN(2)/25))/(LN(2)/25)*Calculateur!V69*Calculateur!X69*VLOOKUP('Données projet'!$B$9,Paramètres!$A$1:$I$89,3,0)*0.475*44/12</f>
        <v>0.82895491214427885</v>
      </c>
      <c r="AB69" s="23">
        <f>EXP(-LN(2)/2)*AB68+(1-EXP(-LN(2)/2))/(LN(2)/2)*V69*Y69*VLOOKUP('Données projet'!$B$9,Paramètres!$A$1:$I$89,3,0)*0.475*44/12</f>
        <v>5.2477855360399635E-5</v>
      </c>
      <c r="AC69" s="24">
        <f t="shared" si="57"/>
        <v>1.0503813858632343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15.5</v>
      </c>
      <c r="AI69" s="14">
        <f>IF('Données projet'!$A$62&gt;35,AI68+AH69-AQ68,IF(A69&lt;'Données projet'!$A$62,$AF$205^A69,IF(A69='Données projet'!$A$62,'Données projet'!$B$62,AI68+AH69-AQ68)))</f>
        <v>502.99999999999989</v>
      </c>
      <c r="AJ69" s="14">
        <f>AI69*VLOOKUP('Données projet'!$B$10,Paramètres!$A$1:$I$89,3,0)*VLOOKUP('Données projet'!$B$10,Paramètres!$A$1:$I$89,5,0)</f>
        <v>235.40399999999994</v>
      </c>
      <c r="AK69" s="14">
        <f t="shared" ref="AK69:AK132" si="89">EXP(-1.0587+0.8836*LN(AJ69)+0.284)</f>
        <v>57.449568653781753</v>
      </c>
      <c r="AL69" s="22">
        <f t="shared" si="58"/>
        <v>510.05329873866975</v>
      </c>
      <c r="AM69" s="62">
        <f t="shared" si="59"/>
        <v>803.38663207200307</v>
      </c>
      <c r="AN69" s="62">
        <f ca="1">AVERAGE(OFFSET($AM$3,0,0,'Données projet'!$E$10+1,1))-AVERAGE(OFFSET($H$3,0,0,'Données projet'!$E$10+1,1))</f>
        <v>396.92963589781414</v>
      </c>
      <c r="AO69" s="62">
        <f t="shared" ref="AO69:AO132" si="90">$AO$3</f>
        <v>294.38852181137639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221.59999999999994</v>
      </c>
      <c r="O70" s="14">
        <f>N70*VLOOKUP('Données projet'!$B$9,Paramètres!$A$1:$I$89,3,0)*VLOOKUP('Données projet'!$B$9,Paramètres!$A$1:$I$89,5,0)</f>
        <v>200.50367999999995</v>
      </c>
      <c r="P70" s="14">
        <f t="shared" si="87"/>
        <v>49.854845135229887</v>
      </c>
      <c r="Q70" s="22">
        <f t="shared" si="54"/>
        <v>436.04109794385857</v>
      </c>
      <c r="R70" s="62">
        <f t="shared" si="55"/>
        <v>729.37443127719189</v>
      </c>
      <c r="S70" s="62">
        <f ca="1">AVERAGE(OFFSET($R$3,0,0,'Données projet'!$E$9+1,1))-AVERAGE(OFFSET($H$3,0,0,'Données projet'!$E$9+1,1))</f>
        <v>371.7282125501186</v>
      </c>
      <c r="T70" s="62">
        <f t="shared" si="88"/>
        <v>231.36959598460686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0.2170329868295148</v>
      </c>
      <c r="AA70" s="23">
        <f>EXP(-LN(2)/25)*AA69+(1-EXP(-LN(2)/25))/(LN(2)/25)*Calculateur!V70*Calculateur!X70*VLOOKUP('Données projet'!$B$9,Paramètres!$A$1:$I$89,3,0)*0.475*44/12</f>
        <v>0.80628709647884933</v>
      </c>
      <c r="AB70" s="23">
        <f>EXP(-LN(2)/2)*AB69+(1-EXP(-LN(2)/2))/(LN(2)/2)*V70*Y70*VLOOKUP('Données projet'!$B$9,Paramètres!$A$1:$I$89,3,0)*0.475*44/12</f>
        <v>3.7107447387465395E-5</v>
      </c>
      <c r="AC70" s="24">
        <f t="shared" si="57"/>
        <v>1.0233571907557517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15.5</v>
      </c>
      <c r="AI70" s="14">
        <f>IF('Données projet'!$A$62&gt;35,AI69+AH70-AQ69,IF(A70&lt;'Données projet'!$A$62,$AF$205^A70,IF(A70='Données projet'!$A$62,'Données projet'!$B$62,AI69+AH70-AQ69)))</f>
        <v>518.49999999999989</v>
      </c>
      <c r="AJ70" s="14">
        <f>AI70*VLOOKUP('Données projet'!$B$10,Paramètres!$A$1:$I$89,3,0)*VLOOKUP('Données projet'!$B$10,Paramètres!$A$1:$I$89,5,0)</f>
        <v>242.65799999999993</v>
      </c>
      <c r="AK70" s="14">
        <f t="shared" si="89"/>
        <v>59.011045025839607</v>
      </c>
      <c r="AL70" s="22">
        <f t="shared" si="58"/>
        <v>525.40692008667054</v>
      </c>
      <c r="AM70" s="62">
        <f t="shared" si="59"/>
        <v>818.74025342000391</v>
      </c>
      <c r="AN70" s="62">
        <f ca="1">AVERAGE(OFFSET($AM$3,0,0,'Données projet'!$E$10+1,1))-AVERAGE(OFFSET($H$3,0,0,'Données projet'!$E$10+1,1))</f>
        <v>396.92963589781414</v>
      </c>
      <c r="AO70" s="62">
        <f t="shared" si="90"/>
        <v>294.38852181137639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228.39999999999995</v>
      </c>
      <c r="O71" s="14">
        <f>N71*VLOOKUP('Données projet'!$B$9,Paramètres!$A$1:$I$89,3,0)*VLOOKUP('Données projet'!$B$9,Paramètres!$A$1:$I$89,5,0)</f>
        <v>206.65631999999994</v>
      </c>
      <c r="P71" s="14">
        <f t="shared" si="87"/>
        <v>51.20422634371338</v>
      </c>
      <c r="Q71" s="22">
        <f t="shared" si="54"/>
        <v>449.10711821530072</v>
      </c>
      <c r="R71" s="62">
        <f t="shared" si="55"/>
        <v>742.44045154863397</v>
      </c>
      <c r="S71" s="62">
        <f ca="1">AVERAGE(OFFSET($R$3,0,0,'Données projet'!$E$9+1,1))-AVERAGE(OFFSET($H$3,0,0,'Données projet'!$E$9+1,1))</f>
        <v>371.7282125501186</v>
      </c>
      <c r="T71" s="62">
        <f t="shared" si="88"/>
        <v>231.36959598460686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0.21277710233483885</v>
      </c>
      <c r="AA71" s="23">
        <f>EXP(-LN(2)/25)*AA70+(1-EXP(-LN(2)/25))/(LN(2)/25)*Calculateur!V71*Calculateur!X71*VLOOKUP('Données projet'!$B$9,Paramètres!$A$1:$I$89,3,0)*0.475*44/12</f>
        <v>0.78423913342483964</v>
      </c>
      <c r="AB71" s="23">
        <f>EXP(-LN(2)/2)*AB70+(1-EXP(-LN(2)/2))/(LN(2)/2)*V71*Y71*VLOOKUP('Données projet'!$B$9,Paramètres!$A$1:$I$89,3,0)*0.475*44/12</f>
        <v>2.6238927680199818E-5</v>
      </c>
      <c r="AC71" s="24">
        <f t="shared" si="57"/>
        <v>0.99704247468735863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15.5</v>
      </c>
      <c r="AI71" s="14">
        <f>IF('Données projet'!$A$62&gt;35,AI70+AH71-AQ70,IF(A71&lt;'Données projet'!$A$62,$AF$205^A71,IF(A71='Données projet'!$A$62,'Données projet'!$B$62,AI70+AH71-AQ70)))</f>
        <v>533.99999999999989</v>
      </c>
      <c r="AJ71" s="14">
        <f>AI71*VLOOKUP('Données projet'!$B$10,Paramètres!$A$1:$I$89,3,0)*VLOOKUP('Données projet'!$B$10,Paramètres!$A$1:$I$89,5,0)</f>
        <v>249.91199999999995</v>
      </c>
      <c r="AK71" s="14">
        <f t="shared" si="89"/>
        <v>60.56709659070836</v>
      </c>
      <c r="AL71" s="22">
        <f t="shared" si="58"/>
        <v>540.7510932288169</v>
      </c>
      <c r="AM71" s="62">
        <f t="shared" si="59"/>
        <v>834.08442656215016</v>
      </c>
      <c r="AN71" s="62">
        <f ca="1">AVERAGE(OFFSET($AM$3,0,0,'Données projet'!$E$10+1,1))-AVERAGE(OFFSET($H$3,0,0,'Données projet'!$E$10+1,1))</f>
        <v>396.92963589781414</v>
      </c>
      <c r="AO71" s="62">
        <f t="shared" si="90"/>
        <v>294.38852181137639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235.19999999999996</v>
      </c>
      <c r="O72" s="14">
        <f>N72*VLOOKUP('Données projet'!$B$9,Paramètres!$A$1:$I$89,3,0)*VLOOKUP('Données projet'!$B$9,Paramètres!$A$1:$I$89,5,0)</f>
        <v>212.80895999999996</v>
      </c>
      <c r="P72" s="14">
        <f t="shared" si="87"/>
        <v>52.548938637485847</v>
      </c>
      <c r="Q72" s="22">
        <f t="shared" si="54"/>
        <v>462.16500679362099</v>
      </c>
      <c r="R72" s="62">
        <f t="shared" si="55"/>
        <v>755.4983401269543</v>
      </c>
      <c r="S72" s="62">
        <f ca="1">AVERAGE(OFFSET($R$3,0,0,'Données projet'!$E$9+1,1))-AVERAGE(OFFSET($H$3,0,0,'Données projet'!$E$9+1,1))</f>
        <v>371.7282125501186</v>
      </c>
      <c r="T72" s="62">
        <f t="shared" si="88"/>
        <v>231.36959598460686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0.20860467313927025</v>
      </c>
      <c r="AA72" s="23">
        <f>EXP(-LN(2)/25)*AA71+(1-EXP(-LN(2)/25))/(LN(2)/25)*Calculateur!V72*Calculateur!X72*VLOOKUP('Données projet'!$B$9,Paramètres!$A$1:$I$89,3,0)*0.475*44/12</f>
        <v>0.76279407307999381</v>
      </c>
      <c r="AB72" s="23">
        <f>EXP(-LN(2)/2)*AB71+(1-EXP(-LN(2)/2))/(LN(2)/2)*V72*Y72*VLOOKUP('Données projet'!$B$9,Paramètres!$A$1:$I$89,3,0)*0.475*44/12</f>
        <v>1.8553723693732697E-5</v>
      </c>
      <c r="AC72" s="24">
        <f t="shared" si="57"/>
        <v>0.97141729994295778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15.5</v>
      </c>
      <c r="AI72" s="14">
        <f>IF('Données projet'!$A$62&gt;35,AI71+AH72-AQ71,IF(A72&lt;'Données projet'!$A$62,$AF$205^A72,IF(A72='Données projet'!$A$62,'Données projet'!$B$62,AI71+AH72-AQ71)))</f>
        <v>549.49999999999989</v>
      </c>
      <c r="AJ72" s="14">
        <f>AI72*VLOOKUP('Données projet'!$B$10,Paramètres!$A$1:$I$89,3,0)*VLOOKUP('Données projet'!$B$10,Paramètres!$A$1:$I$89,5,0)</f>
        <v>257.16599999999994</v>
      </c>
      <c r="AK72" s="14">
        <f t="shared" si="89"/>
        <v>62.117898891884423</v>
      </c>
      <c r="AL72" s="22">
        <f t="shared" si="58"/>
        <v>556.08612390336521</v>
      </c>
      <c r="AM72" s="62">
        <f t="shared" si="59"/>
        <v>849.41945723669846</v>
      </c>
      <c r="AN72" s="62">
        <f ca="1">AVERAGE(OFFSET($AM$3,0,0,'Données projet'!$E$10+1,1))-AVERAGE(OFFSET($H$3,0,0,'Données projet'!$E$10+1,1))</f>
        <v>396.92963589781414</v>
      </c>
      <c r="AO72" s="62">
        <f t="shared" si="90"/>
        <v>294.38852181137639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241.99999999999997</v>
      </c>
      <c r="O73" s="14">
        <f>N73*VLOOKUP('Données projet'!$B$9,Paramètres!$A$1:$I$89,3,0)*VLOOKUP('Données projet'!$B$9,Paramètres!$A$1:$I$89,5,0)</f>
        <v>218.96159999999998</v>
      </c>
      <c r="P73" s="14">
        <f t="shared" si="87"/>
        <v>53.88913250370743</v>
      </c>
      <c r="Q73" s="22">
        <f t="shared" si="54"/>
        <v>475.21502577729035</v>
      </c>
      <c r="R73" s="62">
        <f t="shared" si="55"/>
        <v>768.54835911062366</v>
      </c>
      <c r="S73" s="62">
        <f ca="1">AVERAGE(OFFSET($R$3,0,0,'Données projet'!$E$9+1,1))-AVERAGE(OFFSET($H$3,0,0,'Données projet'!$E$9+1,1))</f>
        <v>371.7282125501186</v>
      </c>
      <c r="T73" s="62">
        <f t="shared" si="88"/>
        <v>231.36959598460686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0.20451406273529624</v>
      </c>
      <c r="AA73" s="23">
        <f>EXP(-LN(2)/25)*AA72+(1-EXP(-LN(2)/25))/(LN(2)/25)*Calculateur!V73*Calculateur!X73*VLOOKUP('Données projet'!$B$9,Paramètres!$A$1:$I$89,3,0)*0.475*44/12</f>
        <v>0.74193542903802445</v>
      </c>
      <c r="AB73" s="23">
        <f>EXP(-LN(2)/2)*AB72+(1-EXP(-LN(2)/2))/(LN(2)/2)*V73*Y73*VLOOKUP('Données projet'!$B$9,Paramètres!$A$1:$I$89,3,0)*0.475*44/12</f>
        <v>1.3119463840099909E-5</v>
      </c>
      <c r="AC73" s="24">
        <f t="shared" si="57"/>
        <v>0.9464626112371608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565</v>
      </c>
      <c r="AG73" s="13">
        <f>VLOOKUP(A73,'Données projet'!$A$61:$I$81,9,0)</f>
        <v>15.5</v>
      </c>
      <c r="AH73" s="13">
        <f t="array" ref="AH73">INDEX(AG:AG,MIN(IF(ISNUMBER(AG73:AG269),ROW(AG73:AG269),"")))</f>
        <v>15.5</v>
      </c>
      <c r="AI73" s="14">
        <f>IF('Données projet'!$A$62&gt;35,AI72+AH73-AQ72,IF(A73&lt;'Données projet'!$A$62,$AF$205^A73,IF(A73='Données projet'!$A$62,'Données projet'!$B$62,AI72+AH73-AQ72)))</f>
        <v>564.99999999999989</v>
      </c>
      <c r="AJ73" s="14">
        <f>AI73*VLOOKUP('Données projet'!$B$10,Paramètres!$A$1:$I$89,3,0)*VLOOKUP('Données projet'!$B$10,Paramètres!$A$1:$I$89,5,0)</f>
        <v>264.41999999999996</v>
      </c>
      <c r="AK73" s="14">
        <f t="shared" si="89"/>
        <v>63.663617006208391</v>
      </c>
      <c r="AL73" s="22">
        <f t="shared" si="58"/>
        <v>571.41229961914621</v>
      </c>
      <c r="AM73" s="62">
        <f t="shared" si="59"/>
        <v>864.74563295247958</v>
      </c>
      <c r="AN73" s="62">
        <f ca="1">AVERAGE(OFFSET($AM$3,0,0,'Données projet'!$E$10+1,1))-AVERAGE(OFFSET($H$3,0,0,'Données projet'!$E$10+1,1))</f>
        <v>396.92963589781414</v>
      </c>
      <c r="AO73" s="62">
        <f t="shared" si="90"/>
        <v>294.38852181137639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113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227.19999999999996</v>
      </c>
      <c r="O74" s="14">
        <f>N74*VLOOKUP('Données projet'!$B$9,Paramètres!$A$1:$I$89,3,0)*VLOOKUP('Données projet'!$B$9,Paramètres!$A$1:$I$89,5,0)</f>
        <v>205.57055999999997</v>
      </c>
      <c r="P74" s="14">
        <f t="shared" si="87"/>
        <v>50.966443946767392</v>
      </c>
      <c r="Q74" s="22">
        <f t="shared" si="54"/>
        <v>446.80194854061978</v>
      </c>
      <c r="R74" s="62">
        <f t="shared" si="55"/>
        <v>740.13528187395309</v>
      </c>
      <c r="S74" s="62">
        <f ca="1">AVERAGE(OFFSET($R$3,0,0,'Données projet'!$E$9+1,1))-AVERAGE(OFFSET($H$3,0,0,'Données projet'!$E$9+1,1))</f>
        <v>371.7282125501186</v>
      </c>
      <c r="T74" s="62">
        <f t="shared" si="88"/>
        <v>231.36959598460686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0.20050366670631817</v>
      </c>
      <c r="AA74" s="23">
        <f>EXP(-LN(2)/25)*AA73+(1-EXP(-LN(2)/25))/(LN(2)/25)*Calculateur!V74*Calculateur!X74*VLOOKUP('Données projet'!$B$9,Paramètres!$A$1:$I$89,3,0)*0.475*44/12</f>
        <v>0.72164716571429122</v>
      </c>
      <c r="AB74" s="23">
        <f>EXP(-LN(2)/2)*AB73+(1-EXP(-LN(2)/2))/(LN(2)/2)*V74*Y74*VLOOKUP('Données projet'!$B$9,Paramètres!$A$1:$I$89,3,0)*0.475*44/12</f>
        <v>9.2768618468663486E-6</v>
      </c>
      <c r="AC74" s="24">
        <f t="shared" si="57"/>
        <v>0.92216010928245618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17</v>
      </c>
      <c r="AI74" s="14">
        <f>IF('Données projet'!$A$62&gt;35,AI73+AH74-AQ73,IF(A74&lt;'Données projet'!$A$62,$AF$205^A74,IF(A74='Données projet'!$A$62,'Données projet'!$B$62,AI73+AH74-AQ73)))</f>
        <v>468.99999999999989</v>
      </c>
      <c r="AJ74" s="14">
        <f>AI74*VLOOKUP('Données projet'!$B$10,Paramètres!$A$1:$I$89,3,0)*VLOOKUP('Données projet'!$B$10,Paramètres!$A$1:$I$89,5,0)</f>
        <v>219.49199999999993</v>
      </c>
      <c r="AK74" s="14">
        <f t="shared" si="89"/>
        <v>54.004459579686618</v>
      </c>
      <c r="AL74" s="22">
        <f t="shared" si="58"/>
        <v>476.33966710128726</v>
      </c>
      <c r="AM74" s="62">
        <f t="shared" si="59"/>
        <v>769.67300043462058</v>
      </c>
      <c r="AN74" s="62">
        <f ca="1">AVERAGE(OFFSET($AM$3,0,0,'Données projet'!$E$10+1,1))-AVERAGE(OFFSET($H$3,0,0,'Données projet'!$E$10+1,1))</f>
        <v>396.92963589781414</v>
      </c>
      <c r="AO74" s="62">
        <f t="shared" si="90"/>
        <v>294.38852181137639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233.39999999999995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2">
        <f t="shared" si="55"/>
        <v>752.04261652954642</v>
      </c>
      <c r="S75" s="62">
        <f ca="1">AVERAGE(OFFSET($R$3,0,0,'Données projet'!$E$9+1,1))-AVERAGE(OFFSET($H$3,0,0,'Données projet'!$E$9+1,1))</f>
        <v>371.7282125501186</v>
      </c>
      <c r="T75" s="62">
        <f t="shared" si="88"/>
        <v>231.36959598460686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0.19657191209736832</v>
      </c>
      <c r="AA75" s="23">
        <f>EXP(-LN(2)/25)*AA74+(1-EXP(-LN(2)/25))/(LN(2)/25)*Calculateur!V75*Calculateur!X75*VLOOKUP('Données projet'!$B$9,Paramètres!$A$1:$I$89,3,0)*0.475*44/12</f>
        <v>0.70191368601805881</v>
      </c>
      <c r="AB75" s="23">
        <f>EXP(-LN(2)/2)*AB74+(1-EXP(-LN(2)/2))/(LN(2)/2)*V75*Y75*VLOOKUP('Données projet'!$B$9,Paramètres!$A$1:$I$89,3,0)*0.475*44/12</f>
        <v>6.5597319200499544E-6</v>
      </c>
      <c r="AC75" s="24">
        <f t="shared" si="57"/>
        <v>0.89849215784734726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17</v>
      </c>
      <c r="AI75" s="14">
        <f>IF('Données projet'!$A$62&gt;35,AI74+AH75-AQ74,IF(A75&lt;'Données projet'!$A$62,$AF$205^A75,IF(A75='Données projet'!$A$62,'Données projet'!$B$62,AI74+AH75-AQ74)))</f>
        <v>485.99999999999989</v>
      </c>
      <c r="AJ75" s="14">
        <f>AI75*VLOOKUP('Données projet'!$B$10,Paramètres!$A$1:$I$89,3,0)*VLOOKUP('Données projet'!$B$10,Paramètres!$A$1:$I$89,5,0)</f>
        <v>227.44799999999995</v>
      </c>
      <c r="AK75" s="14">
        <f t="shared" si="89"/>
        <v>55.730521649800686</v>
      </c>
      <c r="AL75" s="22">
        <f t="shared" si="58"/>
        <v>493.20259187340275</v>
      </c>
      <c r="AM75" s="62">
        <f t="shared" si="59"/>
        <v>786.53592520673601</v>
      </c>
      <c r="AN75" s="62">
        <f ca="1">AVERAGE(OFFSET($AM$3,0,0,'Données projet'!$E$10+1,1))-AVERAGE(OFFSET($H$3,0,0,'Données projet'!$E$10+1,1))</f>
        <v>396.92963589781414</v>
      </c>
      <c r="AO75" s="62">
        <f t="shared" si="90"/>
        <v>294.38852181137639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239.59999999999994</v>
      </c>
      <c r="O76" s="14">
        <f>N76*VLOOKUP('Données projet'!$B$9,Paramètres!$A$1:$I$89,3,0)*VLOOKUP('Données projet'!$B$9,Paramètres!$A$1:$I$89,5,0)</f>
        <v>216.79007999999996</v>
      </c>
      <c r="P76" s="14">
        <f t="shared" si="87"/>
        <v>53.416629794462551</v>
      </c>
      <c r="Q76" s="22">
        <f t="shared" si="54"/>
        <v>470.61001955868886</v>
      </c>
      <c r="R76" s="62">
        <f t="shared" si="55"/>
        <v>763.94335289202218</v>
      </c>
      <c r="S76" s="62">
        <f ca="1">AVERAGE(OFFSET($R$3,0,0,'Données projet'!$E$9+1,1))-AVERAGE(OFFSET($H$3,0,0,'Données projet'!$E$9+1,1))</f>
        <v>371.7282125501186</v>
      </c>
      <c r="T76" s="62">
        <f t="shared" si="88"/>
        <v>231.36959598460686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0.19271725679816645</v>
      </c>
      <c r="AA76" s="23">
        <f>EXP(-LN(2)/25)*AA75+(1-EXP(-LN(2)/25))/(LN(2)/25)*Calculateur!V76*Calculateur!X76*VLOOKUP('Données projet'!$B$9,Paramètres!$A$1:$I$89,3,0)*0.475*44/12</f>
        <v>0.68271981936185844</v>
      </c>
      <c r="AB76" s="23">
        <f>EXP(-LN(2)/2)*AB75+(1-EXP(-LN(2)/2))/(LN(2)/2)*V76*Y76*VLOOKUP('Données projet'!$B$9,Paramètres!$A$1:$I$89,3,0)*0.475*44/12</f>
        <v>4.6384309234331743E-6</v>
      </c>
      <c r="AC76" s="24">
        <f t="shared" si="57"/>
        <v>0.87544171459094833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17</v>
      </c>
      <c r="AI76" s="14">
        <f>IF('Données projet'!$A$62&gt;35,AI75+AH76-AQ75,IF(A76&lt;'Données projet'!$A$62,$AF$205^A76,IF(A76='Données projet'!$A$62,'Données projet'!$B$62,AI75+AH76-AQ75)))</f>
        <v>502.99999999999989</v>
      </c>
      <c r="AJ76" s="14">
        <f>AI76*VLOOKUP('Données projet'!$B$10,Paramètres!$A$1:$I$89,3,0)*VLOOKUP('Données projet'!$B$10,Paramètres!$A$1:$I$89,5,0)</f>
        <v>235.40399999999994</v>
      </c>
      <c r="AK76" s="14">
        <f t="shared" si="89"/>
        <v>57.449568653781753</v>
      </c>
      <c r="AL76" s="22">
        <f t="shared" si="58"/>
        <v>510.05329873866975</v>
      </c>
      <c r="AM76" s="62">
        <f t="shared" si="59"/>
        <v>803.38663207200307</v>
      </c>
      <c r="AN76" s="62">
        <f ca="1">AVERAGE(OFFSET($AM$3,0,0,'Données projet'!$E$10+1,1))-AVERAGE(OFFSET($H$3,0,0,'Données projet'!$E$10+1,1))</f>
        <v>396.92963589781414</v>
      </c>
      <c r="AO76" s="62">
        <f t="shared" si="90"/>
        <v>294.38852181137639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245.79999999999993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2">
        <f t="shared" si="55"/>
        <v>775.83768133226158</v>
      </c>
      <c r="S77" s="62">
        <f ca="1">AVERAGE(OFFSET($R$3,0,0,'Données projet'!$E$9+1,1))-AVERAGE(OFFSET($H$3,0,0,'Données projet'!$E$9+1,1))</f>
        <v>371.7282125501186</v>
      </c>
      <c r="T77" s="62">
        <f t="shared" si="88"/>
        <v>231.36959598460686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0.18893818893827435</v>
      </c>
      <c r="AA77" s="23">
        <f>EXP(-LN(2)/25)*AA76+(1-EXP(-LN(2)/25))/(LN(2)/25)*Calculateur!V77*Calculateur!X77*VLOOKUP('Données projet'!$B$9,Paramètres!$A$1:$I$89,3,0)*0.475*44/12</f>
        <v>0.66405080999873345</v>
      </c>
      <c r="AB77" s="23">
        <f>EXP(-LN(2)/2)*AB76+(1-EXP(-LN(2)/2))/(LN(2)/2)*V77*Y77*VLOOKUP('Données projet'!$B$9,Paramètres!$A$1:$I$89,3,0)*0.475*44/12</f>
        <v>3.2798659600249772E-6</v>
      </c>
      <c r="AC77" s="24">
        <f t="shared" si="57"/>
        <v>0.85299227880296791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17</v>
      </c>
      <c r="AI77" s="14">
        <f>IF('Données projet'!$A$62&gt;35,AI76+AH77-AQ76,IF(A77&lt;'Données projet'!$A$62,$AF$205^A77,IF(A77='Données projet'!$A$62,'Données projet'!$B$62,AI76+AH77-AQ76)))</f>
        <v>519.99999999999989</v>
      </c>
      <c r="AJ77" s="14">
        <f>AI77*VLOOKUP('Données projet'!$B$10,Paramètres!$A$1:$I$89,3,0)*VLOOKUP('Données projet'!$B$10,Paramètres!$A$1:$I$89,5,0)</f>
        <v>243.35999999999996</v>
      </c>
      <c r="AK77" s="14">
        <f t="shared" si="89"/>
        <v>59.161864860837127</v>
      </c>
      <c r="AL77" s="22">
        <f t="shared" si="58"/>
        <v>526.89224796595784</v>
      </c>
      <c r="AM77" s="62">
        <f t="shared" si="59"/>
        <v>820.22558129929121</v>
      </c>
      <c r="AN77" s="62">
        <f ca="1">AVERAGE(OFFSET($AM$3,0,0,'Données projet'!$E$10+1,1))-AVERAGE(OFFSET($H$3,0,0,'Données projet'!$E$10+1,1))</f>
        <v>396.92963589781414</v>
      </c>
      <c r="AO77" s="62">
        <f t="shared" si="90"/>
        <v>294.38852181137639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251.99999999999991</v>
      </c>
      <c r="O78" s="14">
        <f>N78*VLOOKUP('Données projet'!$B$9,Paramètres!$A$1:$I$89,3,0)*VLOOKUP('Données projet'!$B$9,Paramètres!$A$1:$I$89,5,0)</f>
        <v>228.00959999999992</v>
      </c>
      <c r="P78" s="14">
        <f t="shared" si="87"/>
        <v>55.852093054619829</v>
      </c>
      <c r="Q78" s="22">
        <f t="shared" si="54"/>
        <v>494.3924487367961</v>
      </c>
      <c r="R78" s="62">
        <f t="shared" si="55"/>
        <v>787.72578207012941</v>
      </c>
      <c r="S78" s="62">
        <f ca="1">AVERAGE(OFFSET($R$3,0,0,'Données projet'!$E$9+1,1))-AVERAGE(OFFSET($H$3,0,0,'Données projet'!$E$9+1,1))</f>
        <v>371.7282125501186</v>
      </c>
      <c r="T78" s="62">
        <f t="shared" si="88"/>
        <v>231.36959598460686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0.18523322629411096</v>
      </c>
      <c r="AA78" s="23">
        <f>EXP(-LN(2)/25)*AA77+(1-EXP(-LN(2)/25))/(LN(2)/25)*Calculateur!V78*Calculateur!X78*VLOOKUP('Données projet'!$B$9,Paramètres!$A$1:$I$89,3,0)*0.475*44/12</f>
        <v>0.64589230567840372</v>
      </c>
      <c r="AB78" s="23">
        <f>EXP(-LN(2)/2)*AB77+(1-EXP(-LN(2)/2))/(LN(2)/2)*V78*Y78*VLOOKUP('Données projet'!$B$9,Paramètres!$A$1:$I$89,3,0)*0.475*44/12</f>
        <v>2.3192154617165872E-6</v>
      </c>
      <c r="AC78" s="24">
        <f t="shared" si="57"/>
        <v>0.83112785118797639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17</v>
      </c>
      <c r="AI78" s="14">
        <f>IF('Données projet'!$A$62&gt;35,AI77+AH78-AQ77,IF(A78&lt;'Données projet'!$A$62,$AF$205^A78,IF(A78='Données projet'!$A$62,'Données projet'!$B$62,AI77+AH78-AQ77)))</f>
        <v>536.99999999999989</v>
      </c>
      <c r="AJ78" s="14">
        <f>AI78*VLOOKUP('Données projet'!$B$10,Paramètres!$A$1:$I$89,3,0)*VLOOKUP('Données projet'!$B$10,Paramètres!$A$1:$I$89,5,0)</f>
        <v>251.31599999999997</v>
      </c>
      <c r="AK78" s="14">
        <f t="shared" si="89"/>
        <v>60.86765628024984</v>
      </c>
      <c r="AL78" s="22">
        <f t="shared" si="58"/>
        <v>543.71986802143499</v>
      </c>
      <c r="AM78" s="62">
        <f t="shared" si="59"/>
        <v>837.05320135476836</v>
      </c>
      <c r="AN78" s="62">
        <f ca="1">AVERAGE(OFFSET($AM$3,0,0,'Données projet'!$E$10+1,1))-AVERAGE(OFFSET($H$3,0,0,'Données projet'!$E$10+1,1))</f>
        <v>396.92963589781414</v>
      </c>
      <c r="AO78" s="62">
        <f t="shared" si="90"/>
        <v>294.38852181137639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236.99999999999989</v>
      </c>
      <c r="O79" s="14">
        <f>N79*VLOOKUP('Données projet'!$B$9,Paramètres!$A$1:$I$89,3,0)*VLOOKUP('Données projet'!$B$9,Paramètres!$A$1:$I$89,5,0)</f>
        <v>214.43759999999989</v>
      </c>
      <c r="P79" s="14">
        <f t="shared" si="87"/>
        <v>52.904129603372375</v>
      </c>
      <c r="Q79" s="22">
        <f t="shared" si="54"/>
        <v>465.62017905920658</v>
      </c>
      <c r="R79" s="62">
        <f t="shared" si="55"/>
        <v>758.95351239253989</v>
      </c>
      <c r="S79" s="62">
        <f ca="1">AVERAGE(OFFSET($R$3,0,0,'Données projet'!$E$9+1,1))-AVERAGE(OFFSET($H$3,0,0,'Données projet'!$E$9+1,1))</f>
        <v>371.7282125501186</v>
      </c>
      <c r="T79" s="62">
        <f t="shared" si="88"/>
        <v>231.36959598460686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0.18160091570759551</v>
      </c>
      <c r="AA79" s="23">
        <f>EXP(-LN(2)/25)*AA78+(1-EXP(-LN(2)/25))/(LN(2)/25)*Calculateur!V79*Calculateur!X79*VLOOKUP('Données projet'!$B$9,Paramètres!$A$1:$I$89,3,0)*0.475*44/12</f>
        <v>0.62823034661362764</v>
      </c>
      <c r="AB79" s="23">
        <f>EXP(-LN(2)/2)*AB78+(1-EXP(-LN(2)/2))/(LN(2)/2)*V79*Y79*VLOOKUP('Données projet'!$B$9,Paramètres!$A$1:$I$89,3,0)*0.475*44/12</f>
        <v>1.6399329800124886E-6</v>
      </c>
      <c r="AC79" s="24">
        <f t="shared" si="57"/>
        <v>0.80983290225420312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17</v>
      </c>
      <c r="AI79" s="14">
        <f>IF('Données projet'!$A$62&gt;35,AI78+AH79-AQ78,IF(A79&lt;'Données projet'!$A$62,$AF$205^A79,IF(A79='Données projet'!$A$62,'Données projet'!$B$62,AI78+AH79-AQ78)))</f>
        <v>553.99999999999989</v>
      </c>
      <c r="AJ79" s="14">
        <f>AI79*VLOOKUP('Données projet'!$B$10,Paramètres!$A$1:$I$89,3,0)*VLOOKUP('Données projet'!$B$10,Paramètres!$A$1:$I$89,5,0)</f>
        <v>259.27199999999993</v>
      </c>
      <c r="AK79" s="14">
        <f t="shared" si="89"/>
        <v>62.567172460757938</v>
      </c>
      <c r="AL79" s="22">
        <f t="shared" si="58"/>
        <v>560.53655870248667</v>
      </c>
      <c r="AM79" s="62">
        <f t="shared" si="59"/>
        <v>853.86989203581993</v>
      </c>
      <c r="AN79" s="62">
        <f ca="1">AVERAGE(OFFSET($AM$3,0,0,'Données projet'!$E$10+1,1))-AVERAGE(OFFSET($H$3,0,0,'Données projet'!$E$10+1,1))</f>
        <v>396.92963589781414</v>
      </c>
      <c r="AO79" s="62">
        <f t="shared" si="90"/>
        <v>294.38852181137639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242.99999999999989</v>
      </c>
      <c r="O80" s="14">
        <f>N80*VLOOKUP('Données projet'!$B$9,Paramètres!$A$1:$I$89,3,0)*VLOOKUP('Données projet'!$B$9,Paramètres!$A$1:$I$89,5,0)</f>
        <v>219.86639999999989</v>
      </c>
      <c r="P80" s="14">
        <f t="shared" si="87"/>
        <v>54.085847394182416</v>
      </c>
      <c r="Q80" s="22">
        <f t="shared" si="54"/>
        <v>477.13349754486745</v>
      </c>
      <c r="R80" s="62">
        <f t="shared" si="55"/>
        <v>770.46683087820077</v>
      </c>
      <c r="S80" s="62">
        <f ca="1">AVERAGE(OFFSET($R$3,0,0,'Données projet'!$E$9+1,1))-AVERAGE(OFFSET($H$3,0,0,'Données projet'!$E$9+1,1))</f>
        <v>371.7282125501186</v>
      </c>
      <c r="T80" s="62">
        <f t="shared" si="88"/>
        <v>231.36959598460686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0.17803983251619096</v>
      </c>
      <c r="AA80" s="23">
        <f>EXP(-LN(2)/25)*AA79+(1-EXP(-LN(2)/25))/(LN(2)/25)*Calculateur!V80*Calculateur!X80*VLOOKUP('Données projet'!$B$9,Paramètres!$A$1:$I$89,3,0)*0.475*44/12</f>
        <v>0.61105135474827987</v>
      </c>
      <c r="AB80" s="23">
        <f>EXP(-LN(2)/2)*AB79+(1-EXP(-LN(2)/2))/(LN(2)/2)*V80*Y80*VLOOKUP('Données projet'!$B$9,Paramètres!$A$1:$I$89,3,0)*0.475*44/12</f>
        <v>1.1596077308582936E-6</v>
      </c>
      <c r="AC80" s="24">
        <f t="shared" si="57"/>
        <v>0.78909234687220164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17</v>
      </c>
      <c r="AI80" s="14">
        <f>IF('Données projet'!$A$62&gt;35,AI79+AH80-AQ79,IF(A80&lt;'Données projet'!$A$62,$AF$205^A80,IF(A80='Données projet'!$A$62,'Données projet'!$B$62,AI79+AH80-AQ79)))</f>
        <v>570.99999999999989</v>
      </c>
      <c r="AJ80" s="14">
        <f>AI80*VLOOKUP('Données projet'!$B$10,Paramètres!$A$1:$I$89,3,0)*VLOOKUP('Données projet'!$B$10,Paramètres!$A$1:$I$89,5,0)</f>
        <v>267.22799999999995</v>
      </c>
      <c r="AK80" s="14">
        <f t="shared" si="89"/>
        <v>64.260628062866161</v>
      </c>
      <c r="AL80" s="22">
        <f t="shared" si="58"/>
        <v>577.34269387615848</v>
      </c>
      <c r="AM80" s="62">
        <f t="shared" si="59"/>
        <v>870.67602720949185</v>
      </c>
      <c r="AN80" s="62">
        <f ca="1">AVERAGE(OFFSET($AM$3,0,0,'Données projet'!$E$10+1,1))-AVERAGE(OFFSET($H$3,0,0,'Données projet'!$E$10+1,1))</f>
        <v>396.92963589781414</v>
      </c>
      <c r="AO80" s="62">
        <f t="shared" si="90"/>
        <v>294.38852181137639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248.99999999999989</v>
      </c>
      <c r="O81" s="14">
        <f>N81*VLOOKUP('Données projet'!$B$9,Paramètres!$A$1:$I$89,3,0)*VLOOKUP('Données projet'!$B$9,Paramètres!$A$1:$I$89,5,0)</f>
        <v>225.29519999999991</v>
      </c>
      <c r="P81" s="14">
        <f t="shared" si="87"/>
        <v>55.264173352293078</v>
      </c>
      <c r="Q81" s="22">
        <f t="shared" si="54"/>
        <v>488.64090858857691</v>
      </c>
      <c r="R81" s="62">
        <f t="shared" si="55"/>
        <v>781.97424192191022</v>
      </c>
      <c r="S81" s="62">
        <f ca="1">AVERAGE(OFFSET($R$3,0,0,'Données projet'!$E$9+1,1))-AVERAGE(OFFSET($H$3,0,0,'Données projet'!$E$9+1,1))</f>
        <v>371.7282125501186</v>
      </c>
      <c r="T81" s="62">
        <f t="shared" si="88"/>
        <v>231.36959598460686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0.17454857999412357</v>
      </c>
      <c r="AA81" s="23">
        <f>EXP(-LN(2)/25)*AA80+(1-EXP(-LN(2)/25))/(LN(2)/25)*Calculateur!V81*Calculateur!X81*VLOOKUP('Données projet'!$B$9,Paramètres!$A$1:$I$89,3,0)*0.475*44/12</f>
        <v>0.59434212331889402</v>
      </c>
      <c r="AB81" s="23">
        <f>EXP(-LN(2)/2)*AB80+(1-EXP(-LN(2)/2))/(LN(2)/2)*V81*Y81*VLOOKUP('Données projet'!$B$9,Paramètres!$A$1:$I$89,3,0)*0.475*44/12</f>
        <v>8.199664900062443E-7</v>
      </c>
      <c r="AC81" s="24">
        <f t="shared" si="57"/>
        <v>0.7688915232795076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17</v>
      </c>
      <c r="AI81" s="14">
        <f>IF('Données projet'!$A$62&gt;35,AI80+AH81-AQ80,IF(A81&lt;'Données projet'!$A$62,$AF$205^A81,IF(A81='Données projet'!$A$62,'Données projet'!$B$62,AI80+AH81-AQ80)))</f>
        <v>587.99999999999989</v>
      </c>
      <c r="AJ81" s="14">
        <f>AI81*VLOOKUP('Données projet'!$B$10,Paramètres!$A$1:$I$89,3,0)*VLOOKUP('Données projet'!$B$10,Paramètres!$A$1:$I$89,5,0)</f>
        <v>275.18399999999997</v>
      </c>
      <c r="AK81" s="14">
        <f t="shared" si="89"/>
        <v>65.948224238651079</v>
      </c>
      <c r="AL81" s="22">
        <f t="shared" si="58"/>
        <v>594.13862388231712</v>
      </c>
      <c r="AM81" s="62">
        <f t="shared" si="59"/>
        <v>887.47195721565049</v>
      </c>
      <c r="AN81" s="62">
        <f ca="1">AVERAGE(OFFSET($AM$3,0,0,'Données projet'!$E$10+1,1))-AVERAGE(OFFSET($H$3,0,0,'Données projet'!$E$10+1,1))</f>
        <v>396.92963589781414</v>
      </c>
      <c r="AO81" s="62">
        <f t="shared" si="90"/>
        <v>294.38852181137639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254.99999999999989</v>
      </c>
      <c r="O82" s="14">
        <f>N82*VLOOKUP('Données projet'!$B$9,Paramètres!$A$1:$I$89,3,0)*VLOOKUP('Données projet'!$B$9,Paramètres!$A$1:$I$89,5,0)</f>
        <v>230.72399999999988</v>
      </c>
      <c r="P82" s="14">
        <f t="shared" si="87"/>
        <v>56.439198612082045</v>
      </c>
      <c r="Q82" s="22">
        <f t="shared" si="54"/>
        <v>500.14257091604264</v>
      </c>
      <c r="R82" s="62">
        <f t="shared" si="55"/>
        <v>793.47590424937596</v>
      </c>
      <c r="S82" s="62">
        <f ca="1">AVERAGE(OFFSET($R$3,0,0,'Données projet'!$E$9+1,1))-AVERAGE(OFFSET($H$3,0,0,'Données projet'!$E$9+1,1))</f>
        <v>371.7282125501186</v>
      </c>
      <c r="T82" s="62">
        <f t="shared" si="88"/>
        <v>231.36959598460686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0.17112578880456014</v>
      </c>
      <c r="AA82" s="23">
        <f>EXP(-LN(2)/25)*AA81+(1-EXP(-LN(2)/25))/(LN(2)/25)*Calculateur!V82*Calculateur!X82*VLOOKUP('Données projet'!$B$9,Paramètres!$A$1:$I$89,3,0)*0.475*44/12</f>
        <v>0.578089806701645</v>
      </c>
      <c r="AB82" s="23">
        <f>EXP(-LN(2)/2)*AB81+(1-EXP(-LN(2)/2))/(LN(2)/2)*V82*Y82*VLOOKUP('Données projet'!$B$9,Paramètres!$A$1:$I$89,3,0)*0.475*44/12</f>
        <v>5.7980386542914679E-7</v>
      </c>
      <c r="AC82" s="24">
        <f t="shared" si="57"/>
        <v>0.74921617531007068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17</v>
      </c>
      <c r="AI82" s="14">
        <f>IF('Données projet'!$A$62&gt;35,AI81+AH82-AQ81,IF(A82&lt;'Données projet'!$A$62,$AF$205^A82,IF(A82='Données projet'!$A$62,'Données projet'!$B$62,AI81+AH82-AQ81)))</f>
        <v>604.99999999999989</v>
      </c>
      <c r="AJ82" s="14">
        <f>AI82*VLOOKUP('Données projet'!$B$10,Paramètres!$A$1:$I$89,3,0)*VLOOKUP('Données projet'!$B$10,Paramètres!$A$1:$I$89,5,0)</f>
        <v>283.13999999999993</v>
      </c>
      <c r="AK82" s="14">
        <f t="shared" si="89"/>
        <v>67.630149847511944</v>
      </c>
      <c r="AL82" s="22">
        <f t="shared" si="58"/>
        <v>610.92467765108313</v>
      </c>
      <c r="AM82" s="62">
        <f t="shared" si="59"/>
        <v>904.25801098441639</v>
      </c>
      <c r="AN82" s="62">
        <f ca="1">AVERAGE(OFFSET($AM$3,0,0,'Données projet'!$E$10+1,1))-AVERAGE(OFFSET($H$3,0,0,'Données projet'!$E$10+1,1))</f>
        <v>396.92963589781414</v>
      </c>
      <c r="AO82" s="62">
        <f t="shared" si="90"/>
        <v>294.38852181137639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261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260.99999999999989</v>
      </c>
      <c r="O83" s="14">
        <f>N83*VLOOKUP('Données projet'!$B$9,Paramètres!$A$1:$I$89,3,0)*VLOOKUP('Données projet'!$B$9,Paramètres!$A$1:$I$89,5,0)</f>
        <v>236.15279999999987</v>
      </c>
      <c r="P83" s="14">
        <f t="shared" si="87"/>
        <v>57.61100977459931</v>
      </c>
      <c r="Q83" s="22">
        <f t="shared" si="54"/>
        <v>511.63863535742689</v>
      </c>
      <c r="R83" s="62">
        <f t="shared" si="55"/>
        <v>804.97196869076015</v>
      </c>
      <c r="S83" s="62">
        <f ca="1">AVERAGE(OFFSET($R$3,0,0,'Données projet'!$E$9+1,1))-AVERAGE(OFFSET($H$3,0,0,'Données projet'!$E$9+1,1))</f>
        <v>371.7282125501186</v>
      </c>
      <c r="T83" s="62">
        <f t="shared" si="88"/>
        <v>231.36959598460686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0.16777011646252757</v>
      </c>
      <c r="AA83" s="23">
        <f>EXP(-LN(2)/25)*AA82+(1-EXP(-LN(2)/25))/(LN(2)/25)*Calculateur!V83*Calculateur!X83*VLOOKUP('Données projet'!$B$9,Paramètres!$A$1:$I$89,3,0)*0.475*44/12</f>
        <v>0.56228191053696686</v>
      </c>
      <c r="AB83" s="23">
        <f>EXP(-LN(2)/2)*AB82+(1-EXP(-LN(2)/2))/(LN(2)/2)*V83*Y83*VLOOKUP('Données projet'!$B$9,Paramètres!$A$1:$I$89,3,0)*0.475*44/12</f>
        <v>4.0998324500312215E-7</v>
      </c>
      <c r="AC83" s="24">
        <f t="shared" si="57"/>
        <v>0.73005243698273947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622</v>
      </c>
      <c r="AG83" s="13">
        <f>VLOOKUP(A83,'Données projet'!$A$61:$I$81,9,0)</f>
        <v>17</v>
      </c>
      <c r="AH83" s="13">
        <f t="array" ref="AH83">INDEX(AG:AG,MIN(IF(ISNUMBER(AG83:AG279),ROW(AG83:AG279),"")))</f>
        <v>17</v>
      </c>
      <c r="AI83" s="14">
        <f>IF('Données projet'!$A$62&gt;35,AI82+AH83-AQ82,IF(A83&lt;'Données projet'!$A$62,$AF$205^A83,IF(A83='Données projet'!$A$62,'Données projet'!$B$62,AI82+AH83-AQ82)))</f>
        <v>621.99999999999989</v>
      </c>
      <c r="AJ83" s="14">
        <f>AI83*VLOOKUP('Données projet'!$B$10,Paramètres!$A$1:$I$89,3,0)*VLOOKUP('Données projet'!$B$10,Paramètres!$A$1:$I$89,5,0)</f>
        <v>291.09599999999995</v>
      </c>
      <c r="AK83" s="14">
        <f t="shared" si="89"/>
        <v>69.306582531434373</v>
      </c>
      <c r="AL83" s="22">
        <f t="shared" si="58"/>
        <v>627.7011645755814</v>
      </c>
      <c r="AM83" s="62">
        <f t="shared" si="59"/>
        <v>921.03449790891477</v>
      </c>
      <c r="AN83" s="62">
        <f ca="1">AVERAGE(OFFSET($AM$3,0,0,'Données projet'!$E$10+1,1))-AVERAGE(OFFSET($H$3,0,0,'Données projet'!$E$10+1,1))</f>
        <v>396.92963589781414</v>
      </c>
      <c r="AO83" s="62">
        <f t="shared" si="90"/>
        <v>294.38852181137639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124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</v>
      </c>
      <c r="N84" s="14">
        <f>IF('Données projet'!$A$36&gt;35,N83+M84-V83,IF(A84&lt;'Données projet'!$A$36,$K$205^A84,IF(A84='Données projet'!$A$36,'Données projet'!$B$36,N83+M84-V83)))</f>
        <v>245.7999999999999</v>
      </c>
      <c r="O84" s="14">
        <f>N84*VLOOKUP('Données projet'!$B$9,Paramètres!$A$1:$I$89,3,0)*VLOOKUP('Données projet'!$B$9,Paramètres!$A$1:$I$89,5,0)</f>
        <v>222.3998399999999</v>
      </c>
      <c r="P84" s="14">
        <f t="shared" si="87"/>
        <v>54.636149281681448</v>
      </c>
      <c r="Q84" s="22">
        <f t="shared" si="54"/>
        <v>482.50434799892832</v>
      </c>
      <c r="R84" s="62">
        <f t="shared" si="55"/>
        <v>775.83768133226158</v>
      </c>
      <c r="S84" s="62">
        <f ca="1">AVERAGE(OFFSET($R$3,0,0,'Données projet'!$E$9+1,1))-AVERAGE(OFFSET($H$3,0,0,'Données projet'!$E$9+1,1))</f>
        <v>371.7282125501186</v>
      </c>
      <c r="T84" s="62">
        <f t="shared" si="88"/>
        <v>231.36959598460686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0.16448024680836423</v>
      </c>
      <c r="AA84" s="23">
        <f>EXP(-LN(2)/25)*AA83+(1-EXP(-LN(2)/25))/(LN(2)/25)*Calculateur!V84*Calculateur!X84*VLOOKUP('Données projet'!$B$9,Paramètres!$A$1:$I$89,3,0)*0.475*44/12</f>
        <v>0.54690628212421288</v>
      </c>
      <c r="AB84" s="23">
        <f>EXP(-LN(2)/2)*AB83+(1-EXP(-LN(2)/2))/(LN(2)/2)*V84*Y84*VLOOKUP('Données projet'!$B$9,Paramètres!$A$1:$I$89,3,0)*0.475*44/12</f>
        <v>2.8990193271457339E-7</v>
      </c>
      <c r="AC84" s="24">
        <f t="shared" si="57"/>
        <v>0.71138681883450983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17.5</v>
      </c>
      <c r="AI84" s="14">
        <f>IF('Données projet'!$A$62&gt;35,AI83+AH84-AQ83,IF(A84&lt;'Données projet'!$A$62,$AF$205^A84,IF(A84='Données projet'!$A$62,'Données projet'!$B$62,AI83+AH84-AQ83)))</f>
        <v>515.49999999999989</v>
      </c>
      <c r="AJ84" s="14">
        <f>AI84*VLOOKUP('Données projet'!$B$10,Paramètres!$A$1:$I$89,3,0)*VLOOKUP('Données projet'!$B$10,Paramètres!$A$1:$I$89,5,0)</f>
        <v>241.25399999999996</v>
      </c>
      <c r="AK84" s="14">
        <f t="shared" si="89"/>
        <v>58.70925280391986</v>
      </c>
      <c r="AL84" s="22">
        <f t="shared" si="58"/>
        <v>522.43599863349357</v>
      </c>
      <c r="AM84" s="62">
        <f t="shared" si="59"/>
        <v>815.76933196682694</v>
      </c>
      <c r="AN84" s="62">
        <f ca="1">AVERAGE(OFFSET($AM$3,0,0,'Données projet'!$E$10+1,1))-AVERAGE(OFFSET($H$3,0,0,'Données projet'!$E$10+1,1))</f>
        <v>396.92963589781414</v>
      </c>
      <c r="AO84" s="62">
        <f t="shared" si="90"/>
        <v>294.38852181137639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5.8</v>
      </c>
      <c r="N85" s="14">
        <f>IF('Données projet'!$A$36&gt;35,N84+M85-V84,IF(A85&lt;'Données projet'!$A$36,$K$205^A85,IF(A85='Données projet'!$A$36,'Données projet'!$B$36,N84+M85-V84)))</f>
        <v>251.59999999999991</v>
      </c>
      <c r="O85" s="14">
        <f>N85*VLOOKUP('Données projet'!$B$9,Paramètres!$A$1:$I$89,3,0)*VLOOKUP('Données projet'!$B$9,Paramètres!$A$1:$I$89,5,0)</f>
        <v>227.64767999999992</v>
      </c>
      <c r="P85" s="14">
        <f t="shared" si="87"/>
        <v>55.773751036838313</v>
      </c>
      <c r="Q85" s="22">
        <f t="shared" si="54"/>
        <v>493.62565905582659</v>
      </c>
      <c r="R85" s="62">
        <f t="shared" si="55"/>
        <v>786.9589923891599</v>
      </c>
      <c r="S85" s="62">
        <f ca="1">AVERAGE(OFFSET($R$3,0,0,'Données projet'!$E$9+1,1))-AVERAGE(OFFSET($H$3,0,0,'Données projet'!$E$9+1,1))</f>
        <v>371.7282125501186</v>
      </c>
      <c r="T85" s="62">
        <f t="shared" si="88"/>
        <v>231.36959598460686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0.16125488949149669</v>
      </c>
      <c r="AA85" s="23">
        <f>EXP(-LN(2)/25)*AA84+(1-EXP(-LN(2)/25))/(LN(2)/25)*Calculateur!V85*Calculateur!X85*VLOOKUP('Données projet'!$B$9,Paramètres!$A$1:$I$89,3,0)*0.475*44/12</f>
        <v>0.53195110107897492</v>
      </c>
      <c r="AB85" s="23">
        <f>EXP(-LN(2)/2)*AB84+(1-EXP(-LN(2)/2))/(LN(2)/2)*V85*Y85*VLOOKUP('Données projet'!$B$9,Paramètres!$A$1:$I$89,3,0)*0.475*44/12</f>
        <v>2.0499162250156108E-7</v>
      </c>
      <c r="AC85" s="24">
        <f t="shared" si="57"/>
        <v>0.69320619556209406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17.5</v>
      </c>
      <c r="AI85" s="14">
        <f>IF('Données projet'!$A$62&gt;35,AI84+AH85-AQ84,IF(A85&lt;'Données projet'!$A$62,$AF$205^A85,IF(A85='Données projet'!$A$62,'Données projet'!$B$62,AI84+AH85-AQ84)))</f>
        <v>532.99999999999989</v>
      </c>
      <c r="AJ85" s="14">
        <f>AI85*VLOOKUP('Données projet'!$B$10,Paramètres!$A$1:$I$89,3,0)*VLOOKUP('Données projet'!$B$10,Paramètres!$A$1:$I$89,5,0)</f>
        <v>249.44399999999993</v>
      </c>
      <c r="AK85" s="14">
        <f t="shared" si="89"/>
        <v>60.466866397117599</v>
      </c>
      <c r="AL85" s="22">
        <f t="shared" si="58"/>
        <v>539.76142564164627</v>
      </c>
      <c r="AM85" s="62">
        <f t="shared" si="59"/>
        <v>833.09475897497964</v>
      </c>
      <c r="AN85" s="62">
        <f ca="1">AVERAGE(OFFSET($AM$3,0,0,'Données projet'!$E$10+1,1))-AVERAGE(OFFSET($H$3,0,0,'Données projet'!$E$10+1,1))</f>
        <v>396.92963589781414</v>
      </c>
      <c r="AO85" s="62">
        <f t="shared" si="90"/>
        <v>294.38852181137639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5.8</v>
      </c>
      <c r="N86" s="14">
        <f>IF('Données projet'!$A$36&gt;35,N85+M86-V85,IF(A86&lt;'Données projet'!$A$36,$K$205^A86,IF(A86='Données projet'!$A$36,'Données projet'!$B$36,N85+M86-V85)))</f>
        <v>257.39999999999992</v>
      </c>
      <c r="O86" s="14">
        <f>N86*VLOOKUP('Données projet'!$B$9,Paramètres!$A$1:$I$89,3,0)*VLOOKUP('Données projet'!$B$9,Paramètres!$A$1:$I$89,5,0)</f>
        <v>232.89551999999992</v>
      </c>
      <c r="P86" s="14">
        <f t="shared" si="87"/>
        <v>56.908304063818662</v>
      </c>
      <c r="Q86" s="22">
        <f t="shared" si="54"/>
        <v>504.74166024448397</v>
      </c>
      <c r="R86" s="62">
        <f t="shared" si="55"/>
        <v>798.07499357781728</v>
      </c>
      <c r="S86" s="62">
        <f ca="1">AVERAGE(OFFSET($R$3,0,0,'Données projet'!$E$9+1,1))-AVERAGE(OFFSET($H$3,0,0,'Données projet'!$E$9+1,1))</f>
        <v>371.7282125501186</v>
      </c>
      <c r="T86" s="62">
        <f t="shared" si="88"/>
        <v>231.36959598460686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0.15809277946433919</v>
      </c>
      <c r="AA86" s="23">
        <f>EXP(-LN(2)/25)*AA85+(1-EXP(-LN(2)/25))/(LN(2)/25)*Calculateur!V86*Calculateur!X86*VLOOKUP('Données projet'!$B$9,Paramètres!$A$1:$I$89,3,0)*0.475*44/12</f>
        <v>0.51740487024587778</v>
      </c>
      <c r="AB86" s="23">
        <f>EXP(-LN(2)/2)*AB85+(1-EXP(-LN(2)/2))/(LN(2)/2)*V86*Y86*VLOOKUP('Données projet'!$B$9,Paramètres!$A$1:$I$89,3,0)*0.475*44/12</f>
        <v>1.449509663572867E-7</v>
      </c>
      <c r="AC86" s="24">
        <f t="shared" si="57"/>
        <v>0.67549779466118332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17.5</v>
      </c>
      <c r="AI86" s="14">
        <f>IF('Données projet'!$A$62&gt;35,AI85+AH86-AQ85,IF(A86&lt;'Données projet'!$A$62,$AF$205^A86,IF(A86='Données projet'!$A$62,'Données projet'!$B$62,AI85+AH86-AQ85)))</f>
        <v>550.49999999999989</v>
      </c>
      <c r="AJ86" s="14">
        <f>AI86*VLOOKUP('Données projet'!$B$10,Paramètres!$A$1:$I$89,3,0)*VLOOKUP('Données projet'!$B$10,Paramètres!$A$1:$I$89,5,0)</f>
        <v>257.63399999999996</v>
      </c>
      <c r="AK86" s="14">
        <f t="shared" si="89"/>
        <v>62.217774353261795</v>
      </c>
      <c r="AL86" s="22">
        <f t="shared" si="58"/>
        <v>557.07517366526417</v>
      </c>
      <c r="AM86" s="62">
        <f t="shared" si="59"/>
        <v>850.40850699859743</v>
      </c>
      <c r="AN86" s="62">
        <f ca="1">AVERAGE(OFFSET($AM$3,0,0,'Données projet'!$E$10+1,1))-AVERAGE(OFFSET($H$3,0,0,'Données projet'!$E$10+1,1))</f>
        <v>396.92963589781414</v>
      </c>
      <c r="AO86" s="62">
        <f t="shared" si="90"/>
        <v>294.38852181137639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5.8</v>
      </c>
      <c r="N87" s="14">
        <f>IF('Données projet'!$A$36&gt;35,N86+M87-V86,IF(A87&lt;'Données projet'!$A$36,$K$205^A87,IF(A87='Données projet'!$A$36,'Données projet'!$B$36,N86+M87-V86)))</f>
        <v>263.19999999999993</v>
      </c>
      <c r="O87" s="14">
        <f>N87*VLOOKUP('Données projet'!$B$9,Paramètres!$A$1:$I$89,3,0)*VLOOKUP('Données projet'!$B$9,Paramètres!$A$1:$I$89,5,0)</f>
        <v>238.14335999999992</v>
      </c>
      <c r="P87" s="14">
        <f t="shared" si="87"/>
        <v>58.039884968630489</v>
      </c>
      <c r="Q87" s="22">
        <f t="shared" si="54"/>
        <v>515.85248498703129</v>
      </c>
      <c r="R87" s="62">
        <f t="shared" si="55"/>
        <v>809.18581832036466</v>
      </c>
      <c r="S87" s="62">
        <f ca="1">AVERAGE(OFFSET($R$3,0,0,'Données projet'!$E$9+1,1))-AVERAGE(OFFSET($H$3,0,0,'Données projet'!$E$9+1,1))</f>
        <v>371.7282125501186</v>
      </c>
      <c r="T87" s="62">
        <f t="shared" si="88"/>
        <v>231.36959598460686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0.15499267648611759</v>
      </c>
      <c r="AA87" s="23">
        <f>EXP(-LN(2)/25)*AA86+(1-EXP(-LN(2)/25))/(LN(2)/25)*Calculateur!V87*Calculateur!X87*VLOOKUP('Données projet'!$B$9,Paramètres!$A$1:$I$89,3,0)*0.475*44/12</f>
        <v>0.50325640685986472</v>
      </c>
      <c r="AB87" s="23">
        <f>EXP(-LN(2)/2)*AB86+(1-EXP(-LN(2)/2))/(LN(2)/2)*V87*Y87*VLOOKUP('Données projet'!$B$9,Paramètres!$A$1:$I$89,3,0)*0.475*44/12</f>
        <v>1.0249581125078054E-7</v>
      </c>
      <c r="AC87" s="24">
        <f t="shared" si="57"/>
        <v>0.65824918584179359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17.5</v>
      </c>
      <c r="AI87" s="14">
        <f>IF('Données projet'!$A$62&gt;35,AI86+AH87-AQ86,IF(A87&lt;'Données projet'!$A$62,$AF$205^A87,IF(A87='Données projet'!$A$62,'Données projet'!$B$62,AI86+AH87-AQ86)))</f>
        <v>567.99999999999989</v>
      </c>
      <c r="AJ87" s="14">
        <f>AI87*VLOOKUP('Données projet'!$B$10,Paramètres!$A$1:$I$89,3,0)*VLOOKUP('Données projet'!$B$10,Paramètres!$A$1:$I$89,5,0)</f>
        <v>265.82399999999996</v>
      </c>
      <c r="AK87" s="14">
        <f t="shared" si="89"/>
        <v>63.962214293903529</v>
      </c>
      <c r="AL87" s="22">
        <f t="shared" si="58"/>
        <v>574.37765656188185</v>
      </c>
      <c r="AM87" s="62">
        <f t="shared" si="59"/>
        <v>867.71098989521511</v>
      </c>
      <c r="AN87" s="62">
        <f ca="1">AVERAGE(OFFSET($AM$3,0,0,'Données projet'!$E$10+1,1))-AVERAGE(OFFSET($H$3,0,0,'Données projet'!$E$10+1,1))</f>
        <v>396.92963589781414</v>
      </c>
      <c r="AO87" s="62">
        <f t="shared" si="90"/>
        <v>294.38852181137639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5.8</v>
      </c>
      <c r="M88" s="13">
        <f t="array" ref="M88">INDEX(L:L,MIN(IF(ISNUMBER(L88:L284),ROW(L88:L284),"")))</f>
        <v>5.8</v>
      </c>
      <c r="N88" s="14">
        <f>IF('Données projet'!$A$36&gt;35,N87+M88-V87,IF(A88&lt;'Données projet'!$A$36,$K$205^A88,IF(A88='Données projet'!$A$36,'Données projet'!$B$36,N87+M88-V87)))</f>
        <v>268.99999999999994</v>
      </c>
      <c r="O88" s="14">
        <f>N88*VLOOKUP('Données projet'!$B$9,Paramètres!$A$1:$I$89,3,0)*VLOOKUP('Données projet'!$B$9,Paramètres!$A$1:$I$89,5,0)</f>
        <v>243.39119999999994</v>
      </c>
      <c r="P88" s="14">
        <f t="shared" si="87"/>
        <v>59.168566788241527</v>
      </c>
      <c r="Q88" s="22">
        <f t="shared" si="54"/>
        <v>526.95826048952051</v>
      </c>
      <c r="R88" s="62">
        <f t="shared" si="55"/>
        <v>820.29159382285388</v>
      </c>
      <c r="S88" s="62">
        <f ca="1">AVERAGE(OFFSET($R$3,0,0,'Données projet'!$E$9+1,1))-AVERAGE(OFFSET($H$3,0,0,'Données projet'!$E$9+1,1))</f>
        <v>371.7282125501186</v>
      </c>
      <c r="T88" s="62">
        <f t="shared" si="88"/>
        <v>231.36959598460686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0.15195336463642281</v>
      </c>
      <c r="AA88" s="23">
        <f>EXP(-LN(2)/25)*AA87+(1-EXP(-LN(2)/25))/(LN(2)/25)*Calculateur!V88*Calculateur!X88*VLOOKUP('Données projet'!$B$9,Paramètres!$A$1:$I$89,3,0)*0.475*44/12</f>
        <v>0.48949483394917748</v>
      </c>
      <c r="AB88" s="23">
        <f>EXP(-LN(2)/2)*AB87+(1-EXP(-LN(2)/2))/(LN(2)/2)*V88*Y88*VLOOKUP('Données projet'!$B$9,Paramètres!$A$1:$I$89,3,0)*0.475*44/12</f>
        <v>7.2475483178643349E-8</v>
      </c>
      <c r="AC88" s="24">
        <f t="shared" si="57"/>
        <v>0.64144827106108349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17.5</v>
      </c>
      <c r="AI88" s="14">
        <f>IF('Données projet'!$A$62&gt;35,AI87+AH88-AQ87,IF(A88&lt;'Données projet'!$A$62,$AF$205^A88,IF(A88='Données projet'!$A$62,'Données projet'!$B$62,AI87+AH88-AQ87)))</f>
        <v>585.49999999999989</v>
      </c>
      <c r="AJ88" s="14">
        <f>AI88*VLOOKUP('Données projet'!$B$10,Paramètres!$A$1:$I$89,3,0)*VLOOKUP('Données projet'!$B$10,Paramètres!$A$1:$I$89,5,0)</f>
        <v>274.01399999999995</v>
      </c>
      <c r="AK88" s="14">
        <f t="shared" si="89"/>
        <v>65.700408366571935</v>
      </c>
      <c r="AL88" s="22">
        <f t="shared" si="58"/>
        <v>591.66926123844598</v>
      </c>
      <c r="AM88" s="62">
        <f t="shared" si="59"/>
        <v>885.00259457177935</v>
      </c>
      <c r="AN88" s="62">
        <f ca="1">AVERAGE(OFFSET($AM$3,0,0,'Données projet'!$E$10+1,1))-AVERAGE(OFFSET($H$3,0,0,'Données projet'!$E$10+1,1))</f>
        <v>396.92963589781414</v>
      </c>
      <c r="AO88" s="62">
        <f t="shared" si="90"/>
        <v>294.38852181137639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253.39999999999992</v>
      </c>
      <c r="O89" s="14">
        <f>N89*VLOOKUP('Données projet'!$B$9,Paramètres!$A$1:$I$89,3,0)*VLOOKUP('Données projet'!$B$9,Paramètres!$A$1:$I$89,5,0)</f>
        <v>229.27631999999994</v>
      </c>
      <c r="P89" s="14">
        <f t="shared" si="87"/>
        <v>56.126176307517476</v>
      </c>
      <c r="Q89" s="22">
        <f t="shared" si="54"/>
        <v>497.07601440225949</v>
      </c>
      <c r="R89" s="62">
        <f t="shared" si="55"/>
        <v>790.40934773559275</v>
      </c>
      <c r="S89" s="62">
        <f ca="1">AVERAGE(OFFSET($R$3,0,0,'Données projet'!$E$9+1,1))-AVERAGE(OFFSET($H$3,0,0,'Données projet'!$E$9+1,1))</f>
        <v>371.7282125501186</v>
      </c>
      <c r="T89" s="62">
        <f t="shared" si="88"/>
        <v>231.36959598460686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0.14897365183830336</v>
      </c>
      <c r="AA89" s="23">
        <f>EXP(-LN(2)/25)*AA88+(1-EXP(-LN(2)/25))/(LN(2)/25)*Calculateur!V89*Calculateur!X89*VLOOKUP('Données projet'!$B$9,Paramètres!$A$1:$I$89,3,0)*0.475*44/12</f>
        <v>0.47610957197342263</v>
      </c>
      <c r="AB89" s="23">
        <f>EXP(-LN(2)/2)*AB88+(1-EXP(-LN(2)/2))/(LN(2)/2)*V89*Y89*VLOOKUP('Données projet'!$B$9,Paramètres!$A$1:$I$89,3,0)*0.475*44/12</f>
        <v>5.1247905625390269E-8</v>
      </c>
      <c r="AC89" s="24">
        <f t="shared" si="57"/>
        <v>0.62508327505963157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17.5</v>
      </c>
      <c r="AI89" s="14">
        <f>IF('Données projet'!$A$62&gt;35,AI88+AH89-AQ88,IF(A89&lt;'Données projet'!$A$62,$AF$205^A89,IF(A89='Données projet'!$A$62,'Données projet'!$B$62,AI88+AH89-AQ88)))</f>
        <v>602.99999999999989</v>
      </c>
      <c r="AJ89" s="14">
        <f>AI89*VLOOKUP('Données projet'!$B$10,Paramètres!$A$1:$I$89,3,0)*VLOOKUP('Données projet'!$B$10,Paramètres!$A$1:$I$89,5,0)</f>
        <v>282.20399999999995</v>
      </c>
      <c r="AK89" s="14">
        <f t="shared" si="89"/>
        <v>67.432564684485186</v>
      </c>
      <c r="AL89" s="22">
        <f t="shared" si="58"/>
        <v>608.9503501588116</v>
      </c>
      <c r="AM89" s="62">
        <f t="shared" si="59"/>
        <v>902.28368349214497</v>
      </c>
      <c r="AN89" s="62">
        <f ca="1">AVERAGE(OFFSET($AM$3,0,0,'Données projet'!$E$10+1,1))-AVERAGE(OFFSET($H$3,0,0,'Données projet'!$E$10+1,1))</f>
        <v>396.92963589781414</v>
      </c>
      <c r="AO89" s="62">
        <f t="shared" si="90"/>
        <v>294.38852181137639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258.7999999999999</v>
      </c>
      <c r="O90" s="14">
        <f>N90*VLOOKUP('Données projet'!$B$9,Paramètres!$A$1:$I$89,3,0)*VLOOKUP('Données projet'!$B$9,Paramètres!$A$1:$I$89,5,0)</f>
        <v>234.16223999999988</v>
      </c>
      <c r="P90" s="14">
        <f t="shared" si="87"/>
        <v>57.181713578143047</v>
      </c>
      <c r="Q90" s="22">
        <f t="shared" si="54"/>
        <v>507.42405248193222</v>
      </c>
      <c r="R90" s="62">
        <f t="shared" si="55"/>
        <v>800.75738581526548</v>
      </c>
      <c r="S90" s="62">
        <f ca="1">AVERAGE(OFFSET($R$3,0,0,'Données projet'!$E$9+1,1))-AVERAGE(OFFSET($H$3,0,0,'Données projet'!$E$9+1,1))</f>
        <v>371.7282125501186</v>
      </c>
      <c r="T90" s="62">
        <f t="shared" si="88"/>
        <v>231.36959598460686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0.14605236939070967</v>
      </c>
      <c r="AA90" s="23">
        <f>EXP(-LN(2)/25)*AA89+(1-EXP(-LN(2)/25))/(LN(2)/25)*Calculateur!V90*Calculateur!X90*VLOOKUP('Données projet'!$B$9,Paramètres!$A$1:$I$89,3,0)*0.475*44/12</f>
        <v>0.46309033069029515</v>
      </c>
      <c r="AB90" s="23">
        <f>EXP(-LN(2)/2)*AB89+(1-EXP(-LN(2)/2))/(LN(2)/2)*V90*Y90*VLOOKUP('Données projet'!$B$9,Paramètres!$A$1:$I$89,3,0)*0.475*44/12</f>
        <v>3.6237741589321674E-8</v>
      </c>
      <c r="AC90" s="24">
        <f t="shared" si="57"/>
        <v>0.60914273631874638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17.5</v>
      </c>
      <c r="AI90" s="14">
        <f>IF('Données projet'!$A$62&gt;35,AI89+AH90-AQ89,IF(A90&lt;'Données projet'!$A$62,$AF$205^A90,IF(A90='Données projet'!$A$62,'Données projet'!$B$62,AI89+AH90-AQ89)))</f>
        <v>620.49999999999989</v>
      </c>
      <c r="AJ90" s="14">
        <f>AI90*VLOOKUP('Données projet'!$B$10,Paramètres!$A$1:$I$89,3,0)*VLOOKUP('Données projet'!$B$10,Paramètres!$A$1:$I$89,5,0)</f>
        <v>290.39399999999995</v>
      </c>
      <c r="AK90" s="14">
        <f t="shared" si="89"/>
        <v>69.158878594433091</v>
      </c>
      <c r="AL90" s="22">
        <f t="shared" si="58"/>
        <v>626.22126355197076</v>
      </c>
      <c r="AM90" s="62">
        <f t="shared" si="59"/>
        <v>919.55459688530414</v>
      </c>
      <c r="AN90" s="62">
        <f ca="1">AVERAGE(OFFSET($AM$3,0,0,'Données projet'!$E$10+1,1))-AVERAGE(OFFSET($H$3,0,0,'Données projet'!$E$10+1,1))</f>
        <v>396.92963589781414</v>
      </c>
      <c r="AO90" s="62">
        <f t="shared" si="90"/>
        <v>294.38852181137639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264.19999999999987</v>
      </c>
      <c r="O91" s="14">
        <f>N91*VLOOKUP('Données projet'!$B$9,Paramètres!$A$1:$I$89,3,0)*VLOOKUP('Données projet'!$B$9,Paramètres!$A$1:$I$89,5,0)</f>
        <v>239.04815999999985</v>
      </c>
      <c r="P91" s="14">
        <f t="shared" si="87"/>
        <v>58.234690128947292</v>
      </c>
      <c r="Q91" s="22">
        <f t="shared" si="54"/>
        <v>517.76763064124964</v>
      </c>
      <c r="R91" s="62">
        <f t="shared" si="55"/>
        <v>811.10096397458301</v>
      </c>
      <c r="S91" s="62">
        <f ca="1">AVERAGE(OFFSET($R$3,0,0,'Données projet'!$E$9+1,1))-AVERAGE(OFFSET($H$3,0,0,'Données projet'!$E$9+1,1))</f>
        <v>371.7282125501186</v>
      </c>
      <c r="T91" s="62">
        <f t="shared" si="88"/>
        <v>231.36959598460686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0.14318837151010697</v>
      </c>
      <c r="AA91" s="23">
        <f>EXP(-LN(2)/25)*AA90+(1-EXP(-LN(2)/25))/(LN(2)/25)*Calculateur!V91*Calculateur!X91*VLOOKUP('Données projet'!$B$9,Paramètres!$A$1:$I$89,3,0)*0.475*44/12</f>
        <v>0.45042710124470692</v>
      </c>
      <c r="AB91" s="23">
        <f>EXP(-LN(2)/2)*AB90+(1-EXP(-LN(2)/2))/(LN(2)/2)*V91*Y91*VLOOKUP('Données projet'!$B$9,Paramètres!$A$1:$I$89,3,0)*0.475*44/12</f>
        <v>2.5623952812695134E-8</v>
      </c>
      <c r="AC91" s="24">
        <f t="shared" si="57"/>
        <v>0.5936154983787667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17.5</v>
      </c>
      <c r="AI91" s="14">
        <f>IF('Données projet'!$A$62&gt;35,AI90+AH91-AQ90,IF(A91&lt;'Données projet'!$A$62,$AF$205^A91,IF(A91='Données projet'!$A$62,'Données projet'!$B$62,AI90+AH91-AQ90)))</f>
        <v>637.99999999999989</v>
      </c>
      <c r="AJ91" s="14">
        <f>AI91*VLOOKUP('Données projet'!$B$10,Paramètres!$A$1:$I$89,3,0)*VLOOKUP('Données projet'!$B$10,Paramètres!$A$1:$I$89,5,0)</f>
        <v>298.58399999999995</v>
      </c>
      <c r="AK91" s="14">
        <f t="shared" si="89"/>
        <v>70.879533797607607</v>
      </c>
      <c r="AL91" s="22">
        <f t="shared" si="58"/>
        <v>643.48232136416652</v>
      </c>
      <c r="AM91" s="62">
        <f t="shared" si="59"/>
        <v>936.81565469749989</v>
      </c>
      <c r="AN91" s="62">
        <f ca="1">AVERAGE(OFFSET($AM$3,0,0,'Données projet'!$E$10+1,1))-AVERAGE(OFFSET($H$3,0,0,'Données projet'!$E$10+1,1))</f>
        <v>396.92963589781414</v>
      </c>
      <c r="AO91" s="62">
        <f t="shared" si="90"/>
        <v>294.38852181137639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269.59999999999985</v>
      </c>
      <c r="O92" s="14">
        <f>N92*VLOOKUP('Données projet'!$B$9,Paramètres!$A$1:$I$89,3,0)*VLOOKUP('Données projet'!$B$9,Paramètres!$A$1:$I$89,5,0)</f>
        <v>243.93407999999988</v>
      </c>
      <c r="P92" s="14">
        <f t="shared" si="87"/>
        <v>59.285164329617594</v>
      </c>
      <c r="Q92" s="22">
        <f t="shared" si="54"/>
        <v>528.10685054075043</v>
      </c>
      <c r="R92" s="62">
        <f t="shared" si="55"/>
        <v>821.44018387408369</v>
      </c>
      <c r="S92" s="62">
        <f ca="1">AVERAGE(OFFSET($R$3,0,0,'Données projet'!$E$9+1,1))-AVERAGE(OFFSET($H$3,0,0,'Données projet'!$E$9+1,1))</f>
        <v>371.7282125501186</v>
      </c>
      <c r="T92" s="62">
        <f t="shared" si="88"/>
        <v>231.36959598460686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0.14038053488107666</v>
      </c>
      <c r="AA92" s="23">
        <f>EXP(-LN(2)/25)*AA91+(1-EXP(-LN(2)/25))/(LN(2)/25)*Calculateur!V92*Calculateur!X92*VLOOKUP('Données projet'!$B$9,Paramètres!$A$1:$I$89,3,0)*0.475*44/12</f>
        <v>0.43811014847423863</v>
      </c>
      <c r="AB92" s="23">
        <f>EXP(-LN(2)/2)*AB91+(1-EXP(-LN(2)/2))/(LN(2)/2)*V92*Y92*VLOOKUP('Données projet'!$B$9,Paramètres!$A$1:$I$89,3,0)*0.475*44/12</f>
        <v>1.8118870794660837E-8</v>
      </c>
      <c r="AC92" s="24">
        <f t="shared" si="57"/>
        <v>0.57849070147418613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17.5</v>
      </c>
      <c r="AI92" s="14">
        <f>IF('Données projet'!$A$62&gt;35,AI91+AH92-AQ91,IF(A92&lt;'Données projet'!$A$62,$AF$205^A92,IF(A92='Données projet'!$A$62,'Données projet'!$B$62,AI91+AH92-AQ91)))</f>
        <v>655.49999999999989</v>
      </c>
      <c r="AJ92" s="14">
        <f>AI92*VLOOKUP('Données projet'!$B$10,Paramètres!$A$1:$I$89,3,0)*VLOOKUP('Données projet'!$B$10,Paramètres!$A$1:$I$89,5,0)</f>
        <v>306.77399999999994</v>
      </c>
      <c r="AK92" s="14">
        <f t="shared" si="89"/>
        <v>72.594703343999058</v>
      </c>
      <c r="AL92" s="22">
        <f t="shared" si="58"/>
        <v>660.73382499079833</v>
      </c>
      <c r="AM92" s="62">
        <f t="shared" si="59"/>
        <v>954.0671583241317</v>
      </c>
      <c r="AN92" s="62">
        <f ca="1">AVERAGE(OFFSET($AM$3,0,0,'Données projet'!$E$10+1,1))-AVERAGE(OFFSET($H$3,0,0,'Données projet'!$E$10+1,1))</f>
        <v>396.92963589781414</v>
      </c>
      <c r="AO92" s="62">
        <f t="shared" si="90"/>
        <v>294.38852181137639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274.99999999999983</v>
      </c>
      <c r="O93" s="14">
        <f>N93*VLOOKUP('Données projet'!$B$9,Paramètres!$A$1:$I$89,3,0)*VLOOKUP('Données projet'!$B$9,Paramètres!$A$1:$I$89,5,0)</f>
        <v>248.81999999999982</v>
      </c>
      <c r="P93" s="14">
        <f t="shared" si="87"/>
        <v>60.333192077890018</v>
      </c>
      <c r="Q93" s="22">
        <f t="shared" si="54"/>
        <v>538.44180953565808</v>
      </c>
      <c r="R93" s="62">
        <f t="shared" si="55"/>
        <v>831.77514286899145</v>
      </c>
      <c r="S93" s="62">
        <f ca="1">AVERAGE(OFFSET($R$3,0,0,'Données projet'!$E$9+1,1))-AVERAGE(OFFSET($H$3,0,0,'Données projet'!$E$9+1,1))</f>
        <v>371.7282125501186</v>
      </c>
      <c r="T93" s="62">
        <f t="shared" si="88"/>
        <v>231.36959598460686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0.13762775821573039</v>
      </c>
      <c r="AA93" s="23">
        <f>EXP(-LN(2)/25)*AA92+(1-EXP(-LN(2)/25))/(LN(2)/25)*Calculateur!V93*Calculateur!X93*VLOOKUP('Données projet'!$B$9,Paramètres!$A$1:$I$89,3,0)*0.475*44/12</f>
        <v>0.42613000342499918</v>
      </c>
      <c r="AB93" s="23">
        <f>EXP(-LN(2)/2)*AB92+(1-EXP(-LN(2)/2))/(LN(2)/2)*V93*Y93*VLOOKUP('Données projet'!$B$9,Paramètres!$A$1:$I$89,3,0)*0.475*44/12</f>
        <v>1.2811976406347567E-8</v>
      </c>
      <c r="AC93" s="24">
        <f t="shared" si="57"/>
        <v>0.56375777445270592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673</v>
      </c>
      <c r="AG93" s="13">
        <f>VLOOKUP(A93,'Données projet'!$A$61:$I$81,9,0)</f>
        <v>17.5</v>
      </c>
      <c r="AH93" s="13">
        <f t="array" ref="AH93">INDEX(AG:AG,MIN(IF(ISNUMBER(AG93:AG289),ROW(AG93:AG289),"")))</f>
        <v>17.5</v>
      </c>
      <c r="AI93" s="14">
        <f>IF('Données projet'!$A$62&gt;35,AI92+AH93-AQ92,IF(A93&lt;'Données projet'!$A$62,$AF$205^A93,IF(A93='Données projet'!$A$62,'Données projet'!$B$62,AI92+AH93-AQ92)))</f>
        <v>672.99999999999989</v>
      </c>
      <c r="AJ93" s="14">
        <f>AI93*VLOOKUP('Données projet'!$B$10,Paramètres!$A$1:$I$89,3,0)*VLOOKUP('Données projet'!$B$10,Paramètres!$A$1:$I$89,5,0)</f>
        <v>314.96399999999994</v>
      </c>
      <c r="AK93" s="14">
        <f t="shared" si="89"/>
        <v>74.304550517616548</v>
      </c>
      <c r="AL93" s="22">
        <f t="shared" si="58"/>
        <v>677.97605881818208</v>
      </c>
      <c r="AM93" s="62">
        <f t="shared" si="59"/>
        <v>971.30939215151534</v>
      </c>
      <c r="AN93" s="62">
        <f ca="1">AVERAGE(OFFSET($AM$3,0,0,'Données projet'!$E$10+1,1))-AVERAGE(OFFSET($H$3,0,0,'Données projet'!$E$10+1,1))</f>
        <v>396.92963589781414</v>
      </c>
      <c r="AO93" s="62">
        <f t="shared" si="90"/>
        <v>294.38852181137639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135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258.99999999999983</v>
      </c>
      <c r="O94" s="14">
        <f>N94*VLOOKUP('Données projet'!$B$9,Paramètres!$A$1:$I$89,3,0)*VLOOKUP('Données projet'!$B$9,Paramètres!$A$1:$I$89,5,0)</f>
        <v>234.34319999999983</v>
      </c>
      <c r="P94" s="14">
        <f t="shared" si="87"/>
        <v>57.220758006491614</v>
      </c>
      <c r="Q94" s="22">
        <f t="shared" si="54"/>
        <v>507.80722686130588</v>
      </c>
      <c r="R94" s="62">
        <f t="shared" si="55"/>
        <v>801.14056019463919</v>
      </c>
      <c r="S94" s="62">
        <f ca="1">AVERAGE(OFFSET($R$3,0,0,'Données projet'!$E$9+1,1))-AVERAGE(OFFSET($H$3,0,0,'Données projet'!$E$9+1,1))</f>
        <v>371.7282125501186</v>
      </c>
      <c r="T94" s="62">
        <f t="shared" si="88"/>
        <v>231.36959598460686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0.13492896182176359</v>
      </c>
      <c r="AA94" s="23">
        <f>EXP(-LN(2)/25)*AA93+(1-EXP(-LN(2)/25))/(LN(2)/25)*Calculateur!V94*Calculateur!X94*VLOOKUP('Données projet'!$B$9,Paramètres!$A$1:$I$89,3,0)*0.475*44/12</f>
        <v>0.41447745607213965</v>
      </c>
      <c r="AB94" s="23">
        <f>EXP(-LN(2)/2)*AB93+(1-EXP(-LN(2)/2))/(LN(2)/2)*V94*Y94*VLOOKUP('Données projet'!$B$9,Paramètres!$A$1:$I$89,3,0)*0.475*44/12</f>
        <v>9.0594353973304186E-9</v>
      </c>
      <c r="AC94" s="24">
        <f t="shared" si="57"/>
        <v>0.54940642695333863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18.5</v>
      </c>
      <c r="AI94" s="14">
        <f>IF('Données projet'!$A$62&gt;35,AI93+AH94-AQ93,IF(A94&lt;'Données projet'!$A$62,$AF$205^A94,IF(A94='Données projet'!$A$62,'Données projet'!$B$62,AI93+AH94-AQ93)))</f>
        <v>556.49999999999989</v>
      </c>
      <c r="AJ94" s="14">
        <f>AI94*VLOOKUP('Données projet'!$B$10,Paramètres!$A$1:$I$89,3,0)*VLOOKUP('Données projet'!$B$10,Paramètres!$A$1:$I$89,5,0)</f>
        <v>260.44199999999995</v>
      </c>
      <c r="AK94" s="14">
        <f t="shared" si="89"/>
        <v>62.816585178645781</v>
      </c>
      <c r="AL94" s="22">
        <f t="shared" si="58"/>
        <v>563.00870251947458</v>
      </c>
      <c r="AM94" s="62">
        <f t="shared" si="59"/>
        <v>856.34203585280784</v>
      </c>
      <c r="AN94" s="62">
        <f ca="1">AVERAGE(OFFSET($AM$3,0,0,'Données projet'!$E$10+1,1))-AVERAGE(OFFSET($H$3,0,0,'Données projet'!$E$10+1,1))</f>
        <v>396.92963589781414</v>
      </c>
      <c r="AO94" s="62">
        <f t="shared" si="90"/>
        <v>294.38852181137639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263.99999999999983</v>
      </c>
      <c r="O95" s="14">
        <f>N95*VLOOKUP('Données projet'!$B$9,Paramètres!$A$1:$I$89,3,0)*VLOOKUP('Données projet'!$B$9,Paramètres!$A$1:$I$89,5,0)</f>
        <v>238.86719999999983</v>
      </c>
      <c r="P95" s="14">
        <f t="shared" si="87"/>
        <v>58.195735973104156</v>
      </c>
      <c r="Q95" s="22">
        <f t="shared" si="54"/>
        <v>517.38461348648946</v>
      </c>
      <c r="R95" s="62">
        <f t="shared" si="55"/>
        <v>810.71794681982283</v>
      </c>
      <c r="S95" s="62">
        <f ca="1">AVERAGE(OFFSET($R$3,0,0,'Données projet'!$E$9+1,1))-AVERAGE(OFFSET($H$3,0,0,'Données projet'!$E$9+1,1))</f>
        <v>371.7282125501186</v>
      </c>
      <c r="T95" s="62">
        <f t="shared" si="88"/>
        <v>231.36959598460686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0.13228308717897921</v>
      </c>
      <c r="AA95" s="23">
        <f>EXP(-LN(2)/25)*AA94+(1-EXP(-LN(2)/25))/(LN(2)/25)*Calculateur!V95*Calculateur!X95*VLOOKUP('Données projet'!$B$9,Paramètres!$A$1:$I$89,3,0)*0.475*44/12</f>
        <v>0.40314354823942489</v>
      </c>
      <c r="AB95" s="23">
        <f>EXP(-LN(2)/2)*AB94+(1-EXP(-LN(2)/2))/(LN(2)/2)*V95*Y95*VLOOKUP('Données projet'!$B$9,Paramètres!$A$1:$I$89,3,0)*0.475*44/12</f>
        <v>6.4059882031737836E-9</v>
      </c>
      <c r="AC95" s="24">
        <f t="shared" si="57"/>
        <v>0.53542664182439226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18.5</v>
      </c>
      <c r="AI95" s="14">
        <f>IF('Données projet'!$A$62&gt;35,AI94+AH95-AQ94,IF(A95&lt;'Données projet'!$A$62,$AF$205^A95,IF(A95='Données projet'!$A$62,'Données projet'!$B$62,AI94+AH95-AQ94)))</f>
        <v>574.99999999999989</v>
      </c>
      <c r="AJ95" s="14">
        <f>AI95*VLOOKUP('Données projet'!$B$10,Paramètres!$A$1:$I$89,3,0)*VLOOKUP('Données projet'!$B$10,Paramètres!$A$1:$I$89,5,0)</f>
        <v>269.09999999999991</v>
      </c>
      <c r="AK95" s="14">
        <f t="shared" si="89"/>
        <v>64.658229472790993</v>
      </c>
      <c r="AL95" s="22">
        <f t="shared" si="58"/>
        <v>581.29558299844405</v>
      </c>
      <c r="AM95" s="62">
        <f t="shared" si="59"/>
        <v>874.62891633177742</v>
      </c>
      <c r="AN95" s="62">
        <f ca="1">AVERAGE(OFFSET($AM$3,0,0,'Données projet'!$E$10+1,1))-AVERAGE(OFFSET($H$3,0,0,'Données projet'!$E$10+1,1))</f>
        <v>396.92963589781414</v>
      </c>
      <c r="AO95" s="62">
        <f t="shared" si="90"/>
        <v>294.38852181137639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268.99999999999983</v>
      </c>
      <c r="O96" s="14">
        <f>N96*VLOOKUP('Données projet'!$B$9,Paramètres!$A$1:$I$89,3,0)*VLOOKUP('Données projet'!$B$9,Paramètres!$A$1:$I$89,5,0)</f>
        <v>243.39119999999986</v>
      </c>
      <c r="P96" s="14">
        <f t="shared" si="87"/>
        <v>59.168566788241527</v>
      </c>
      <c r="Q96" s="22">
        <f t="shared" si="54"/>
        <v>526.95826048952051</v>
      </c>
      <c r="R96" s="62">
        <f t="shared" si="55"/>
        <v>820.29159382285388</v>
      </c>
      <c r="S96" s="62">
        <f ca="1">AVERAGE(OFFSET($R$3,0,0,'Données projet'!$E$9+1,1))-AVERAGE(OFFSET($H$3,0,0,'Données projet'!$E$9+1,1))</f>
        <v>371.7282125501186</v>
      </c>
      <c r="T96" s="62">
        <f t="shared" si="88"/>
        <v>231.36959598460686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0.12968909652411564</v>
      </c>
      <c r="AA96" s="23">
        <f>EXP(-LN(2)/25)*AA95+(1-EXP(-LN(2)/25))/(LN(2)/25)*Calculateur!V96*Calculateur!X96*VLOOKUP('Données projet'!$B$9,Paramètres!$A$1:$I$89,3,0)*0.475*44/12</f>
        <v>0.39211956671241999</v>
      </c>
      <c r="AB96" s="23">
        <f>EXP(-LN(2)/2)*AB95+(1-EXP(-LN(2)/2))/(LN(2)/2)*V96*Y96*VLOOKUP('Données projet'!$B$9,Paramètres!$A$1:$I$89,3,0)*0.475*44/12</f>
        <v>4.5297176986652093E-9</v>
      </c>
      <c r="AC96" s="24">
        <f t="shared" si="57"/>
        <v>0.52180866776625334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18.5</v>
      </c>
      <c r="AI96" s="14">
        <f>IF('Données projet'!$A$62&gt;35,AI95+AH96-AQ95,IF(A96&lt;'Données projet'!$A$62,$AF$205^A96,IF(A96='Données projet'!$A$62,'Données projet'!$B$62,AI95+AH96-AQ95)))</f>
        <v>593.49999999999989</v>
      </c>
      <c r="AJ96" s="14">
        <f>AI96*VLOOKUP('Données projet'!$B$10,Paramètres!$A$1:$I$89,3,0)*VLOOKUP('Données projet'!$B$10,Paramètres!$A$1:$I$89,5,0)</f>
        <v>277.75799999999992</v>
      </c>
      <c r="AK96" s="14">
        <f t="shared" si="89"/>
        <v>66.492988372715388</v>
      </c>
      <c r="AL96" s="22">
        <f t="shared" si="58"/>
        <v>599.57047141581245</v>
      </c>
      <c r="AM96" s="62">
        <f t="shared" si="59"/>
        <v>892.90380474914582</v>
      </c>
      <c r="AN96" s="62">
        <f ca="1">AVERAGE(OFFSET($AM$3,0,0,'Données projet'!$E$10+1,1))-AVERAGE(OFFSET($H$3,0,0,'Données projet'!$E$10+1,1))</f>
        <v>396.92963589781414</v>
      </c>
      <c r="AO96" s="62">
        <f t="shared" si="90"/>
        <v>294.38852181137639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273.99999999999983</v>
      </c>
      <c r="O97" s="14">
        <f>N97*VLOOKUP('Données projet'!$B$9,Paramètres!$A$1:$I$89,3,0)*VLOOKUP('Données projet'!$B$9,Paramètres!$A$1:$I$89,5,0)</f>
        <v>247.91519999999986</v>
      </c>
      <c r="P97" s="14">
        <f t="shared" si="87"/>
        <v>60.139294964297406</v>
      </c>
      <c r="Q97" s="22">
        <f t="shared" si="54"/>
        <v>536.52824539615096</v>
      </c>
      <c r="R97" s="62">
        <f t="shared" si="55"/>
        <v>829.86157872948434</v>
      </c>
      <c r="S97" s="62">
        <f ca="1">AVERAGE(OFFSET($R$3,0,0,'Données projet'!$E$9+1,1))-AVERAGE(OFFSET($H$3,0,0,'Données projet'!$E$9+1,1))</f>
        <v>371.7282125501186</v>
      </c>
      <c r="T97" s="62">
        <f t="shared" si="88"/>
        <v>231.36959598460686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0.1271459724438159</v>
      </c>
      <c r="AA97" s="23">
        <f>EXP(-LN(2)/25)*AA96+(1-EXP(-LN(2)/25))/(LN(2)/25)*Calculateur!V97*Calculateur!X97*VLOOKUP('Données projet'!$B$9,Paramètres!$A$1:$I$89,3,0)*0.475*44/12</f>
        <v>0.38139703653999707</v>
      </c>
      <c r="AB97" s="23">
        <f>EXP(-LN(2)/2)*AB96+(1-EXP(-LN(2)/2))/(LN(2)/2)*V97*Y97*VLOOKUP('Données projet'!$B$9,Paramètres!$A$1:$I$89,3,0)*0.475*44/12</f>
        <v>3.2029941015868918E-9</v>
      </c>
      <c r="AC97" s="24">
        <f t="shared" si="57"/>
        <v>0.50854301218680709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18.5</v>
      </c>
      <c r="AI97" s="14">
        <f>IF('Données projet'!$A$62&gt;35,AI96+AH97-AQ96,IF(A97&lt;'Données projet'!$A$62,$AF$205^A97,IF(A97='Données projet'!$A$62,'Données projet'!$B$62,AI96+AH97-AQ96)))</f>
        <v>611.99999999999989</v>
      </c>
      <c r="AJ97" s="14">
        <f>AI97*VLOOKUP('Données projet'!$B$10,Paramètres!$A$1:$I$89,3,0)*VLOOKUP('Données projet'!$B$10,Paramètres!$A$1:$I$89,5,0)</f>
        <v>286.41599999999994</v>
      </c>
      <c r="AK97" s="14">
        <f t="shared" si="89"/>
        <v>68.321101129951188</v>
      </c>
      <c r="AL97" s="22">
        <f t="shared" si="58"/>
        <v>617.83378446799827</v>
      </c>
      <c r="AM97" s="62">
        <f t="shared" si="59"/>
        <v>911.16711780133164</v>
      </c>
      <c r="AN97" s="62">
        <f ca="1">AVERAGE(OFFSET($AM$3,0,0,'Données projet'!$E$10+1,1))-AVERAGE(OFFSET($H$3,0,0,'Données projet'!$E$10+1,1))</f>
        <v>396.92963589781414</v>
      </c>
      <c r="AO97" s="62">
        <f t="shared" si="90"/>
        <v>294.38852181137639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278.99999999999983</v>
      </c>
      <c r="O98" s="14">
        <f>N98*VLOOKUP('Données projet'!$B$9,Paramètres!$A$1:$I$89,3,0)*VLOOKUP('Données projet'!$B$9,Paramètres!$A$1:$I$89,5,0)</f>
        <v>252.43919999999983</v>
      </c>
      <c r="P98" s="14">
        <f t="shared" si="87"/>
        <v>61.107963296116218</v>
      </c>
      <c r="Q98" s="22">
        <f t="shared" si="54"/>
        <v>546.09464274073537</v>
      </c>
      <c r="R98" s="62">
        <f t="shared" si="55"/>
        <v>839.42797607406874</v>
      </c>
      <c r="S98" s="62">
        <f ca="1">AVERAGE(OFFSET($R$3,0,0,'Données projet'!$E$9+1,1))-AVERAGE(OFFSET($H$3,0,0,'Données projet'!$E$9+1,1))</f>
        <v>371.7282125501186</v>
      </c>
      <c r="T98" s="62">
        <f t="shared" si="88"/>
        <v>231.36959598460686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0.1246527174755783</v>
      </c>
      <c r="AA98" s="23">
        <f>EXP(-LN(2)/25)*AA97+(1-EXP(-LN(2)/25))/(LN(2)/25)*Calculateur!V98*Calculateur!X98*VLOOKUP('Données projet'!$B$9,Paramètres!$A$1:$I$89,3,0)*0.475*44/12</f>
        <v>0.37096771451901239</v>
      </c>
      <c r="AB98" s="23">
        <f>EXP(-LN(2)/2)*AB97+(1-EXP(-LN(2)/2))/(LN(2)/2)*V98*Y98*VLOOKUP('Données projet'!$B$9,Paramètres!$A$1:$I$89,3,0)*0.475*44/12</f>
        <v>2.2648588493326046E-9</v>
      </c>
      <c r="AC98" s="24">
        <f t="shared" si="57"/>
        <v>0.49562043425944957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18.5</v>
      </c>
      <c r="AI98" s="14">
        <f>IF('Données projet'!$A$62&gt;35,AI97+AH98-AQ97,IF(A98&lt;'Données projet'!$A$62,$AF$205^A98,IF(A98='Données projet'!$A$62,'Données projet'!$B$62,AI97+AH98-AQ97)))</f>
        <v>630.49999999999989</v>
      </c>
      <c r="AJ98" s="14">
        <f>AI98*VLOOKUP('Données projet'!$B$10,Paramètres!$A$1:$I$89,3,0)*VLOOKUP('Données projet'!$B$10,Paramètres!$A$1:$I$89,5,0)</f>
        <v>295.07399999999996</v>
      </c>
      <c r="AK98" s="14">
        <f t="shared" si="89"/>
        <v>70.142791709481173</v>
      </c>
      <c r="AL98" s="22">
        <f t="shared" si="58"/>
        <v>636.08591222734628</v>
      </c>
      <c r="AM98" s="62">
        <f t="shared" si="59"/>
        <v>929.41924556067966</v>
      </c>
      <c r="AN98" s="62">
        <f ca="1">AVERAGE(OFFSET($AM$3,0,0,'Données projet'!$E$10+1,1))-AVERAGE(OFFSET($H$3,0,0,'Données projet'!$E$10+1,1))</f>
        <v>396.92963589781414</v>
      </c>
      <c r="AO98" s="62">
        <f t="shared" si="90"/>
        <v>294.38852181137639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262.79999999999984</v>
      </c>
      <c r="O99" s="14">
        <f>N99*VLOOKUP('Données projet'!$B$9,Paramètres!$A$1:$I$89,3,0)*VLOOKUP('Données projet'!$B$9,Paramètres!$A$1:$I$89,5,0)</f>
        <v>237.78143999999983</v>
      </c>
      <c r="P99" s="14">
        <f t="shared" si="87"/>
        <v>57.9619387969109</v>
      </c>
      <c r="Q99" s="22">
        <f t="shared" ref="Q99:Q130" si="107">(O99+P99)*0.475*44/12</f>
        <v>515.08638473795281</v>
      </c>
      <c r="R99" s="62">
        <f t="shared" si="55"/>
        <v>808.41971807128607</v>
      </c>
      <c r="S99" s="62">
        <f ca="1">AVERAGE(OFFSET($R$3,0,0,'Données projet'!$E$9+1,1))-AVERAGE(OFFSET($H$3,0,0,'Données projet'!$E$9+1,1))</f>
        <v>371.7282125501186</v>
      </c>
      <c r="T99" s="62">
        <f t="shared" si="88"/>
        <v>231.36959598460686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0.12220835371653246</v>
      </c>
      <c r="AA99" s="23">
        <f>EXP(-LN(2)/25)*AA98+(1-EXP(-LN(2)/25))/(LN(2)/25)*Calculateur!V99*Calculateur!X99*VLOOKUP('Données projet'!$B$9,Paramètres!$A$1:$I$89,3,0)*0.475*44/12</f>
        <v>0.36082358285714577</v>
      </c>
      <c r="AB99" s="23">
        <f>EXP(-LN(2)/2)*AB98+(1-EXP(-LN(2)/2))/(LN(2)/2)*V99*Y99*VLOOKUP('Données projet'!$B$9,Paramètres!$A$1:$I$89,3,0)*0.475*44/12</f>
        <v>1.6014970507934459E-9</v>
      </c>
      <c r="AC99" s="24">
        <f t="shared" si="57"/>
        <v>0.48303193817517531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18.5</v>
      </c>
      <c r="AI99" s="14">
        <f>IF('Données projet'!$A$62&gt;35,AI98+AH99-AQ98,IF(A99&lt;'Données projet'!$A$62,$AF$205^A99,IF(A99='Données projet'!$A$62,'Données projet'!$B$62,AI98+AH99-AQ98)))</f>
        <v>648.99999999999989</v>
      </c>
      <c r="AJ99" s="14">
        <f>AI99*VLOOKUP('Données projet'!$B$10,Paramètres!$A$1:$I$89,3,0)*VLOOKUP('Données projet'!$B$10,Paramètres!$A$1:$I$89,5,0)</f>
        <v>303.73199999999997</v>
      </c>
      <c r="AK99" s="14">
        <f t="shared" si="89"/>
        <v>71.958270185981476</v>
      </c>
      <c r="AL99" s="22">
        <f t="shared" si="58"/>
        <v>654.32722057391766</v>
      </c>
      <c r="AM99" s="62">
        <f t="shared" si="59"/>
        <v>947.66055390725091</v>
      </c>
      <c r="AN99" s="62">
        <f ca="1">AVERAGE(OFFSET($AM$3,0,0,'Données projet'!$E$10+1,1))-AVERAGE(OFFSET($H$3,0,0,'Données projet'!$E$10+1,1))</f>
        <v>396.92963589781414</v>
      </c>
      <c r="AO99" s="62">
        <f t="shared" si="90"/>
        <v>294.38852181137639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267.59999999999985</v>
      </c>
      <c r="O100" s="14">
        <f>N100*VLOOKUP('Données projet'!$B$9,Paramètres!$A$1:$I$89,3,0)*VLOOKUP('Données projet'!$B$9,Paramètres!$A$1:$I$89,5,0)</f>
        <v>242.12447999999986</v>
      </c>
      <c r="P100" s="14">
        <f t="shared" si="87"/>
        <v>58.896387987806008</v>
      </c>
      <c r="Q100" s="22">
        <f t="shared" si="107"/>
        <v>524.27801174542856</v>
      </c>
      <c r="R100" s="62">
        <f t="shared" si="55"/>
        <v>817.61134507876181</v>
      </c>
      <c r="S100" s="62">
        <f ca="1">AVERAGE(OFFSET($R$3,0,0,'Données projet'!$E$9+1,1))-AVERAGE(OFFSET($H$3,0,0,'Données projet'!$E$9+1,1))</f>
        <v>371.7282125501186</v>
      </c>
      <c r="T100" s="62">
        <f t="shared" si="88"/>
        <v>231.36959598460686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0.11981192243988684</v>
      </c>
      <c r="AA100" s="23">
        <f>EXP(-LN(2)/25)*AA99+(1-EXP(-LN(2)/25))/(LN(2)/25)*Calculateur!V100*Calculateur!X100*VLOOKUP('Données projet'!$B$9,Paramètres!$A$1:$I$89,3,0)*0.475*44/12</f>
        <v>0.35095684300902957</v>
      </c>
      <c r="AB100" s="23">
        <f>EXP(-LN(2)/2)*AB99+(1-EXP(-LN(2)/2))/(LN(2)/2)*V100*Y100*VLOOKUP('Données projet'!$B$9,Paramètres!$A$1:$I$89,3,0)*0.475*44/12</f>
        <v>1.1324294246663023E-9</v>
      </c>
      <c r="AC100" s="24">
        <f t="shared" si="57"/>
        <v>0.47076876658134587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18.5</v>
      </c>
      <c r="AI100" s="14">
        <f>IF('Données projet'!$A$62&gt;35,AI99+AH100-AQ99,IF(A100&lt;'Données projet'!$A$62,$AF$205^A100,IF(A100='Données projet'!$A$62,'Données projet'!$B$62,AI99+AH100-AQ99)))</f>
        <v>667.49999999999989</v>
      </c>
      <c r="AJ100" s="14">
        <f>AI100*VLOOKUP('Données projet'!$B$10,Paramètres!$A$1:$I$89,3,0)*VLOOKUP('Données projet'!$B$10,Paramètres!$A$1:$I$89,5,0)</f>
        <v>312.38999999999993</v>
      </c>
      <c r="AK100" s="14">
        <f t="shared" si="89"/>
        <v>73.767733976388286</v>
      </c>
      <c r="AL100" s="22">
        <f t="shared" si="58"/>
        <v>672.55805334220952</v>
      </c>
      <c r="AM100" s="62">
        <f t="shared" si="59"/>
        <v>965.89138667554289</v>
      </c>
      <c r="AN100" s="62">
        <f ca="1">AVERAGE(OFFSET($AM$3,0,0,'Données projet'!$E$10+1,1))-AVERAGE(OFFSET($H$3,0,0,'Données projet'!$E$10+1,1))</f>
        <v>396.92963589781414</v>
      </c>
      <c r="AO100" s="62">
        <f t="shared" si="90"/>
        <v>294.38852181137639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272.39999999999986</v>
      </c>
      <c r="O101" s="14">
        <f>N101*VLOOKUP('Données projet'!$B$9,Paramètres!$A$1:$I$89,3,0)*VLOOKUP('Données projet'!$B$9,Paramètres!$A$1:$I$89,5,0)</f>
        <v>246.46751999999987</v>
      </c>
      <c r="P101" s="14">
        <f t="shared" si="87"/>
        <v>59.828888074216977</v>
      </c>
      <c r="Q101" s="22">
        <f t="shared" si="107"/>
        <v>533.46624406259423</v>
      </c>
      <c r="R101" s="62">
        <f t="shared" si="55"/>
        <v>826.7995773959276</v>
      </c>
      <c r="S101" s="62">
        <f ca="1">AVERAGE(OFFSET($R$3,0,0,'Données projet'!$E$9+1,1))-AVERAGE(OFFSET($H$3,0,0,'Données projet'!$E$9+1,1))</f>
        <v>371.7282125501186</v>
      </c>
      <c r="T101" s="62">
        <f t="shared" si="88"/>
        <v>231.36959598460686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0.11746248371889749</v>
      </c>
      <c r="AA101" s="23">
        <f>EXP(-LN(2)/25)*AA100+(1-EXP(-LN(2)/25))/(LN(2)/25)*Calculateur!V101*Calculateur!X101*VLOOKUP('Données projet'!$B$9,Paramètres!$A$1:$I$89,3,0)*0.475*44/12</f>
        <v>0.34135990968092939</v>
      </c>
      <c r="AB101" s="23">
        <f>EXP(-LN(2)/2)*AB100+(1-EXP(-LN(2)/2))/(LN(2)/2)*V101*Y101*VLOOKUP('Données projet'!$B$9,Paramètres!$A$1:$I$89,3,0)*0.475*44/12</f>
        <v>8.0074852539672295E-10</v>
      </c>
      <c r="AC101" s="24">
        <f t="shared" si="57"/>
        <v>0.45882239420057541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18.5</v>
      </c>
      <c r="AI101" s="14">
        <f>IF('Données projet'!$A$62&gt;35,AI100+AH101-AQ100,IF(A101&lt;'Données projet'!$A$62,$AF$205^A101,IF(A101='Données projet'!$A$62,'Données projet'!$B$62,AI100+AH101-AQ100)))</f>
        <v>685.99999999999989</v>
      </c>
      <c r="AJ101" s="14">
        <f>AI101*VLOOKUP('Données projet'!$B$10,Paramètres!$A$1:$I$89,3,0)*VLOOKUP('Données projet'!$B$10,Paramètres!$A$1:$I$89,5,0)</f>
        <v>321.04799999999994</v>
      </c>
      <c r="AK101" s="14">
        <f t="shared" si="89"/>
        <v>75.571368931978697</v>
      </c>
      <c r="AL101" s="22">
        <f t="shared" si="58"/>
        <v>690.77873422319624</v>
      </c>
      <c r="AM101" s="62">
        <f t="shared" si="59"/>
        <v>984.11206755652961</v>
      </c>
      <c r="AN101" s="62">
        <f ca="1">AVERAGE(OFFSET($AM$3,0,0,'Données projet'!$E$10+1,1))-AVERAGE(OFFSET($H$3,0,0,'Données projet'!$E$10+1,1))</f>
        <v>396.92963589781414</v>
      </c>
      <c r="AO101" s="62">
        <f t="shared" si="90"/>
        <v>294.38852181137639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277.19999999999987</v>
      </c>
      <c r="O102" s="14">
        <f>N102*VLOOKUP('Données projet'!$B$9,Paramètres!$A$1:$I$89,3,0)*VLOOKUP('Données projet'!$B$9,Paramètres!$A$1:$I$89,5,0)</f>
        <v>250.8105599999999</v>
      </c>
      <c r="P102" s="14">
        <f t="shared" si="87"/>
        <v>60.75947736410869</v>
      </c>
      <c r="Q102" s="22">
        <f t="shared" si="107"/>
        <v>542.65114840915578</v>
      </c>
      <c r="R102" s="62">
        <f t="shared" si="55"/>
        <v>835.98448174248915</v>
      </c>
      <c r="S102" s="62">
        <f ca="1">AVERAGE(OFFSET($R$3,0,0,'Données projet'!$E$9+1,1))-AVERAGE(OFFSET($H$3,0,0,'Données projet'!$E$9+1,1))</f>
        <v>371.7282125501186</v>
      </c>
      <c r="T102" s="62">
        <f t="shared" si="88"/>
        <v>231.36959598460686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0.11515911605821062</v>
      </c>
      <c r="AA102" s="23">
        <f>EXP(-LN(2)/25)*AA101+(1-EXP(-LN(2)/25))/(LN(2)/25)*Calculateur!V102*Calculateur!X102*VLOOKUP('Données projet'!$B$9,Paramètres!$A$1:$I$89,3,0)*0.475*44/12</f>
        <v>0.33202540499936689</v>
      </c>
      <c r="AB102" s="23">
        <f>EXP(-LN(2)/2)*AB101+(1-EXP(-LN(2)/2))/(LN(2)/2)*V102*Y102*VLOOKUP('Données projet'!$B$9,Paramètres!$A$1:$I$89,3,0)*0.475*44/12</f>
        <v>5.6621471233315116E-10</v>
      </c>
      <c r="AC102" s="24">
        <f t="shared" si="57"/>
        <v>0.44718452162379219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18.5</v>
      </c>
      <c r="AI102" s="14">
        <f>IF('Données projet'!$A$62&gt;35,AI101+AH102-AQ101,IF(A102&lt;'Données projet'!$A$62,$AF$205^A102,IF(A102='Données projet'!$A$62,'Données projet'!$B$62,AI101+AH102-AQ101)))</f>
        <v>704.49999999999989</v>
      </c>
      <c r="AJ102" s="14">
        <f>AI102*VLOOKUP('Données projet'!$B$10,Paramètres!$A$1:$I$89,3,0)*VLOOKUP('Données projet'!$B$10,Paramètres!$A$1:$I$89,5,0)</f>
        <v>329.70599999999996</v>
      </c>
      <c r="AK102" s="14">
        <f t="shared" si="89"/>
        <v>77.369350309333612</v>
      </c>
      <c r="AL102" s="22">
        <f t="shared" si="58"/>
        <v>708.98956845542261</v>
      </c>
      <c r="AM102" s="62">
        <f t="shared" si="59"/>
        <v>1002.3229017887559</v>
      </c>
      <c r="AN102" s="62">
        <f ca="1">AVERAGE(OFFSET($AM$3,0,0,'Données projet'!$E$10+1,1))-AVERAGE(OFFSET($H$3,0,0,'Données projet'!$E$10+1,1))</f>
        <v>396.92963589781414</v>
      </c>
      <c r="AO102" s="62">
        <f t="shared" si="90"/>
        <v>294.38852181137639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281.99999999999989</v>
      </c>
      <c r="O103" s="14">
        <f>N103*VLOOKUP('Données projet'!$B$9,Paramètres!$A$1:$I$89,3,0)*VLOOKUP('Données projet'!$B$9,Paramètres!$A$1:$I$89,5,0)</f>
        <v>255.15359999999987</v>
      </c>
      <c r="P103" s="14">
        <f t="shared" si="87"/>
        <v>61.688192762754376</v>
      </c>
      <c r="Q103" s="22">
        <f t="shared" si="107"/>
        <v>551.83278906179692</v>
      </c>
      <c r="R103" s="62">
        <f t="shared" si="55"/>
        <v>845.16612239513029</v>
      </c>
      <c r="S103" s="62">
        <f ca="1">AVERAGE(OFFSET($R$3,0,0,'Données projet'!$E$9+1,1))-AVERAGE(OFFSET($H$3,0,0,'Données projet'!$E$9+1,1))</f>
        <v>371.7282125501186</v>
      </c>
      <c r="T103" s="62">
        <f t="shared" si="88"/>
        <v>231.36959598460686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0.11290091603243427</v>
      </c>
      <c r="AA103" s="23">
        <f>EXP(-LN(2)/25)*AA102+(1-EXP(-LN(2)/25))/(LN(2)/25)*Calculateur!V103*Calculateur!X103*VLOOKUP('Données projet'!$B$9,Paramètres!$A$1:$I$89,3,0)*0.475*44/12</f>
        <v>0.32294615283920203</v>
      </c>
      <c r="AB103" s="23">
        <f>EXP(-LN(2)/2)*AB102+(1-EXP(-LN(2)/2))/(LN(2)/2)*V103*Y103*VLOOKUP('Données projet'!$B$9,Paramètres!$A$1:$I$89,3,0)*0.475*44/12</f>
        <v>4.0037426269836148E-10</v>
      </c>
      <c r="AC103" s="24">
        <f t="shared" si="57"/>
        <v>0.43584706927201056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723</v>
      </c>
      <c r="AG103" s="13">
        <f>VLOOKUP(A103,'Données projet'!$A$61:$I$81,9,0)</f>
        <v>18.5</v>
      </c>
      <c r="AH103" s="13">
        <f t="array" ref="AH103">INDEX(AG:AG,MIN(IF(ISNUMBER(AG103:AG299),ROW(AG103:AG299),"")))</f>
        <v>18.5</v>
      </c>
      <c r="AI103" s="14">
        <f>IF('Données projet'!$A$62&gt;35,AI102+AH103-AQ102,IF(A103&lt;'Données projet'!$A$62,$AF$205^A103,IF(A103='Données projet'!$A$62,'Données projet'!$B$62,AI102+AH103-AQ102)))</f>
        <v>722.99999999999989</v>
      </c>
      <c r="AJ103" s="14">
        <f>AI103*VLOOKUP('Données projet'!$B$10,Paramètres!$A$1:$I$89,3,0)*VLOOKUP('Données projet'!$B$10,Paramètres!$A$1:$I$89,5,0)</f>
        <v>338.36399999999998</v>
      </c>
      <c r="AK103" s="14">
        <f t="shared" si="89"/>
        <v>79.161843636443024</v>
      </c>
      <c r="AL103" s="22">
        <f t="shared" si="58"/>
        <v>727.19084433347155</v>
      </c>
      <c r="AM103" s="62">
        <f t="shared" si="59"/>
        <v>1020.5241776668049</v>
      </c>
      <c r="AN103" s="62">
        <f ca="1">AVERAGE(OFFSET($AM$3,0,0,'Données projet'!$E$10+1,1))-AVERAGE(OFFSET($H$3,0,0,'Données projet'!$E$10+1,1))</f>
        <v>396.92963589781414</v>
      </c>
      <c r="AO103" s="62">
        <f t="shared" si="90"/>
        <v>294.38852181137639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723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4.5999999999999996</v>
      </c>
      <c r="N104" s="14">
        <f>IF('Données projet'!$A$36&gt;35,N103+M104-V103,IF(A104&lt;'Données projet'!$A$36,$K$205^A104,IF(A104='Données projet'!$A$36,'Données projet'!$B$36,N103+M104-V103)))</f>
        <v>265.59999999999991</v>
      </c>
      <c r="O104" s="14">
        <f>N104*VLOOKUP('Données projet'!$B$9,Paramètres!$A$1:$I$89,3,0)*VLOOKUP('Données projet'!$B$9,Paramètres!$A$1:$I$89,5,0)</f>
        <v>240.31487999999993</v>
      </c>
      <c r="P104" s="14">
        <f t="shared" si="87"/>
        <v>58.50727327751612</v>
      </c>
      <c r="Q104" s="22">
        <f t="shared" si="107"/>
        <v>520.44858362500713</v>
      </c>
      <c r="R104" s="62">
        <f t="shared" si="55"/>
        <v>813.78191695834039</v>
      </c>
      <c r="S104" s="62">
        <f ca="1">AVERAGE(OFFSET($R$3,0,0,'Données projet'!$E$9+1,1))-AVERAGE(OFFSET($H$3,0,0,'Données projet'!$E$9+1,1))</f>
        <v>371.7282125501186</v>
      </c>
      <c r="T104" s="62">
        <f t="shared" si="88"/>
        <v>231.36959598460686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0.11068699793179738</v>
      </c>
      <c r="AA104" s="23">
        <f>EXP(-LN(2)/25)*AA103+(1-EXP(-LN(2)/25))/(LN(2)/25)*Calculateur!V104*Calculateur!X104*VLOOKUP('Données projet'!$B$9,Paramètres!$A$1:$I$89,3,0)*0.475*44/12</f>
        <v>0.31411517330681399</v>
      </c>
      <c r="AB104" s="23">
        <f>EXP(-LN(2)/2)*AB103+(1-EXP(-LN(2)/2))/(LN(2)/2)*V104*Y104*VLOOKUP('Données projet'!$B$9,Paramètres!$A$1:$I$89,3,0)*0.475*44/12</f>
        <v>2.8310735616657558E-10</v>
      </c>
      <c r="AC104" s="24">
        <f t="shared" si="57"/>
        <v>0.42480217152171873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-5.3205440053716299E-14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396.92963589781414</v>
      </c>
      <c r="AO104" s="62">
        <f t="shared" si="90"/>
        <v>294.38852181137639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4.5999999999999996</v>
      </c>
      <c r="N105" s="14">
        <f>IF('Données projet'!$A$36&gt;35,N104+M105-V104,IF(A105&lt;'Données projet'!$A$36,$K$205^A105,IF(A105='Données projet'!$A$36,'Données projet'!$B$36,N104+M105-V104)))</f>
        <v>270.19999999999993</v>
      </c>
      <c r="O105" s="14">
        <f>N105*VLOOKUP('Données projet'!$B$9,Paramètres!$A$1:$I$89,3,0)*VLOOKUP('Données projet'!$B$9,Paramètres!$A$1:$I$89,5,0)</f>
        <v>244.47695999999993</v>
      </c>
      <c r="P105" s="14">
        <f t="shared" si="87"/>
        <v>59.401731670234192</v>
      </c>
      <c r="Q105" s="22">
        <f t="shared" si="107"/>
        <v>529.25538799232447</v>
      </c>
      <c r="R105" s="62">
        <f t="shared" si="55"/>
        <v>822.58872132565784</v>
      </c>
      <c r="S105" s="62">
        <f ca="1">AVERAGE(OFFSET($R$3,0,0,'Données projet'!$E$9+1,1))-AVERAGE(OFFSET($H$3,0,0,'Données projet'!$E$9+1,1))</f>
        <v>371.7282125501186</v>
      </c>
      <c r="T105" s="62">
        <f t="shared" si="88"/>
        <v>231.36959598460686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0.10851649341475728</v>
      </c>
      <c r="AA105" s="23">
        <f>EXP(-LN(2)/25)*AA104+(1-EXP(-LN(2)/25))/(LN(2)/25)*Calculateur!V105*Calculateur!X105*VLOOKUP('Données projet'!$B$9,Paramètres!$A$1:$I$89,3,0)*0.475*44/12</f>
        <v>0.3055256773741401</v>
      </c>
      <c r="AB105" s="23">
        <f>EXP(-LN(2)/2)*AB104+(1-EXP(-LN(2)/2))/(LN(2)/2)*V105*Y105*VLOOKUP('Données projet'!$B$9,Paramètres!$A$1:$I$89,3,0)*0.475*44/12</f>
        <v>2.0018713134918074E-10</v>
      </c>
      <c r="AC105" s="24">
        <f t="shared" si="57"/>
        <v>0.41404217098908452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-5.3205440053716299E-14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396.92963589781414</v>
      </c>
      <c r="AO105" s="62">
        <f t="shared" si="90"/>
        <v>294.38852181137639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4.5999999999999996</v>
      </c>
      <c r="N106" s="14">
        <f>IF('Données projet'!$A$36&gt;35,N105+M106-V105,IF(A106&lt;'Données projet'!$A$36,$K$205^A106,IF(A106='Données projet'!$A$36,'Données projet'!$B$36,N105+M106-V105)))</f>
        <v>274.79999999999995</v>
      </c>
      <c r="O106" s="14">
        <f>N106*VLOOKUP('Données projet'!$B$9,Paramètres!$A$1:$I$89,3,0)*VLOOKUP('Données projet'!$B$9,Paramètres!$A$1:$I$89,5,0)</f>
        <v>248.63903999999994</v>
      </c>
      <c r="P106" s="14">
        <f t="shared" si="87"/>
        <v>60.294419230169922</v>
      </c>
      <c r="Q106" s="22">
        <f t="shared" si="107"/>
        <v>538.05910815921254</v>
      </c>
      <c r="R106" s="62">
        <f t="shared" si="55"/>
        <v>831.39244149254591</v>
      </c>
      <c r="S106" s="62">
        <f ca="1">AVERAGE(OFFSET($R$3,0,0,'Données projet'!$E$9+1,1))-AVERAGE(OFFSET($H$3,0,0,'Données projet'!$E$9+1,1))</f>
        <v>371.7282125501186</v>
      </c>
      <c r="T106" s="62">
        <f t="shared" si="88"/>
        <v>231.36959598460686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0.1063885511674193</v>
      </c>
      <c r="AA106" s="23">
        <f>EXP(-LN(2)/25)*AA105+(1-EXP(-LN(2)/25))/(LN(2)/25)*Calculateur!V106*Calculateur!X106*VLOOKUP('Données projet'!$B$9,Paramètres!$A$1:$I$89,3,0)*0.475*44/12</f>
        <v>0.29717106165944718</v>
      </c>
      <c r="AB106" s="23">
        <f>EXP(-LN(2)/2)*AB105+(1-EXP(-LN(2)/2))/(LN(2)/2)*V106*Y106*VLOOKUP('Données projet'!$B$9,Paramètres!$A$1:$I$89,3,0)*0.475*44/12</f>
        <v>1.4155367808328779E-10</v>
      </c>
      <c r="AC106" s="24">
        <f t="shared" si="57"/>
        <v>0.40355961296842013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-5.3205440053716299E-14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396.92963589781414</v>
      </c>
      <c r="AO106" s="62">
        <f t="shared" si="90"/>
        <v>294.38852181137639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4.5999999999999996</v>
      </c>
      <c r="N107" s="14">
        <f>IF('Données projet'!$A$36&gt;35,N106+M107-V106,IF(A107&lt;'Données projet'!$A$36,$K$205^A107,IF(A107='Données projet'!$A$36,'Données projet'!$B$36,N106+M107-V106)))</f>
        <v>279.39999999999998</v>
      </c>
      <c r="O107" s="14">
        <f>N107*VLOOKUP('Données projet'!$B$9,Paramètres!$A$1:$I$89,3,0)*VLOOKUP('Données projet'!$B$9,Paramètres!$A$1:$I$89,5,0)</f>
        <v>252.80111999999994</v>
      </c>
      <c r="P107" s="14">
        <f t="shared" si="87"/>
        <v>61.185369021394209</v>
      </c>
      <c r="Q107" s="22">
        <f t="shared" si="107"/>
        <v>546.8598017122614</v>
      </c>
      <c r="R107" s="62">
        <f t="shared" si="55"/>
        <v>840.19313504559477</v>
      </c>
      <c r="S107" s="62">
        <f ca="1">AVERAGE(OFFSET($R$3,0,0,'Données projet'!$E$9+1,1))-AVERAGE(OFFSET($H$3,0,0,'Données projet'!$E$9+1,1))</f>
        <v>371.7282125501186</v>
      </c>
      <c r="T107" s="62">
        <f t="shared" si="88"/>
        <v>231.36959598460686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0.104302336569635</v>
      </c>
      <c r="AA107" s="23">
        <f>EXP(-LN(2)/25)*AA106+(1-EXP(-LN(2)/25))/(LN(2)/25)*Calculateur!V107*Calculateur!X107*VLOOKUP('Données projet'!$B$9,Paramètres!$A$1:$I$89,3,0)*0.475*44/12</f>
        <v>0.28904490335082267</v>
      </c>
      <c r="AB107" s="23">
        <f>EXP(-LN(2)/2)*AB106+(1-EXP(-LN(2)/2))/(LN(2)/2)*V107*Y107*VLOOKUP('Données projet'!$B$9,Paramètres!$A$1:$I$89,3,0)*0.475*44/12</f>
        <v>1.0009356567459037E-10</v>
      </c>
      <c r="AC107" s="24">
        <f t="shared" si="57"/>
        <v>0.39334724002055121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-5.3205440053716299E-14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396.92963589781414</v>
      </c>
      <c r="AO107" s="62">
        <f t="shared" si="90"/>
        <v>294.38852181137639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284</v>
      </c>
      <c r="L108" s="13">
        <f>VLOOKUP(A108,'Données projet'!$A$35:$I$55,9,0)</f>
        <v>4.5999999999999996</v>
      </c>
      <c r="M108" s="13">
        <f t="array" ref="M108">INDEX(L:L,MIN(IF(ISNUMBER(L108:L304),ROW(L108:L304),"")))</f>
        <v>4.5999999999999996</v>
      </c>
      <c r="N108" s="14">
        <f>IF('Données projet'!$A$36&gt;35,N107+M108-V107,IF(A108&lt;'Données projet'!$A$36,$K$205^A108,IF(A108='Données projet'!$A$36,'Données projet'!$B$36,N107+M108-V107)))</f>
        <v>284</v>
      </c>
      <c r="O108" s="14">
        <f>N108*VLOOKUP('Données projet'!$B$9,Paramètres!$A$1:$I$89,3,0)*VLOOKUP('Données projet'!$B$9,Paramètres!$A$1:$I$89,5,0)</f>
        <v>256.96320000000003</v>
      </c>
      <c r="P108" s="14">
        <f t="shared" si="87"/>
        <v>62.074612956838024</v>
      </c>
      <c r="Q108" s="22">
        <f t="shared" si="107"/>
        <v>555.65752423315951</v>
      </c>
      <c r="R108" s="62">
        <f t="shared" si="55"/>
        <v>848.99085756649288</v>
      </c>
      <c r="S108" s="62">
        <f ca="1">AVERAGE(OFFSET($R$3,0,0,'Données projet'!$E$9+1,1))-AVERAGE(OFFSET($H$3,0,0,'Données projet'!$E$9+1,1))</f>
        <v>371.7282125501186</v>
      </c>
      <c r="T108" s="62">
        <f t="shared" si="88"/>
        <v>231.36959598460686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0.10225703136764799</v>
      </c>
      <c r="AA108" s="23">
        <f>EXP(-LN(2)/25)*AA107+(1-EXP(-LN(2)/25))/(LN(2)/25)*Calculateur!V108*Calculateur!X108*VLOOKUP('Données projet'!$B$9,Paramètres!$A$1:$I$89,3,0)*0.475*44/12</f>
        <v>0.28114095526848359</v>
      </c>
      <c r="AB108" s="23">
        <f>EXP(-LN(2)/2)*AB107+(1-EXP(-LN(2)/2))/(LN(2)/2)*V108*Y108*VLOOKUP('Données projet'!$B$9,Paramètres!$A$1:$I$89,3,0)*0.475*44/12</f>
        <v>7.0776839041643895E-11</v>
      </c>
      <c r="AC108" s="24">
        <f t="shared" si="57"/>
        <v>0.38339798670690839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-5.3205440053716299E-14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396.92963589781414</v>
      </c>
      <c r="AO108" s="62">
        <f t="shared" si="90"/>
        <v>294.38852181137639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268.2</v>
      </c>
      <c r="O109" s="14">
        <f>N109*VLOOKUP('Données projet'!$B$9,Paramètres!$A$1:$I$89,3,0)*VLOOKUP('Données projet'!$B$9,Paramètres!$A$1:$I$89,5,0)</f>
        <v>242.66735999999997</v>
      </c>
      <c r="P109" s="14">
        <f t="shared" si="87"/>
        <v>59.013056290731797</v>
      </c>
      <c r="Q109" s="22">
        <f t="shared" si="107"/>
        <v>525.42672503969118</v>
      </c>
      <c r="R109" s="62">
        <f t="shared" si="55"/>
        <v>818.76005837302455</v>
      </c>
      <c r="S109" s="62">
        <f ca="1">AVERAGE(OFFSET($R$3,0,0,'Données projet'!$E$9+1,1))-AVERAGE(OFFSET($H$3,0,0,'Données projet'!$E$9+1,1))</f>
        <v>371.7282125501186</v>
      </c>
      <c r="T109" s="62">
        <f t="shared" si="88"/>
        <v>231.36959598460686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0.10025183335315896</v>
      </c>
      <c r="AA109" s="23">
        <f>EXP(-LN(2)/25)*AA108+(1-EXP(-LN(2)/25))/(LN(2)/25)*Calculateur!V109*Calculateur!X109*VLOOKUP('Données projet'!$B$9,Paramètres!$A$1:$I$89,3,0)*0.475*44/12</f>
        <v>0.27345314106210661</v>
      </c>
      <c r="AB109" s="23">
        <f>EXP(-LN(2)/2)*AB108+(1-EXP(-LN(2)/2))/(LN(2)/2)*V109*Y109*VLOOKUP('Données projet'!$B$9,Paramètres!$A$1:$I$89,3,0)*0.475*44/12</f>
        <v>5.0046782837295185E-11</v>
      </c>
      <c r="AC109" s="24">
        <f t="shared" si="57"/>
        <v>0.37370497446531237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-5.3205440053716299E-14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396.92963589781414</v>
      </c>
      <c r="AO109" s="62">
        <f t="shared" si="90"/>
        <v>294.38852181137639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272.39999999999998</v>
      </c>
      <c r="O110" s="14">
        <f>N110*VLOOKUP('Données projet'!$B$9,Paramètres!$A$1:$I$89,3,0)*VLOOKUP('Données projet'!$B$9,Paramètres!$A$1:$I$89,5,0)</f>
        <v>246.46751999999995</v>
      </c>
      <c r="P110" s="14">
        <f t="shared" si="87"/>
        <v>59.828888074216977</v>
      </c>
      <c r="Q110" s="22">
        <f t="shared" si="107"/>
        <v>533.46624406259446</v>
      </c>
      <c r="R110" s="62">
        <f t="shared" si="55"/>
        <v>826.79957739592783</v>
      </c>
      <c r="S110" s="62">
        <f ca="1">AVERAGE(OFFSET($R$3,0,0,'Données projet'!$E$9+1,1))-AVERAGE(OFFSET($H$3,0,0,'Données projet'!$E$9+1,1))</f>
        <v>371.7282125501186</v>
      </c>
      <c r="T110" s="62">
        <f t="shared" si="88"/>
        <v>231.36959598460686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9.8285956048684037E-2</v>
      </c>
      <c r="AA110" s="23">
        <f>EXP(-LN(2)/25)*AA109+(1-EXP(-LN(2)/25))/(LN(2)/25)*Calculateur!V110*Calculateur!X110*VLOOKUP('Données projet'!$B$9,Paramètres!$A$1:$I$89,3,0)*0.475*44/12</f>
        <v>0.26597555053948763</v>
      </c>
      <c r="AB110" s="23">
        <f>EXP(-LN(2)/2)*AB109+(1-EXP(-LN(2)/2))/(LN(2)/2)*V110*Y110*VLOOKUP('Données projet'!$B$9,Paramètres!$A$1:$I$89,3,0)*0.475*44/12</f>
        <v>3.5388419520821948E-11</v>
      </c>
      <c r="AC110" s="24">
        <f t="shared" si="57"/>
        <v>0.36426150662356011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-5.3205440053716299E-14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396.92963589781414</v>
      </c>
      <c r="AO110" s="62">
        <f t="shared" si="90"/>
        <v>294.38852181137639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276.59999999999997</v>
      </c>
      <c r="O111" s="14">
        <f>N111*VLOOKUP('Données projet'!$B$9,Paramètres!$A$1:$I$89,3,0)*VLOOKUP('Données projet'!$B$9,Paramètres!$A$1:$I$89,5,0)</f>
        <v>250.26767999999996</v>
      </c>
      <c r="P111" s="14">
        <f t="shared" si="87"/>
        <v>60.643256925083442</v>
      </c>
      <c r="Q111" s="22">
        <f t="shared" si="107"/>
        <v>541.50321514452014</v>
      </c>
      <c r="R111" s="62">
        <f t="shared" si="55"/>
        <v>834.83654847785351</v>
      </c>
      <c r="S111" s="62">
        <f ca="1">AVERAGE(OFFSET($R$3,0,0,'Données projet'!$E$9+1,1))-AVERAGE(OFFSET($H$3,0,0,'Données projet'!$E$9+1,1))</f>
        <v>371.7282125501186</v>
      </c>
      <c r="T111" s="62">
        <f t="shared" si="88"/>
        <v>231.36959598460686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9.6358628399083102E-2</v>
      </c>
      <c r="AA111" s="23">
        <f>EXP(-LN(2)/25)*AA110+(1-EXP(-LN(2)/25))/(LN(2)/25)*Calculateur!V111*Calculateur!X111*VLOOKUP('Données projet'!$B$9,Paramètres!$A$1:$I$89,3,0)*0.475*44/12</f>
        <v>0.25870243512293906</v>
      </c>
      <c r="AB111" s="23">
        <f>EXP(-LN(2)/2)*AB110+(1-EXP(-LN(2)/2))/(LN(2)/2)*V111*Y111*VLOOKUP('Données projet'!$B$9,Paramètres!$A$1:$I$89,3,0)*0.475*44/12</f>
        <v>2.5023391418647592E-11</v>
      </c>
      <c r="AC111" s="24">
        <f t="shared" si="57"/>
        <v>0.35506106354704553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-5.3205440053716299E-14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396.92963589781414</v>
      </c>
      <c r="AO111" s="62">
        <f t="shared" si="90"/>
        <v>294.38852181137639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280.79999999999995</v>
      </c>
      <c r="O112" s="14">
        <f>N112*VLOOKUP('Données projet'!$B$9,Paramètres!$A$1:$I$89,3,0)*VLOOKUP('Données projet'!$B$9,Paramètres!$A$1:$I$89,5,0)</f>
        <v>254.06783999999996</v>
      </c>
      <c r="P112" s="14">
        <f t="shared" si="87"/>
        <v>61.456187622750718</v>
      </c>
      <c r="Q112" s="22">
        <f t="shared" si="107"/>
        <v>549.53768144295748</v>
      </c>
      <c r="R112" s="62">
        <f t="shared" si="55"/>
        <v>842.87101477629085</v>
      </c>
      <c r="S112" s="62">
        <f ca="1">AVERAGE(OFFSET($R$3,0,0,'Données projet'!$E$9+1,1))-AVERAGE(OFFSET($H$3,0,0,'Données projet'!$E$9+1,1))</f>
        <v>371.7282125501186</v>
      </c>
      <c r="T112" s="62">
        <f t="shared" si="88"/>
        <v>231.36959598460686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9.4469094469137052E-2</v>
      </c>
      <c r="AA112" s="23">
        <f>EXP(-LN(2)/25)*AA111+(1-EXP(-LN(2)/25))/(LN(2)/25)*Calculateur!V112*Calculateur!X112*VLOOKUP('Données projet'!$B$9,Paramètres!$A$1:$I$89,3,0)*0.475*44/12</f>
        <v>0.25162820342993247</v>
      </c>
      <c r="AB112" s="23">
        <f>EXP(-LN(2)/2)*AB111+(1-EXP(-LN(2)/2))/(LN(2)/2)*V112*Y112*VLOOKUP('Données projet'!$B$9,Paramètres!$A$1:$I$89,3,0)*0.475*44/12</f>
        <v>1.7694209760410974E-11</v>
      </c>
      <c r="AC112" s="24">
        <f t="shared" si="57"/>
        <v>0.34609729791676375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-5.3205440053716299E-14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396.92963589781414</v>
      </c>
      <c r="AO112" s="62">
        <f t="shared" si="90"/>
        <v>294.38852181137639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285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284.99999999999994</v>
      </c>
      <c r="O113" s="14">
        <f>N113*VLOOKUP('Données projet'!$B$9,Paramètres!$A$1:$I$89,3,0)*VLOOKUP('Données projet'!$B$9,Paramètres!$A$1:$I$89,5,0)</f>
        <v>257.86799999999994</v>
      </c>
      <c r="P113" s="14">
        <f t="shared" si="87"/>
        <v>62.267704162827528</v>
      </c>
      <c r="Q113" s="22">
        <f t="shared" si="107"/>
        <v>557.56968475025781</v>
      </c>
      <c r="R113" s="62">
        <f t="shared" si="55"/>
        <v>850.90301808359118</v>
      </c>
      <c r="S113" s="62">
        <f ca="1">AVERAGE(OFFSET($R$3,0,0,'Données projet'!$E$9+1,1))-AVERAGE(OFFSET($H$3,0,0,'Données projet'!$E$9+1,1))</f>
        <v>371.7282125501186</v>
      </c>
      <c r="T113" s="62">
        <f t="shared" si="88"/>
        <v>231.36959598460686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9.2616613147055354E-2</v>
      </c>
      <c r="AA113" s="23">
        <f>EXP(-LN(2)/25)*AA112+(1-EXP(-LN(2)/25))/(LN(2)/25)*Calculateur!V113*Calculateur!X113*VLOOKUP('Données projet'!$B$9,Paramètres!$A$1:$I$89,3,0)*0.475*44/12</f>
        <v>0.24474741697458885</v>
      </c>
      <c r="AB113" s="23">
        <f>EXP(-LN(2)/2)*AB112+(1-EXP(-LN(2)/2))/(LN(2)/2)*V113*Y113*VLOOKUP('Données projet'!$B$9,Paramètres!$A$1:$I$89,3,0)*0.475*44/12</f>
        <v>1.2511695709323796E-11</v>
      </c>
      <c r="AC113" s="24">
        <f t="shared" si="57"/>
        <v>0.33736403013415589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-5.3205440053716299E-14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396.92963589781414</v>
      </c>
      <c r="AO113" s="62">
        <f t="shared" si="90"/>
        <v>294.38852181137639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269.79999999999995</v>
      </c>
      <c r="O114" s="14">
        <f>N114*VLOOKUP('Données projet'!$B$9,Paramètres!$A$1:$I$89,3,0)*VLOOKUP('Données projet'!$B$9,Paramètres!$A$1:$I$89,5,0)</f>
        <v>244.11503999999994</v>
      </c>
      <c r="P114" s="14">
        <f t="shared" si="87"/>
        <v>59.324023461759012</v>
      </c>
      <c r="Q114" s="22">
        <f t="shared" si="107"/>
        <v>528.48970219589683</v>
      </c>
      <c r="R114" s="62">
        <f t="shared" si="55"/>
        <v>821.82303552923008</v>
      </c>
      <c r="S114" s="62">
        <f ca="1">AVERAGE(OFFSET($R$3,0,0,'Données projet'!$E$9+1,1))-AVERAGE(OFFSET($H$3,0,0,'Données projet'!$E$9+1,1))</f>
        <v>371.7282125501186</v>
      </c>
      <c r="T114" s="62">
        <f t="shared" si="88"/>
        <v>231.36959598460686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9.0800457853797645E-2</v>
      </c>
      <c r="AA114" s="23">
        <f>EXP(-LN(2)/25)*AA113+(1-EXP(-LN(2)/25))/(LN(2)/25)*Calculateur!V114*Calculateur!X114*VLOOKUP('Données projet'!$B$9,Paramètres!$A$1:$I$89,3,0)*0.475*44/12</f>
        <v>0.23805478598671143</v>
      </c>
      <c r="AB114" s="23">
        <f>EXP(-LN(2)/2)*AB113+(1-EXP(-LN(2)/2))/(LN(2)/2)*V114*Y114*VLOOKUP('Données projet'!$B$9,Paramètres!$A$1:$I$89,3,0)*0.475*44/12</f>
        <v>8.8471048802054869E-12</v>
      </c>
      <c r="AC114" s="24">
        <f t="shared" si="57"/>
        <v>0.32885524384935616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-5.3205440053716299E-14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396.92963589781414</v>
      </c>
      <c r="AO114" s="62">
        <f t="shared" si="90"/>
        <v>294.38852181137639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273.59999999999997</v>
      </c>
      <c r="O115" s="14">
        <f>N115*VLOOKUP('Données projet'!$B$9,Paramètres!$A$1:$I$89,3,0)*VLOOKUP('Données projet'!$B$9,Paramètres!$A$1:$I$89,5,0)</f>
        <v>247.55327999999994</v>
      </c>
      <c r="P115" s="14">
        <f t="shared" si="87"/>
        <v>60.061713068870255</v>
      </c>
      <c r="Q115" s="22">
        <f t="shared" si="107"/>
        <v>535.76277959494894</v>
      </c>
      <c r="R115" s="62">
        <f t="shared" si="55"/>
        <v>829.09611292828231</v>
      </c>
      <c r="S115" s="62">
        <f ca="1">AVERAGE(OFFSET($R$3,0,0,'Données projet'!$E$9+1,1))-AVERAGE(OFFSET($H$3,0,0,'Données projet'!$E$9+1,1))</f>
        <v>371.7282125501186</v>
      </c>
      <c r="T115" s="62">
        <f t="shared" si="88"/>
        <v>231.36959598460686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8.9019916258095369E-2</v>
      </c>
      <c r="AA115" s="23">
        <f>EXP(-LN(2)/25)*AA114+(1-EXP(-LN(2)/25))/(LN(2)/25)*Calculateur!V115*Calculateur!X115*VLOOKUP('Données projet'!$B$9,Paramètres!$A$1:$I$89,3,0)*0.475*44/12</f>
        <v>0.23154516534514769</v>
      </c>
      <c r="AB115" s="23">
        <f>EXP(-LN(2)/2)*AB114+(1-EXP(-LN(2)/2))/(LN(2)/2)*V115*Y115*VLOOKUP('Données projet'!$B$9,Paramètres!$A$1:$I$89,3,0)*0.475*44/12</f>
        <v>6.2558478546618981E-12</v>
      </c>
      <c r="AC115" s="24">
        <f t="shared" si="57"/>
        <v>0.32056508160949887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-5.3205440053716299E-14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396.92963589781414</v>
      </c>
      <c r="AO115" s="62">
        <f t="shared" si="90"/>
        <v>294.38852181137639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277.39999999999998</v>
      </c>
      <c r="O116" s="14">
        <f>N116*VLOOKUP('Données projet'!$B$9,Paramètres!$A$1:$I$89,3,0)*VLOOKUP('Données projet'!$B$9,Paramètres!$A$1:$I$89,5,0)</f>
        <v>250.99151999999995</v>
      </c>
      <c r="P116" s="14">
        <f t="shared" si="87"/>
        <v>60.798211000769406</v>
      </c>
      <c r="Q116" s="22">
        <f t="shared" si="107"/>
        <v>543.03378149300659</v>
      </c>
      <c r="R116" s="62">
        <f t="shared" si="55"/>
        <v>836.36711482633996</v>
      </c>
      <c r="S116" s="62">
        <f ca="1">AVERAGE(OFFSET($R$3,0,0,'Données projet'!$E$9+1,1))-AVERAGE(OFFSET($H$3,0,0,'Données projet'!$E$9+1,1))</f>
        <v>371.7282125501186</v>
      </c>
      <c r="T116" s="62">
        <f t="shared" si="88"/>
        <v>231.36959598460686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8.7274289997061674E-2</v>
      </c>
      <c r="AA116" s="23">
        <f>EXP(-LN(2)/25)*AA115+(1-EXP(-LN(2)/25))/(LN(2)/25)*Calculateur!V116*Calculateur!X116*VLOOKUP('Données projet'!$B$9,Paramètres!$A$1:$I$89,3,0)*0.475*44/12</f>
        <v>0.22521355062235357</v>
      </c>
      <c r="AB116" s="23">
        <f>EXP(-LN(2)/2)*AB115+(1-EXP(-LN(2)/2))/(LN(2)/2)*V116*Y116*VLOOKUP('Données projet'!$B$9,Paramètres!$A$1:$I$89,3,0)*0.475*44/12</f>
        <v>4.4235524401027434E-12</v>
      </c>
      <c r="AC116" s="24">
        <f t="shared" si="57"/>
        <v>0.31248784062383883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-5.3205440053716299E-14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396.92963589781414</v>
      </c>
      <c r="AO116" s="62">
        <f t="shared" si="90"/>
        <v>294.38852181137639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281.2</v>
      </c>
      <c r="O117" s="14">
        <f>N117*VLOOKUP('Données projet'!$B$9,Paramètres!$A$1:$I$89,3,0)*VLOOKUP('Données projet'!$B$9,Paramètres!$A$1:$I$89,5,0)</f>
        <v>254.42975999999996</v>
      </c>
      <c r="P117" s="14">
        <f t="shared" si="87"/>
        <v>61.533535468549189</v>
      </c>
      <c r="Q117" s="22">
        <f t="shared" si="107"/>
        <v>550.30273960772308</v>
      </c>
      <c r="R117" s="62">
        <f t="shared" si="55"/>
        <v>843.63607294105645</v>
      </c>
      <c r="S117" s="62">
        <f ca="1">AVERAGE(OFFSET($R$3,0,0,'Données projet'!$E$9+1,1))-AVERAGE(OFFSET($H$3,0,0,'Données projet'!$E$9+1,1))</f>
        <v>371.7282125501186</v>
      </c>
      <c r="T117" s="62">
        <f t="shared" si="88"/>
        <v>231.36959598460686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8.556289440227996E-2</v>
      </c>
      <c r="AA117" s="23">
        <f>EXP(-LN(2)/25)*AA116+(1-EXP(-LN(2)/25))/(LN(2)/25)*Calculateur!V117*Calculateur!X117*VLOOKUP('Données projet'!$B$9,Paramètres!$A$1:$I$89,3,0)*0.475*44/12</f>
        <v>0.21905507423711942</v>
      </c>
      <c r="AB117" s="23">
        <f>EXP(-LN(2)/2)*AB116+(1-EXP(-LN(2)/2))/(LN(2)/2)*V117*Y117*VLOOKUP('Données projet'!$B$9,Paramètres!$A$1:$I$89,3,0)*0.475*44/12</f>
        <v>3.127923927330949E-12</v>
      </c>
      <c r="AC117" s="24">
        <f t="shared" si="57"/>
        <v>0.30461796864252733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-5.3205440053716299E-14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396.92963589781414</v>
      </c>
      <c r="AO117" s="62">
        <f t="shared" si="90"/>
        <v>294.38852181137639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285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285</v>
      </c>
      <c r="O118" s="14">
        <f>N118*VLOOKUP('Données projet'!$B$9,Paramètres!$A$1:$I$89,3,0)*VLOOKUP('Données projet'!$B$9,Paramètres!$A$1:$I$89,5,0)</f>
        <v>257.86799999999999</v>
      </c>
      <c r="P118" s="14">
        <f t="shared" si="87"/>
        <v>62.267704162827528</v>
      </c>
      <c r="Q118" s="22">
        <f t="shared" si="107"/>
        <v>557.56968475025803</v>
      </c>
      <c r="R118" s="62">
        <f t="shared" si="55"/>
        <v>850.90301808359141</v>
      </c>
      <c r="S118" s="62">
        <f ca="1">AVERAGE(OFFSET($R$3,0,0,'Données projet'!$E$9+1,1))-AVERAGE(OFFSET($H$3,0,0,'Données projet'!$E$9+1,1))</f>
        <v>371.7282125501186</v>
      </c>
      <c r="T118" s="62">
        <f t="shared" si="88"/>
        <v>231.36959598460686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8.3885058231263673E-2</v>
      </c>
      <c r="AA118" s="23">
        <f>EXP(-LN(2)/25)*AA117+(1-EXP(-LN(2)/25))/(LN(2)/25)*Calculateur!V118*Calculateur!X118*VLOOKUP('Données projet'!$B$9,Paramètres!$A$1:$I$89,3,0)*0.475*44/12</f>
        <v>0.2130650017124997</v>
      </c>
      <c r="AB118" s="23">
        <f>EXP(-LN(2)/2)*AB117+(1-EXP(-LN(2)/2))/(LN(2)/2)*V118*Y118*VLOOKUP('Données projet'!$B$9,Paramètres!$A$1:$I$89,3,0)*0.475*44/12</f>
        <v>2.2117762200513717E-12</v>
      </c>
      <c r="AC118" s="24">
        <f t="shared" si="57"/>
        <v>0.29695005994597518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-5.3205440053716299E-14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396.92963589781414</v>
      </c>
      <c r="AO118" s="62">
        <f t="shared" si="90"/>
        <v>294.38852181137639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270.60000000000002</v>
      </c>
      <c r="O119" s="14">
        <f>N119*VLOOKUP('Données projet'!$B$9,Paramètres!$A$1:$I$89,3,0)*VLOOKUP('Données projet'!$B$9,Paramètres!$A$1:$I$89,5,0)</f>
        <v>244.83888000000002</v>
      </c>
      <c r="P119" s="14">
        <f t="shared" si="87"/>
        <v>59.479426489427787</v>
      </c>
      <c r="Q119" s="22">
        <f t="shared" si="107"/>
        <v>530.02105046908684</v>
      </c>
      <c r="R119" s="62">
        <f t="shared" si="55"/>
        <v>823.35438380242022</v>
      </c>
      <c r="S119" s="62">
        <f ca="1">AVERAGE(OFFSET($R$3,0,0,'Données projet'!$E$9+1,1))-AVERAGE(OFFSET($H$3,0,0,'Données projet'!$E$9+1,1))</f>
        <v>371.7282125501186</v>
      </c>
      <c r="T119" s="62">
        <f t="shared" si="88"/>
        <v>231.36959598460686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8.2240123404182006E-2</v>
      </c>
      <c r="AA119" s="23">
        <f>EXP(-LN(2)/25)*AA118+(1-EXP(-LN(2)/25))/(LN(2)/25)*Calculateur!V119*Calculateur!X119*VLOOKUP('Données projet'!$B$9,Paramètres!$A$1:$I$89,3,0)*0.475*44/12</f>
        <v>0.20723872803606994</v>
      </c>
      <c r="AB119" s="23">
        <f>EXP(-LN(2)/2)*AB118+(1-EXP(-LN(2)/2))/(LN(2)/2)*V119*Y119*VLOOKUP('Données projet'!$B$9,Paramètres!$A$1:$I$89,3,0)*0.475*44/12</f>
        <v>1.5639619636654745E-12</v>
      </c>
      <c r="AC119" s="24">
        <f t="shared" si="57"/>
        <v>0.2894788514418159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-5.3205440053716299E-14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396.92963589781414</v>
      </c>
      <c r="AO119" s="62">
        <f t="shared" si="90"/>
        <v>294.38852181137639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274.20000000000005</v>
      </c>
      <c r="O120" s="14">
        <f>N120*VLOOKUP('Données projet'!$B$9,Paramètres!$A$1:$I$89,3,0)*VLOOKUP('Données projet'!$B$9,Paramètres!$A$1:$I$89,5,0)</f>
        <v>248.09616</v>
      </c>
      <c r="P120" s="14">
        <f t="shared" si="87"/>
        <v>60.178080967364686</v>
      </c>
      <c r="Q120" s="22">
        <f t="shared" si="107"/>
        <v>536.91096968482668</v>
      </c>
      <c r="R120" s="62">
        <f t="shared" si="55"/>
        <v>830.24430301816005</v>
      </c>
      <c r="S120" s="62">
        <f ca="1">AVERAGE(OFFSET($R$3,0,0,'Données projet'!$E$9+1,1))-AVERAGE(OFFSET($H$3,0,0,'Données projet'!$E$9+1,1))</f>
        <v>371.7282125501186</v>
      </c>
      <c r="T120" s="62">
        <f t="shared" si="88"/>
        <v>231.36959598460686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8.0627444745748234E-2</v>
      </c>
      <c r="AA120" s="23">
        <f>EXP(-LN(2)/25)*AA119+(1-EXP(-LN(2)/25))/(LN(2)/25)*Calculateur!V120*Calculateur!X120*VLOOKUP('Données projet'!$B$9,Paramètres!$A$1:$I$89,3,0)*0.475*44/12</f>
        <v>0.20157177411971255</v>
      </c>
      <c r="AB120" s="23">
        <f>EXP(-LN(2)/2)*AB119+(1-EXP(-LN(2)/2))/(LN(2)/2)*V120*Y120*VLOOKUP('Données projet'!$B$9,Paramètres!$A$1:$I$89,3,0)*0.475*44/12</f>
        <v>1.1058881100256859E-12</v>
      </c>
      <c r="AC120" s="24">
        <f t="shared" si="57"/>
        <v>0.28219921886656668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-5.3205440053716299E-14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396.92963589781414</v>
      </c>
      <c r="AO120" s="62">
        <f t="shared" si="90"/>
        <v>294.38852181137639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277.80000000000007</v>
      </c>
      <c r="O121" s="14">
        <f>N121*VLOOKUP('Données projet'!$B$9,Paramètres!$A$1:$I$89,3,0)*VLOOKUP('Données projet'!$B$9,Paramètres!$A$1:$I$89,5,0)</f>
        <v>251.35344000000003</v>
      </c>
      <c r="P121" s="14">
        <f t="shared" si="87"/>
        <v>60.875668525285015</v>
      </c>
      <c r="Q121" s="22">
        <f t="shared" si="107"/>
        <v>543.79903068153806</v>
      </c>
      <c r="R121" s="62">
        <f t="shared" si="55"/>
        <v>837.13236401487143</v>
      </c>
      <c r="S121" s="62">
        <f ca="1">AVERAGE(OFFSET($R$3,0,0,'Données projet'!$E$9+1,1))-AVERAGE(OFFSET($H$3,0,0,'Données projet'!$E$9+1,1))</f>
        <v>371.7282125501186</v>
      </c>
      <c r="T121" s="62">
        <f t="shared" si="88"/>
        <v>231.36959598460686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7.9046389732169486E-2</v>
      </c>
      <c r="AA121" s="23">
        <f>EXP(-LN(2)/25)*AA120+(1-EXP(-LN(2)/25))/(LN(2)/25)*Calculateur!V121*Calculateur!X121*VLOOKUP('Données projet'!$B$9,Paramètres!$A$1:$I$89,3,0)*0.475*44/12</f>
        <v>0.1960597833562101</v>
      </c>
      <c r="AB121" s="23">
        <f>EXP(-LN(2)/2)*AB120+(1-EXP(-LN(2)/2))/(LN(2)/2)*V121*Y121*VLOOKUP('Données projet'!$B$9,Paramètres!$A$1:$I$89,3,0)*0.475*44/12</f>
        <v>7.8198098183273726E-13</v>
      </c>
      <c r="AC121" s="24">
        <f t="shared" si="57"/>
        <v>0.27510617308916158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-5.3205440053716299E-14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396.92963589781414</v>
      </c>
      <c r="AO121" s="62">
        <f t="shared" si="90"/>
        <v>294.38852181137639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281.40000000000009</v>
      </c>
      <c r="O122" s="14">
        <f>N122*VLOOKUP('Données projet'!$B$9,Paramètres!$A$1:$I$89,3,0)*VLOOKUP('Données projet'!$B$9,Paramètres!$A$1:$I$89,5,0)</f>
        <v>254.61072000000007</v>
      </c>
      <c r="P122" s="14">
        <f t="shared" si="87"/>
        <v>61.572204587965729</v>
      </c>
      <c r="Q122" s="22">
        <f t="shared" si="107"/>
        <v>550.68526032404031</v>
      </c>
      <c r="R122" s="62">
        <f t="shared" si="55"/>
        <v>844.01859365737369</v>
      </c>
      <c r="S122" s="62">
        <f ca="1">AVERAGE(OFFSET($R$3,0,0,'Données projet'!$E$9+1,1))-AVERAGE(OFFSET($H$3,0,0,'Données projet'!$E$9+1,1))</f>
        <v>371.7282125501186</v>
      </c>
      <c r="T122" s="62">
        <f t="shared" si="88"/>
        <v>231.36959598460686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7.7496338243058682E-2</v>
      </c>
      <c r="AA122" s="23">
        <f>EXP(-LN(2)/25)*AA121+(1-EXP(-LN(2)/25))/(LN(2)/25)*Calculateur!V122*Calculateur!X122*VLOOKUP('Données projet'!$B$9,Paramètres!$A$1:$I$89,3,0)*0.475*44/12</f>
        <v>0.19069851826999865</v>
      </c>
      <c r="AB122" s="23">
        <f>EXP(-LN(2)/2)*AB121+(1-EXP(-LN(2)/2))/(LN(2)/2)*V122*Y122*VLOOKUP('Données projet'!$B$9,Paramètres!$A$1:$I$89,3,0)*0.475*44/12</f>
        <v>5.5294405501284293E-13</v>
      </c>
      <c r="AC122" s="24">
        <f t="shared" si="57"/>
        <v>0.26819485651361025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-5.3205440053716299E-14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396.92963589781414</v>
      </c>
      <c r="AO122" s="62">
        <f t="shared" si="90"/>
        <v>294.38852181137639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285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285.00000000000011</v>
      </c>
      <c r="O123" s="14">
        <f>N123*VLOOKUP('Données projet'!$B$9,Paramètres!$A$1:$I$89,3,0)*VLOOKUP('Données projet'!$B$9,Paramètres!$A$1:$I$89,5,0)</f>
        <v>257.86800000000011</v>
      </c>
      <c r="P123" s="14">
        <f t="shared" si="87"/>
        <v>62.267704162827528</v>
      </c>
      <c r="Q123" s="22">
        <f t="shared" si="107"/>
        <v>557.56968475025815</v>
      </c>
      <c r="R123" s="62">
        <f t="shared" si="55"/>
        <v>850.90301808359141</v>
      </c>
      <c r="S123" s="62">
        <f ca="1">AVERAGE(OFFSET($R$3,0,0,'Données projet'!$E$9+1,1))-AVERAGE(OFFSET($H$3,0,0,'Données projet'!$E$9+1,1))</f>
        <v>371.7282125501186</v>
      </c>
      <c r="T123" s="62">
        <f t="shared" si="88"/>
        <v>231.36959598460686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7.5976682318211294E-2</v>
      </c>
      <c r="AA123" s="23">
        <f>EXP(-LN(2)/25)*AA122+(1-EXP(-LN(2)/25))/(LN(2)/25)*Calculateur!V123*Calculateur!X123*VLOOKUP('Données projet'!$B$9,Paramètres!$A$1:$I$89,3,0)*0.475*44/12</f>
        <v>0.18548385725950631</v>
      </c>
      <c r="AB123" s="23">
        <f>EXP(-LN(2)/2)*AB122+(1-EXP(-LN(2)/2))/(LN(2)/2)*V123*Y123*VLOOKUP('Données projet'!$B$9,Paramètres!$A$1:$I$89,3,0)*0.475*44/12</f>
        <v>3.9099049091636863E-13</v>
      </c>
      <c r="AC123" s="24">
        <f t="shared" si="57"/>
        <v>0.26146053957810855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-5.3205440053716299E-14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396.92963589781414</v>
      </c>
      <c r="AO123" s="62">
        <f t="shared" si="90"/>
        <v>294.38852181137639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1.0286385077051818E-13</v>
      </c>
      <c r="P124" s="14">
        <f t="shared" si="87"/>
        <v>1.5402366592183556E-12</v>
      </c>
      <c r="Q124" s="22">
        <f t="shared" si="107"/>
        <v>2.8617333882306215E-12</v>
      </c>
      <c r="R124" s="62">
        <f t="shared" si="55"/>
        <v>293.33333333333616</v>
      </c>
      <c r="S124" s="62">
        <f ca="1">AVERAGE(OFFSET($R$3,0,0,'Données projet'!$E$9+1,1))-AVERAGE(OFFSET($H$3,0,0,'Données projet'!$E$9+1,1))</f>
        <v>371.7282125501186</v>
      </c>
      <c r="T124" s="62">
        <f t="shared" si="88"/>
        <v>231.36959598460686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7.4486825919151567E-2</v>
      </c>
      <c r="AA124" s="23">
        <f>EXP(-LN(2)/25)*AA123+(1-EXP(-LN(2)/25))/(LN(2)/25)*Calculateur!V124*Calculateur!X124*VLOOKUP('Données projet'!$B$9,Paramètres!$A$1:$I$89,3,0)*0.475*44/12</f>
        <v>0.18041179142857297</v>
      </c>
      <c r="AB124" s="23">
        <f>EXP(-LN(2)/2)*AB123+(1-EXP(-LN(2)/2))/(LN(2)/2)*V124*Y124*VLOOKUP('Données projet'!$B$9,Paramètres!$A$1:$I$89,3,0)*0.475*44/12</f>
        <v>2.7647202750642147E-13</v>
      </c>
      <c r="AC124" s="24">
        <f t="shared" si="57"/>
        <v>0.25489861734800101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-5.3205440053716299E-14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396.92963589781414</v>
      </c>
      <c r="AO124" s="62">
        <f t="shared" si="90"/>
        <v>294.38852181137639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1.0286385077051818E-13</v>
      </c>
      <c r="P125" s="14">
        <f t="shared" si="87"/>
        <v>1.5402366592183556E-12</v>
      </c>
      <c r="Q125" s="22">
        <f t="shared" si="107"/>
        <v>2.8617333882306215E-12</v>
      </c>
      <c r="R125" s="62">
        <f t="shared" si="55"/>
        <v>293.33333333333616</v>
      </c>
      <c r="S125" s="62">
        <f ca="1">AVERAGE(OFFSET($R$3,0,0,'Données projet'!$E$9+1,1))-AVERAGE(OFFSET($H$3,0,0,'Données projet'!$E$9+1,1))</f>
        <v>371.7282125501186</v>
      </c>
      <c r="T125" s="62">
        <f t="shared" si="88"/>
        <v>231.36959598460686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7.3026184695354726E-2</v>
      </c>
      <c r="AA125" s="23">
        <f>EXP(-LN(2)/25)*AA124+(1-EXP(-LN(2)/25))/(LN(2)/25)*Calculateur!V125*Calculateur!X125*VLOOKUP('Données projet'!$B$9,Paramètres!$A$1:$I$89,3,0)*0.475*44/12</f>
        <v>0.17547842150451487</v>
      </c>
      <c r="AB125" s="23">
        <f>EXP(-LN(2)/2)*AB124+(1-EXP(-LN(2)/2))/(LN(2)/2)*V125*Y125*VLOOKUP('Données projet'!$B$9,Paramètres!$A$1:$I$89,3,0)*0.475*44/12</f>
        <v>1.9549524545818431E-13</v>
      </c>
      <c r="AC125" s="24">
        <f t="shared" si="57"/>
        <v>0.24850460620006506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-5.3205440053716299E-14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396.92963589781414</v>
      </c>
      <c r="AO125" s="62">
        <f t="shared" si="90"/>
        <v>294.38852181137639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1.0286385077051818E-13</v>
      </c>
      <c r="P126" s="14">
        <f t="shared" si="87"/>
        <v>1.5402366592183556E-12</v>
      </c>
      <c r="Q126" s="22">
        <f t="shared" si="107"/>
        <v>2.8617333882306215E-12</v>
      </c>
      <c r="R126" s="62">
        <f t="shared" si="55"/>
        <v>293.33333333333616</v>
      </c>
      <c r="S126" s="62">
        <f ca="1">AVERAGE(OFFSET($R$3,0,0,'Données projet'!$E$9+1,1))-AVERAGE(OFFSET($H$3,0,0,'Données projet'!$E$9+1,1))</f>
        <v>371.7282125501186</v>
      </c>
      <c r="T126" s="62">
        <f t="shared" si="88"/>
        <v>231.36959598460686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7.1594185755053372E-2</v>
      </c>
      <c r="AA126" s="23">
        <f>EXP(-LN(2)/25)*AA125+(1-EXP(-LN(2)/25))/(LN(2)/25)*Calculateur!V126*Calculateur!X126*VLOOKUP('Données projet'!$B$9,Paramètres!$A$1:$I$89,3,0)*0.475*44/12</f>
        <v>0.17067995484046478</v>
      </c>
      <c r="AB126" s="23">
        <f>EXP(-LN(2)/2)*AB125+(1-EXP(-LN(2)/2))/(LN(2)/2)*V126*Y126*VLOOKUP('Données projet'!$B$9,Paramètres!$A$1:$I$89,3,0)*0.475*44/12</f>
        <v>1.3823601375321073E-13</v>
      </c>
      <c r="AC126" s="24">
        <f t="shared" si="57"/>
        <v>0.24227414059565638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-5.3205440053716299E-14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396.92963589781414</v>
      </c>
      <c r="AO126" s="62">
        <f t="shared" si="90"/>
        <v>294.38852181137639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1.0286385077051818E-13</v>
      </c>
      <c r="P127" s="14">
        <f t="shared" si="87"/>
        <v>1.5402366592183556E-12</v>
      </c>
      <c r="Q127" s="22">
        <f t="shared" si="107"/>
        <v>2.8617333882306215E-12</v>
      </c>
      <c r="R127" s="62">
        <f t="shared" si="55"/>
        <v>293.33333333333616</v>
      </c>
      <c r="S127" s="62">
        <f ca="1">AVERAGE(OFFSET($R$3,0,0,'Données projet'!$E$9+1,1))-AVERAGE(OFFSET($H$3,0,0,'Données projet'!$E$9+1,1))</f>
        <v>371.7282125501186</v>
      </c>
      <c r="T127" s="62">
        <f t="shared" si="88"/>
        <v>231.36959598460686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7.0190267440538218E-2</v>
      </c>
      <c r="AA127" s="23">
        <f>EXP(-LN(2)/25)*AA126+(1-EXP(-LN(2)/25))/(LN(2)/25)*Calculateur!V127*Calculateur!X127*VLOOKUP('Données projet'!$B$9,Paramètres!$A$1:$I$89,3,0)*0.475*44/12</f>
        <v>0.16601270249968353</v>
      </c>
      <c r="AB127" s="23">
        <f>EXP(-LN(2)/2)*AB126+(1-EXP(-LN(2)/2))/(LN(2)/2)*V127*Y127*VLOOKUP('Données projet'!$B$9,Paramètres!$A$1:$I$89,3,0)*0.475*44/12</f>
        <v>9.7747622729092157E-14</v>
      </c>
      <c r="AC127" s="24">
        <f t="shared" si="57"/>
        <v>0.2362029699403195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-5.3205440053716299E-14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396.92963589781414</v>
      </c>
      <c r="AO127" s="62">
        <f t="shared" si="90"/>
        <v>294.38852181137639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1.0286385077051818E-13</v>
      </c>
      <c r="P128" s="14">
        <f t="shared" si="87"/>
        <v>1.5402366592183556E-12</v>
      </c>
      <c r="Q128" s="22">
        <f t="shared" si="107"/>
        <v>2.8617333882306215E-12</v>
      </c>
      <c r="R128" s="62">
        <f t="shared" si="55"/>
        <v>293.33333333333616</v>
      </c>
      <c r="S128" s="62">
        <f ca="1">AVERAGE(OFFSET($R$3,0,0,'Données projet'!$E$9+1,1))-AVERAGE(OFFSET($H$3,0,0,'Données projet'!$E$9+1,1))</f>
        <v>371.7282125501186</v>
      </c>
      <c r="T128" s="62">
        <f t="shared" si="88"/>
        <v>231.36959598460686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6.8813879107865086E-2</v>
      </c>
      <c r="AA128" s="23">
        <f>EXP(-LN(2)/25)*AA127+(1-EXP(-LN(2)/25))/(LN(2)/25)*Calculateur!V128*Calculateur!X128*VLOOKUP('Données projet'!$B$9,Paramètres!$A$1:$I$89,3,0)*0.475*44/12</f>
        <v>0.1614730764196011</v>
      </c>
      <c r="AB128" s="23">
        <f>EXP(-LN(2)/2)*AB127+(1-EXP(-LN(2)/2))/(LN(2)/2)*V128*Y128*VLOOKUP('Données projet'!$B$9,Paramètres!$A$1:$I$89,3,0)*0.475*44/12</f>
        <v>6.9118006876605366E-14</v>
      </c>
      <c r="AC128" s="24">
        <f t="shared" si="57"/>
        <v>0.23028695552753531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-5.3205440053716299E-14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396.92963589781414</v>
      </c>
      <c r="AO128" s="62">
        <f t="shared" si="90"/>
        <v>294.38852181137639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1.0286385077051818E-13</v>
      </c>
      <c r="P129" s="14">
        <f t="shared" si="87"/>
        <v>1.5402366592183556E-12</v>
      </c>
      <c r="Q129" s="22">
        <f t="shared" si="107"/>
        <v>2.8617333882306215E-12</v>
      </c>
      <c r="R129" s="62">
        <f t="shared" si="55"/>
        <v>293.33333333333616</v>
      </c>
      <c r="S129" s="62">
        <f ca="1">AVERAGE(OFFSET($R$3,0,0,'Données projet'!$E$9+1,1))-AVERAGE(OFFSET($H$3,0,0,'Données projet'!$E$9+1,1))</f>
        <v>371.7282125501186</v>
      </c>
      <c r="T129" s="62">
        <f t="shared" si="88"/>
        <v>231.36959598460686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6.7464480910881683E-2</v>
      </c>
      <c r="AA129" s="23">
        <f>EXP(-LN(2)/25)*AA128+(1-EXP(-LN(2)/25))/(LN(2)/25)*Calculateur!V129*Calculateur!X129*VLOOKUP('Données projet'!$B$9,Paramètres!$A$1:$I$89,3,0)*0.475*44/12</f>
        <v>0.15705758665340708</v>
      </c>
      <c r="AB129" s="23">
        <f>EXP(-LN(2)/2)*AB128+(1-EXP(-LN(2)/2))/(LN(2)/2)*V129*Y129*VLOOKUP('Données projet'!$B$9,Paramètres!$A$1:$I$89,3,0)*0.475*44/12</f>
        <v>4.8873811364546079E-14</v>
      </c>
      <c r="AC129" s="24">
        <f t="shared" si="57"/>
        <v>0.22452206756433765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-5.3205440053716299E-14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396.92963589781414</v>
      </c>
      <c r="AO129" s="62">
        <f t="shared" si="90"/>
        <v>294.38852181137639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1.0286385077051818E-13</v>
      </c>
      <c r="P130" s="14">
        <f t="shared" si="87"/>
        <v>1.5402366592183556E-12</v>
      </c>
      <c r="Q130" s="22">
        <f t="shared" si="107"/>
        <v>2.8617333882306215E-12</v>
      </c>
      <c r="R130" s="62">
        <f t="shared" si="55"/>
        <v>293.33333333333616</v>
      </c>
      <c r="S130" s="62">
        <f ca="1">AVERAGE(OFFSET($R$3,0,0,'Données projet'!$E$9+1,1))-AVERAGE(OFFSET($H$3,0,0,'Données projet'!$E$9+1,1))</f>
        <v>371.7282125501186</v>
      </c>
      <c r="T130" s="62">
        <f t="shared" si="88"/>
        <v>231.36959598460686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6.6141543589489496E-2</v>
      </c>
      <c r="AA130" s="23">
        <f>EXP(-LN(2)/25)*AA129+(1-EXP(-LN(2)/25))/(LN(2)/25)*Calculateur!V130*Calculateur!X130*VLOOKUP('Données projet'!$B$9,Paramètres!$A$1:$I$89,3,0)*0.475*44/12</f>
        <v>0.15276283868707013</v>
      </c>
      <c r="AB130" s="23">
        <f>EXP(-LN(2)/2)*AB129+(1-EXP(-LN(2)/2))/(LN(2)/2)*V130*Y130*VLOOKUP('Données projet'!$B$9,Paramètres!$A$1:$I$89,3,0)*0.475*44/12</f>
        <v>3.4559003438302683E-14</v>
      </c>
      <c r="AC130" s="24">
        <f t="shared" si="57"/>
        <v>0.21890438227659417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-5.3205440053716299E-14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396.92963589781414</v>
      </c>
      <c r="AO130" s="62">
        <f t="shared" si="90"/>
        <v>294.38852181137639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1.0286385077051818E-13</v>
      </c>
      <c r="P131" s="14">
        <f t="shared" si="87"/>
        <v>1.5402366592183556E-12</v>
      </c>
      <c r="Q131" s="22">
        <f t="shared" ref="Q131:Q153" si="108">(O131+P131)*0.475*44/12</f>
        <v>2.8617333882306215E-12</v>
      </c>
      <c r="R131" s="62">
        <f t="shared" ref="R131:R194" si="109">Q131+(I131+J131)*44/12</f>
        <v>293.33333333333616</v>
      </c>
      <c r="S131" s="62">
        <f ca="1">AVERAGE(OFFSET($R$3,0,0,'Données projet'!$E$9+1,1))-AVERAGE(OFFSET($H$3,0,0,'Données projet'!$E$9+1,1))</f>
        <v>371.7282125501186</v>
      </c>
      <c r="T131" s="62">
        <f t="shared" si="88"/>
        <v>231.36959598460686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6.4844548262057725E-2</v>
      </c>
      <c r="AA131" s="23">
        <f>EXP(-LN(2)/25)*AA130+(1-EXP(-LN(2)/25))/(LN(2)/25)*Calculateur!V131*Calculateur!X131*VLOOKUP('Données projet'!$B$9,Paramètres!$A$1:$I$89,3,0)*0.475*44/12</f>
        <v>0.14858553082972367</v>
      </c>
      <c r="AB131" s="23">
        <f>EXP(-LN(2)/2)*AB130+(1-EXP(-LN(2)/2))/(LN(2)/2)*V131*Y131*VLOOKUP('Données projet'!$B$9,Paramètres!$A$1:$I$89,3,0)*0.475*44/12</f>
        <v>2.4436905682273039E-14</v>
      </c>
      <c r="AC131" s="24">
        <f t="shared" si="57"/>
        <v>0.21343007909180584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-5.3205440053716299E-14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396.92963589781414</v>
      </c>
      <c r="AO131" s="62">
        <f t="shared" si="90"/>
        <v>294.38852181137639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1.0286385077051818E-13</v>
      </c>
      <c r="P132" s="14">
        <f t="shared" si="87"/>
        <v>1.5402366592183556E-12</v>
      </c>
      <c r="Q132" s="22">
        <f t="shared" si="108"/>
        <v>2.8617333882306215E-12</v>
      </c>
      <c r="R132" s="62">
        <f t="shared" si="109"/>
        <v>293.33333333333616</v>
      </c>
      <c r="S132" s="62">
        <f ca="1">AVERAGE(OFFSET($R$3,0,0,'Données projet'!$E$9+1,1))-AVERAGE(OFFSET($H$3,0,0,'Données projet'!$E$9+1,1))</f>
        <v>371.7282125501186</v>
      </c>
      <c r="T132" s="62">
        <f t="shared" si="88"/>
        <v>231.36959598460686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6.3572986221907851E-2</v>
      </c>
      <c r="AA132" s="23">
        <f>EXP(-LN(2)/25)*AA131+(1-EXP(-LN(2)/25))/(LN(2)/25)*Calculateur!V132*Calculateur!X132*VLOOKUP('Données projet'!$B$9,Paramètres!$A$1:$I$89,3,0)*0.475*44/12</f>
        <v>0.14452245167541142</v>
      </c>
      <c r="AB132" s="23">
        <f>EXP(-LN(2)/2)*AB131+(1-EXP(-LN(2)/2))/(LN(2)/2)*V132*Y132*VLOOKUP('Données projet'!$B$9,Paramètres!$A$1:$I$89,3,0)*0.475*44/12</f>
        <v>1.7279501719151342E-14</v>
      </c>
      <c r="AC132" s="24">
        <f t="shared" ref="AC132:AC153" si="111">SUM(Z132:AB132)</f>
        <v>0.20809543789733656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-5.3205440053716299E-14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396.92963589781414</v>
      </c>
      <c r="AO132" s="62">
        <f t="shared" si="90"/>
        <v>294.38852181137639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1.0286385077051818E-13</v>
      </c>
      <c r="P133" s="14">
        <f t="shared" ref="P133:P196" si="141">EXP(-1.0587+0.8836*LN(O133)+0.284)</f>
        <v>1.5402366592183556E-12</v>
      </c>
      <c r="Q133" s="22">
        <f t="shared" si="108"/>
        <v>2.8617333882306215E-12</v>
      </c>
      <c r="R133" s="62">
        <f t="shared" si="109"/>
        <v>293.33333333333616</v>
      </c>
      <c r="S133" s="62">
        <f ca="1">AVERAGE(OFFSET($R$3,0,0,'Données projet'!$E$9+1,1))-AVERAGE(OFFSET($H$3,0,0,'Données projet'!$E$9+1,1))</f>
        <v>371.7282125501186</v>
      </c>
      <c r="T133" s="62">
        <f t="shared" ref="T133:T196" si="142">$T$3</f>
        <v>231.36959598460686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6.232635873778905E-2</v>
      </c>
      <c r="AA133" s="23">
        <f>EXP(-LN(2)/25)*AA132+(1-EXP(-LN(2)/25))/(LN(2)/25)*Calculateur!V133*Calculateur!X133*VLOOKUP('Données projet'!$B$9,Paramètres!$A$1:$I$89,3,0)*0.475*44/12</f>
        <v>0.14057047763424188</v>
      </c>
      <c r="AB133" s="23">
        <f>EXP(-LN(2)/2)*AB132+(1-EXP(-LN(2)/2))/(LN(2)/2)*V133*Y133*VLOOKUP('Données projet'!$B$9,Paramètres!$A$1:$I$89,3,0)*0.475*44/12</f>
        <v>1.221845284113652E-14</v>
      </c>
      <c r="AC133" s="24">
        <f t="shared" si="111"/>
        <v>0.20289683637204314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-5.3205440053716299E-14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396.92963589781414</v>
      </c>
      <c r="AO133" s="62">
        <f t="shared" ref="AO133:AO196" si="144">$AO$3</f>
        <v>294.38852181137639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1.0286385077051818E-13</v>
      </c>
      <c r="P134" s="14">
        <f t="shared" si="141"/>
        <v>1.5402366592183556E-12</v>
      </c>
      <c r="Q134" s="22">
        <f t="shared" si="108"/>
        <v>2.8617333882306215E-12</v>
      </c>
      <c r="R134" s="62">
        <f t="shared" si="109"/>
        <v>293.33333333333616</v>
      </c>
      <c r="S134" s="62">
        <f ca="1">AVERAGE(OFFSET($R$3,0,0,'Données projet'!$E$9+1,1))-AVERAGE(OFFSET($H$3,0,0,'Données projet'!$E$9+1,1))</f>
        <v>371.7282125501186</v>
      </c>
      <c r="T134" s="62">
        <f t="shared" si="142"/>
        <v>231.36959598460686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6.1104176858266135E-2</v>
      </c>
      <c r="AA134" s="23">
        <f>EXP(-LN(2)/25)*AA133+(1-EXP(-LN(2)/25))/(LN(2)/25)*Calculateur!V134*Calculateur!X134*VLOOKUP('Données projet'!$B$9,Paramètres!$A$1:$I$89,3,0)*0.475*44/12</f>
        <v>0.13672657053105339</v>
      </c>
      <c r="AB134" s="23">
        <f>EXP(-LN(2)/2)*AB133+(1-EXP(-LN(2)/2))/(LN(2)/2)*V134*Y134*VLOOKUP('Données projet'!$B$9,Paramètres!$A$1:$I$89,3,0)*0.475*44/12</f>
        <v>8.6397508595756708E-15</v>
      </c>
      <c r="AC134" s="24">
        <f t="shared" si="111"/>
        <v>0.19783074738932815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-5.3205440053716299E-14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396.92963589781414</v>
      </c>
      <c r="AO134" s="62">
        <f t="shared" si="144"/>
        <v>294.38852181137639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1.0286385077051818E-13</v>
      </c>
      <c r="P135" s="14">
        <f t="shared" si="141"/>
        <v>1.5402366592183556E-12</v>
      </c>
      <c r="Q135" s="22">
        <f t="shared" si="108"/>
        <v>2.8617333882306215E-12</v>
      </c>
      <c r="R135" s="62">
        <f t="shared" si="109"/>
        <v>293.33333333333616</v>
      </c>
      <c r="S135" s="62">
        <f ca="1">AVERAGE(OFFSET($R$3,0,0,'Données projet'!$E$9+1,1))-AVERAGE(OFFSET($H$3,0,0,'Données projet'!$E$9+1,1))</f>
        <v>371.7282125501186</v>
      </c>
      <c r="T135" s="62">
        <f t="shared" si="142"/>
        <v>231.36959598460686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5.9905961219943328E-2</v>
      </c>
      <c r="AA135" s="23">
        <f>EXP(-LN(2)/25)*AA134+(1-EXP(-LN(2)/25))/(LN(2)/25)*Calculateur!V135*Calculateur!X135*VLOOKUP('Données projet'!$B$9,Paramètres!$A$1:$I$89,3,0)*0.475*44/12</f>
        <v>0.13298777526974387</v>
      </c>
      <c r="AB135" s="23">
        <f>EXP(-LN(2)/2)*AB134+(1-EXP(-LN(2)/2))/(LN(2)/2)*V135*Y135*VLOOKUP('Données projet'!$B$9,Paramètres!$A$1:$I$89,3,0)*0.475*44/12</f>
        <v>6.1092264205682598E-15</v>
      </c>
      <c r="AC135" s="24">
        <f t="shared" si="111"/>
        <v>0.1928937364896933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-5.3205440053716299E-14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396.92963589781414</v>
      </c>
      <c r="AO135" s="62">
        <f t="shared" si="144"/>
        <v>294.38852181137639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1.0286385077051818E-13</v>
      </c>
      <c r="P136" s="14">
        <f t="shared" si="141"/>
        <v>1.5402366592183556E-12</v>
      </c>
      <c r="Q136" s="22">
        <f t="shared" si="108"/>
        <v>2.8617333882306215E-12</v>
      </c>
      <c r="R136" s="62">
        <f t="shared" si="109"/>
        <v>293.33333333333616</v>
      </c>
      <c r="S136" s="62">
        <f ca="1">AVERAGE(OFFSET($R$3,0,0,'Données projet'!$E$9+1,1))-AVERAGE(OFFSET($H$3,0,0,'Données projet'!$E$9+1,1))</f>
        <v>371.7282125501186</v>
      </c>
      <c r="T136" s="62">
        <f t="shared" si="142"/>
        <v>231.36959598460686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5.8731241859448655E-2</v>
      </c>
      <c r="AA136" s="23">
        <f>EXP(-LN(2)/25)*AA135+(1-EXP(-LN(2)/25))/(LN(2)/25)*Calculateur!V136*Calculateur!X136*VLOOKUP('Données projet'!$B$9,Paramètres!$A$1:$I$89,3,0)*0.475*44/12</f>
        <v>0.12935121756146956</v>
      </c>
      <c r="AB136" s="23">
        <f>EXP(-LN(2)/2)*AB135+(1-EXP(-LN(2)/2))/(LN(2)/2)*V136*Y136*VLOOKUP('Données projet'!$B$9,Paramètres!$A$1:$I$89,3,0)*0.475*44/12</f>
        <v>4.3198754297878354E-15</v>
      </c>
      <c r="AC136" s="24">
        <f t="shared" si="111"/>
        <v>0.18808245942092255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-5.3205440053716299E-14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396.92963589781414</v>
      </c>
      <c r="AO136" s="62">
        <f t="shared" si="144"/>
        <v>294.38852181137639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1.0286385077051818E-13</v>
      </c>
      <c r="P137" s="14">
        <f t="shared" si="141"/>
        <v>1.5402366592183556E-12</v>
      </c>
      <c r="Q137" s="22">
        <f t="shared" si="108"/>
        <v>2.8617333882306215E-12</v>
      </c>
      <c r="R137" s="62">
        <f t="shared" si="109"/>
        <v>293.33333333333616</v>
      </c>
      <c r="S137" s="62">
        <f ca="1">AVERAGE(OFFSET($R$3,0,0,'Données projet'!$E$9+1,1))-AVERAGE(OFFSET($H$3,0,0,'Données projet'!$E$9+1,1))</f>
        <v>371.7282125501186</v>
      </c>
      <c r="T137" s="62">
        <f t="shared" si="142"/>
        <v>231.36959598460686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5.7579558029105221E-2</v>
      </c>
      <c r="AA137" s="23">
        <f>EXP(-LN(2)/25)*AA136+(1-EXP(-LN(2)/25))/(LN(2)/25)*Calculateur!V137*Calculateur!X137*VLOOKUP('Données projet'!$B$9,Paramètres!$A$1:$I$89,3,0)*0.475*44/12</f>
        <v>0.12581410171496626</v>
      </c>
      <c r="AB137" s="23">
        <f>EXP(-LN(2)/2)*AB136+(1-EXP(-LN(2)/2))/(LN(2)/2)*V137*Y137*VLOOKUP('Données projet'!$B$9,Paramètres!$A$1:$I$89,3,0)*0.475*44/12</f>
        <v>3.0546132102841299E-15</v>
      </c>
      <c r="AC137" s="24">
        <f t="shared" si="111"/>
        <v>0.18339365974407454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-5.3205440053716299E-14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396.92963589781414</v>
      </c>
      <c r="AO137" s="62">
        <f t="shared" si="144"/>
        <v>294.38852181137639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1.0286385077051818E-13</v>
      </c>
      <c r="P138" s="14">
        <f t="shared" si="141"/>
        <v>1.5402366592183556E-12</v>
      </c>
      <c r="Q138" s="22">
        <f t="shared" si="108"/>
        <v>2.8617333882306215E-12</v>
      </c>
      <c r="R138" s="62">
        <f t="shared" si="109"/>
        <v>293.33333333333616</v>
      </c>
      <c r="S138" s="62">
        <f ca="1">AVERAGE(OFFSET($R$3,0,0,'Données projet'!$E$9+1,1))-AVERAGE(OFFSET($H$3,0,0,'Données projet'!$E$9+1,1))</f>
        <v>371.7282125501186</v>
      </c>
      <c r="T138" s="62">
        <f t="shared" si="142"/>
        <v>231.36959598460686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5.6450458016217051E-2</v>
      </c>
      <c r="AA138" s="23">
        <f>EXP(-LN(2)/25)*AA137+(1-EXP(-LN(2)/25))/(LN(2)/25)*Calculateur!V138*Calculateur!X138*VLOOKUP('Données projet'!$B$9,Paramètres!$A$1:$I$89,3,0)*0.475*44/12</f>
        <v>0.12237370848729445</v>
      </c>
      <c r="AB138" s="23">
        <f>EXP(-LN(2)/2)*AB137+(1-EXP(-LN(2)/2))/(LN(2)/2)*V138*Y138*VLOOKUP('Données projet'!$B$9,Paramètres!$A$1:$I$89,3,0)*0.475*44/12</f>
        <v>2.1599377148939177E-15</v>
      </c>
      <c r="AC138" s="24">
        <f t="shared" si="111"/>
        <v>0.17882416650351368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-5.3205440053716299E-14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396.92963589781414</v>
      </c>
      <c r="AO138" s="62">
        <f t="shared" si="144"/>
        <v>294.38852181137639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1.0286385077051818E-13</v>
      </c>
      <c r="P139" s="14">
        <f t="shared" si="141"/>
        <v>1.5402366592183556E-12</v>
      </c>
      <c r="Q139" s="22">
        <f t="shared" si="108"/>
        <v>2.8617333882306215E-12</v>
      </c>
      <c r="R139" s="62">
        <f t="shared" si="109"/>
        <v>293.33333333333616</v>
      </c>
      <c r="S139" s="62">
        <f ca="1">AVERAGE(OFFSET($R$3,0,0,'Données projet'!$E$9+1,1))-AVERAGE(OFFSET($H$3,0,0,'Données projet'!$E$9+1,1))</f>
        <v>371.7282125501186</v>
      </c>
      <c r="T139" s="62">
        <f t="shared" si="142"/>
        <v>231.36959598460686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5.5343498965898609E-2</v>
      </c>
      <c r="AA139" s="23">
        <f>EXP(-LN(2)/25)*AA138+(1-EXP(-LN(2)/25))/(LN(2)/25)*Calculateur!V139*Calculateur!X139*VLOOKUP('Données projet'!$B$9,Paramètres!$A$1:$I$89,3,0)*0.475*44/12</f>
        <v>0.11902739299335574</v>
      </c>
      <c r="AB139" s="23">
        <f>EXP(-LN(2)/2)*AB138+(1-EXP(-LN(2)/2))/(LN(2)/2)*V139*Y139*VLOOKUP('Données projet'!$B$9,Paramètres!$A$1:$I$89,3,0)*0.475*44/12</f>
        <v>1.527306605142065E-15</v>
      </c>
      <c r="AC139" s="24">
        <f t="shared" si="111"/>
        <v>0.17437089195925587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-5.3205440053716299E-14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396.92963589781414</v>
      </c>
      <c r="AO139" s="62">
        <f t="shared" si="144"/>
        <v>294.38852181137639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1.0286385077051818E-13</v>
      </c>
      <c r="P140" s="14">
        <f t="shared" si="141"/>
        <v>1.5402366592183556E-12</v>
      </c>
      <c r="Q140" s="22">
        <f t="shared" si="108"/>
        <v>2.8617333882306215E-12</v>
      </c>
      <c r="R140" s="62">
        <f t="shared" si="109"/>
        <v>293.33333333333616</v>
      </c>
      <c r="S140" s="62">
        <f ca="1">AVERAGE(OFFSET($R$3,0,0,'Données projet'!$E$9+1,1))-AVERAGE(OFFSET($H$3,0,0,'Données projet'!$E$9+1,1))</f>
        <v>371.7282125501186</v>
      </c>
      <c r="T140" s="62">
        <f t="shared" si="142"/>
        <v>231.36959598460686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5.4258246707378562E-2</v>
      </c>
      <c r="AA140" s="23">
        <f>EXP(-LN(2)/25)*AA139+(1-EXP(-LN(2)/25))/(LN(2)/25)*Calculateur!V140*Calculateur!X140*VLOOKUP('Données projet'!$B$9,Paramètres!$A$1:$I$89,3,0)*0.475*44/12</f>
        <v>0.11577258267257387</v>
      </c>
      <c r="AB140" s="23">
        <f>EXP(-LN(2)/2)*AB139+(1-EXP(-LN(2)/2))/(LN(2)/2)*V140*Y140*VLOOKUP('Données projet'!$B$9,Paramètres!$A$1:$I$89,3,0)*0.475*44/12</f>
        <v>1.0799688574469588E-15</v>
      </c>
      <c r="AC140" s="24">
        <f t="shared" si="111"/>
        <v>0.17003082937995351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-5.3205440053716299E-14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396.92963589781414</v>
      </c>
      <c r="AO140" s="62">
        <f t="shared" si="144"/>
        <v>294.38852181137639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1.0286385077051818E-13</v>
      </c>
      <c r="P141" s="14">
        <f t="shared" si="141"/>
        <v>1.5402366592183556E-12</v>
      </c>
      <c r="Q141" s="22">
        <f t="shared" si="108"/>
        <v>2.8617333882306215E-12</v>
      </c>
      <c r="R141" s="62">
        <f t="shared" si="109"/>
        <v>293.33333333333616</v>
      </c>
      <c r="S141" s="62">
        <f ca="1">AVERAGE(OFFSET($R$3,0,0,'Données projet'!$E$9+1,1))-AVERAGE(OFFSET($H$3,0,0,'Données projet'!$E$9+1,1))</f>
        <v>371.7282125501186</v>
      </c>
      <c r="T141" s="62">
        <f t="shared" si="142"/>
        <v>231.36959598460686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5.3194275583709573E-2</v>
      </c>
      <c r="AA141" s="23">
        <f>EXP(-LN(2)/25)*AA140+(1-EXP(-LN(2)/25))/(LN(2)/25)*Calculateur!V141*Calculateur!X141*VLOOKUP('Données projet'!$B$9,Paramètres!$A$1:$I$89,3,0)*0.475*44/12</f>
        <v>0.11260677531117681</v>
      </c>
      <c r="AB141" s="23">
        <f>EXP(-LN(2)/2)*AB140+(1-EXP(-LN(2)/2))/(LN(2)/2)*V141*Y141*VLOOKUP('Données projet'!$B$9,Paramètres!$A$1:$I$89,3,0)*0.475*44/12</f>
        <v>7.6365330257103248E-16</v>
      </c>
      <c r="AC141" s="24">
        <f t="shared" si="111"/>
        <v>0.16580105089488717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-5.3205440053716299E-14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396.92963589781414</v>
      </c>
      <c r="AO141" s="62">
        <f t="shared" si="144"/>
        <v>294.38852181137639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1.0286385077051818E-13</v>
      </c>
      <c r="P142" s="14">
        <f t="shared" si="141"/>
        <v>1.5402366592183556E-12</v>
      </c>
      <c r="Q142" s="22">
        <f t="shared" si="108"/>
        <v>2.8617333882306215E-12</v>
      </c>
      <c r="R142" s="62">
        <f t="shared" si="109"/>
        <v>293.33333333333616</v>
      </c>
      <c r="S142" s="62">
        <f ca="1">AVERAGE(OFFSET($R$3,0,0,'Données projet'!$E$9+1,1))-AVERAGE(OFFSET($H$3,0,0,'Données projet'!$E$9+1,1))</f>
        <v>371.7282125501186</v>
      </c>
      <c r="T142" s="62">
        <f t="shared" si="142"/>
        <v>231.36959598460686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5.2151168284817424E-2</v>
      </c>
      <c r="AA142" s="23">
        <f>EXP(-LN(2)/25)*AA141+(1-EXP(-LN(2)/25))/(LN(2)/25)*Calculateur!V142*Calculateur!X142*VLOOKUP('Données projet'!$B$9,Paramètres!$A$1:$I$89,3,0)*0.475*44/12</f>
        <v>0.10952753711855974</v>
      </c>
      <c r="AB142" s="23">
        <f>EXP(-LN(2)/2)*AB141+(1-EXP(-LN(2)/2))/(LN(2)/2)*V142*Y142*VLOOKUP('Données projet'!$B$9,Paramètres!$A$1:$I$89,3,0)*0.475*44/12</f>
        <v>5.3998442872347942E-16</v>
      </c>
      <c r="AC142" s="24">
        <f t="shared" si="111"/>
        <v>0.1616787054033777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-5.3205440053716299E-14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396.92963589781414</v>
      </c>
      <c r="AO142" s="62">
        <f t="shared" si="144"/>
        <v>294.38852181137639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1.0286385077051818E-13</v>
      </c>
      <c r="P143" s="14">
        <f t="shared" si="141"/>
        <v>1.5402366592183556E-12</v>
      </c>
      <c r="Q143" s="22">
        <f t="shared" si="108"/>
        <v>2.8617333882306215E-12</v>
      </c>
      <c r="R143" s="62">
        <f t="shared" si="109"/>
        <v>293.33333333333616</v>
      </c>
      <c r="S143" s="62">
        <f ca="1">AVERAGE(OFFSET($R$3,0,0,'Données projet'!$E$9+1,1))-AVERAGE(OFFSET($H$3,0,0,'Données projet'!$E$9+1,1))</f>
        <v>371.7282125501186</v>
      </c>
      <c r="T143" s="62">
        <f t="shared" si="142"/>
        <v>231.36959598460686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5.112851568382392E-2</v>
      </c>
      <c r="AA143" s="23">
        <f>EXP(-LN(2)/25)*AA142+(1-EXP(-LN(2)/25))/(LN(2)/25)*Calculateur!V143*Calculateur!X143*VLOOKUP('Données projet'!$B$9,Paramètres!$A$1:$I$89,3,0)*0.475*44/12</f>
        <v>0.10653250085624988</v>
      </c>
      <c r="AB143" s="23">
        <f>EXP(-LN(2)/2)*AB142+(1-EXP(-LN(2)/2))/(LN(2)/2)*V143*Y143*VLOOKUP('Données projet'!$B$9,Paramètres!$A$1:$I$89,3,0)*0.475*44/12</f>
        <v>3.8182665128551624E-16</v>
      </c>
      <c r="AC143" s="24">
        <f t="shared" si="111"/>
        <v>0.15766101654007419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-5.3205440053716299E-14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396.92963589781414</v>
      </c>
      <c r="AO143" s="62">
        <f t="shared" si="144"/>
        <v>294.38852181137639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1.0286385077051818E-13</v>
      </c>
      <c r="P144" s="14">
        <f t="shared" si="141"/>
        <v>1.5402366592183556E-12</v>
      </c>
      <c r="Q144" s="22">
        <f t="shared" si="108"/>
        <v>2.8617333882306215E-12</v>
      </c>
      <c r="R144" s="62">
        <f t="shared" si="109"/>
        <v>293.33333333333616</v>
      </c>
      <c r="S144" s="62">
        <f ca="1">AVERAGE(OFFSET($R$3,0,0,'Données projet'!$E$9+1,1))-AVERAGE(OFFSET($H$3,0,0,'Données projet'!$E$9+1,1))</f>
        <v>371.7282125501186</v>
      </c>
      <c r="T144" s="62">
        <f t="shared" si="142"/>
        <v>231.36959598460686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5.0125916676579403E-2</v>
      </c>
      <c r="AA144" s="23">
        <f>EXP(-LN(2)/25)*AA143+(1-EXP(-LN(2)/25))/(LN(2)/25)*Calculateur!V144*Calculateur!X144*VLOOKUP('Données projet'!$B$9,Paramètres!$A$1:$I$89,3,0)*0.475*44/12</f>
        <v>0.103619364018035</v>
      </c>
      <c r="AB144" s="23">
        <f>EXP(-LN(2)/2)*AB143+(1-EXP(-LN(2)/2))/(LN(2)/2)*V144*Y144*VLOOKUP('Données projet'!$B$9,Paramètres!$A$1:$I$89,3,0)*0.475*44/12</f>
        <v>2.6999221436173971E-16</v>
      </c>
      <c r="AC144" s="24">
        <f t="shared" si="111"/>
        <v>0.15374528069461468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-5.3205440053716299E-14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396.92963589781414</v>
      </c>
      <c r="AO144" s="62">
        <f t="shared" si="144"/>
        <v>294.38852181137639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1.0286385077051818E-13</v>
      </c>
      <c r="P145" s="14">
        <f t="shared" si="141"/>
        <v>1.5402366592183556E-12</v>
      </c>
      <c r="Q145" s="22">
        <f t="shared" si="108"/>
        <v>2.8617333882306215E-12</v>
      </c>
      <c r="R145" s="62">
        <f t="shared" si="109"/>
        <v>293.33333333333616</v>
      </c>
      <c r="S145" s="62">
        <f ca="1">AVERAGE(OFFSET($R$3,0,0,'Données projet'!$E$9+1,1))-AVERAGE(OFFSET($H$3,0,0,'Données projet'!$E$9+1,1))</f>
        <v>371.7282125501186</v>
      </c>
      <c r="T145" s="62">
        <f t="shared" si="142"/>
        <v>231.36959598460686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4.9142978024341942E-2</v>
      </c>
      <c r="AA145" s="23">
        <f>EXP(-LN(2)/25)*AA144+(1-EXP(-LN(2)/25))/(LN(2)/25)*Calculateur!V145*Calculateur!X145*VLOOKUP('Données projet'!$B$9,Paramètres!$A$1:$I$89,3,0)*0.475*44/12</f>
        <v>0.10078588705985631</v>
      </c>
      <c r="AB145" s="23">
        <f>EXP(-LN(2)/2)*AB144+(1-EXP(-LN(2)/2))/(LN(2)/2)*V145*Y145*VLOOKUP('Données projet'!$B$9,Paramètres!$A$1:$I$89,3,0)*0.475*44/12</f>
        <v>1.9091332564275812E-16</v>
      </c>
      <c r="AC145" s="24">
        <f t="shared" si="111"/>
        <v>0.14992886508419845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-5.3205440053716299E-14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396.92963589781414</v>
      </c>
      <c r="AO145" s="62">
        <f t="shared" si="144"/>
        <v>294.38852181137639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1.0286385077051818E-13</v>
      </c>
      <c r="P146" s="14">
        <f t="shared" si="141"/>
        <v>1.5402366592183556E-12</v>
      </c>
      <c r="Q146" s="22">
        <f t="shared" si="108"/>
        <v>2.8617333882306215E-12</v>
      </c>
      <c r="R146" s="62">
        <f t="shared" si="109"/>
        <v>293.33333333333616</v>
      </c>
      <c r="S146" s="62">
        <f ca="1">AVERAGE(OFFSET($R$3,0,0,'Données projet'!$E$9+1,1))-AVERAGE(OFFSET($H$3,0,0,'Données projet'!$E$9+1,1))</f>
        <v>371.7282125501186</v>
      </c>
      <c r="T146" s="62">
        <f t="shared" si="142"/>
        <v>231.36959598460686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4.8179314199541481E-2</v>
      </c>
      <c r="AA146" s="23">
        <f>EXP(-LN(2)/25)*AA145+(1-EXP(-LN(2)/25))/(LN(2)/25)*Calculateur!V146*Calculateur!X146*VLOOKUP('Données projet'!$B$9,Paramètres!$A$1:$I$89,3,0)*0.475*44/12</f>
        <v>9.802989167810508E-2</v>
      </c>
      <c r="AB146" s="23">
        <f>EXP(-LN(2)/2)*AB145+(1-EXP(-LN(2)/2))/(LN(2)/2)*V146*Y146*VLOOKUP('Données projet'!$B$9,Paramètres!$A$1:$I$89,3,0)*0.475*44/12</f>
        <v>1.3499610718086986E-16</v>
      </c>
      <c r="AC146" s="24">
        <f t="shared" si="111"/>
        <v>0.14620920587764671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-5.3205440053716299E-14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396.92963589781414</v>
      </c>
      <c r="AO146" s="62">
        <f t="shared" si="144"/>
        <v>294.38852181137639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1.0286385077051818E-13</v>
      </c>
      <c r="P147" s="14">
        <f t="shared" si="141"/>
        <v>1.5402366592183556E-12</v>
      </c>
      <c r="Q147" s="22">
        <f t="shared" si="108"/>
        <v>2.8617333882306215E-12</v>
      </c>
      <c r="R147" s="62">
        <f t="shared" si="109"/>
        <v>293.33333333333616</v>
      </c>
      <c r="S147" s="62">
        <f ca="1">AVERAGE(OFFSET($R$3,0,0,'Données projet'!$E$9+1,1))-AVERAGE(OFFSET($H$3,0,0,'Données projet'!$E$9+1,1))</f>
        <v>371.7282125501186</v>
      </c>
      <c r="T147" s="62">
        <f t="shared" si="142"/>
        <v>231.36959598460686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4.7234547234568464E-2</v>
      </c>
      <c r="AA147" s="23">
        <f>EXP(-LN(2)/25)*AA146+(1-EXP(-LN(2)/25))/(LN(2)/25)*Calculateur!V147*Calculateur!X147*VLOOKUP('Données projet'!$B$9,Paramètres!$A$1:$I$89,3,0)*0.475*44/12</f>
        <v>9.5349259134999337E-2</v>
      </c>
      <c r="AB147" s="23">
        <f>EXP(-LN(2)/2)*AB146+(1-EXP(-LN(2)/2))/(LN(2)/2)*V147*Y147*VLOOKUP('Données projet'!$B$9,Paramètres!$A$1:$I$89,3,0)*0.475*44/12</f>
        <v>9.545666282137906E-17</v>
      </c>
      <c r="AC147" s="24">
        <f t="shared" si="111"/>
        <v>0.14258380636956788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-5.3205440053716299E-14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396.92963589781414</v>
      </c>
      <c r="AO147" s="62">
        <f t="shared" si="144"/>
        <v>294.38852181137639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1.0286385077051818E-13</v>
      </c>
      <c r="P148" s="14">
        <f t="shared" si="141"/>
        <v>1.5402366592183556E-12</v>
      </c>
      <c r="Q148" s="22">
        <f t="shared" si="108"/>
        <v>2.8617333882306215E-12</v>
      </c>
      <c r="R148" s="62">
        <f t="shared" si="109"/>
        <v>293.33333333333616</v>
      </c>
      <c r="S148" s="62">
        <f ca="1">AVERAGE(OFFSET($R$3,0,0,'Données projet'!$E$9+1,1))-AVERAGE(OFFSET($H$3,0,0,'Données projet'!$E$9+1,1))</f>
        <v>371.7282125501186</v>
      </c>
      <c r="T148" s="62">
        <f t="shared" si="142"/>
        <v>231.36959598460686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4.6308306573527615E-2</v>
      </c>
      <c r="AA148" s="23">
        <f>EXP(-LN(2)/25)*AA147+(1-EXP(-LN(2)/25))/(LN(2)/25)*Calculateur!V148*Calculateur!X148*VLOOKUP('Données projet'!$B$9,Paramètres!$A$1:$I$89,3,0)*0.475*44/12</f>
        <v>9.2741928629753168E-2</v>
      </c>
      <c r="AB148" s="23">
        <f>EXP(-LN(2)/2)*AB147+(1-EXP(-LN(2)/2))/(LN(2)/2)*V148*Y148*VLOOKUP('Données projet'!$B$9,Paramètres!$A$1:$I$89,3,0)*0.475*44/12</f>
        <v>6.7498053590434928E-17</v>
      </c>
      <c r="AC148" s="24">
        <f t="shared" si="111"/>
        <v>0.13905023520328083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-5.3205440053716299E-14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396.92963589781414</v>
      </c>
      <c r="AO148" s="62">
        <f t="shared" si="144"/>
        <v>294.38852181137639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1.0286385077051818E-13</v>
      </c>
      <c r="P149" s="14">
        <f t="shared" si="141"/>
        <v>1.5402366592183556E-12</v>
      </c>
      <c r="Q149" s="22">
        <f t="shared" si="108"/>
        <v>2.8617333882306215E-12</v>
      </c>
      <c r="R149" s="62">
        <f t="shared" si="109"/>
        <v>293.33333333333616</v>
      </c>
      <c r="S149" s="62">
        <f ca="1">AVERAGE(OFFSET($R$3,0,0,'Données projet'!$E$9+1,1))-AVERAGE(OFFSET($H$3,0,0,'Données projet'!$E$9+1,1))</f>
        <v>371.7282125501186</v>
      </c>
      <c r="T149" s="62">
        <f t="shared" si="142"/>
        <v>231.36959598460686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4.540022892689876E-2</v>
      </c>
      <c r="AA149" s="23">
        <f>EXP(-LN(2)/25)*AA148+(1-EXP(-LN(2)/25))/(LN(2)/25)*Calculateur!V149*Calculateur!X149*VLOOKUP('Données projet'!$B$9,Paramètres!$A$1:$I$89,3,0)*0.475*44/12</f>
        <v>9.0205895714286499E-2</v>
      </c>
      <c r="AB149" s="23">
        <f>EXP(-LN(2)/2)*AB148+(1-EXP(-LN(2)/2))/(LN(2)/2)*V149*Y149*VLOOKUP('Données projet'!$B$9,Paramètres!$A$1:$I$89,3,0)*0.475*44/12</f>
        <v>4.772833141068953E-17</v>
      </c>
      <c r="AC149" s="24">
        <f t="shared" si="111"/>
        <v>0.13560612464118532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-5.3205440053716299E-14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396.92963589781414</v>
      </c>
      <c r="AO149" s="62">
        <f t="shared" si="144"/>
        <v>294.38852181137639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1.0286385077051818E-13</v>
      </c>
      <c r="P150" s="14">
        <f t="shared" si="141"/>
        <v>1.5402366592183556E-12</v>
      </c>
      <c r="Q150" s="22">
        <f t="shared" si="108"/>
        <v>2.8617333882306215E-12</v>
      </c>
      <c r="R150" s="62">
        <f t="shared" si="109"/>
        <v>293.33333333333616</v>
      </c>
      <c r="S150" s="62">
        <f ca="1">AVERAGE(OFFSET($R$3,0,0,'Données projet'!$E$9+1,1))-AVERAGE(OFFSET($H$3,0,0,'Données projet'!$E$9+1,1))</f>
        <v>371.7282125501186</v>
      </c>
      <c r="T150" s="62">
        <f t="shared" si="142"/>
        <v>231.36959598460686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4.4509958129047622E-2</v>
      </c>
      <c r="AA150" s="23">
        <f>EXP(-LN(2)/25)*AA149+(1-EXP(-LN(2)/25))/(LN(2)/25)*Calculateur!V150*Calculateur!X150*VLOOKUP('Données projet'!$B$9,Paramètres!$A$1:$I$89,3,0)*0.475*44/12</f>
        <v>8.7739210752257449E-2</v>
      </c>
      <c r="AB150" s="23">
        <f>EXP(-LN(2)/2)*AB149+(1-EXP(-LN(2)/2))/(LN(2)/2)*V150*Y150*VLOOKUP('Données projet'!$B$9,Paramètres!$A$1:$I$89,3,0)*0.475*44/12</f>
        <v>3.3749026795217464E-17</v>
      </c>
      <c r="AC150" s="24">
        <f t="shared" si="111"/>
        <v>0.13224916888130508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-5.3205440053716299E-14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396.92963589781414</v>
      </c>
      <c r="AO150" s="62">
        <f t="shared" si="144"/>
        <v>294.38852181137639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1.0286385077051818E-13</v>
      </c>
      <c r="P151" s="14">
        <f t="shared" si="141"/>
        <v>1.5402366592183556E-12</v>
      </c>
      <c r="Q151" s="22">
        <f t="shared" si="108"/>
        <v>2.8617333882306215E-12</v>
      </c>
      <c r="R151" s="62">
        <f t="shared" si="109"/>
        <v>293.33333333333616</v>
      </c>
      <c r="S151" s="62">
        <f ca="1">AVERAGE(OFFSET($R$3,0,0,'Données projet'!$E$9+1,1))-AVERAGE(OFFSET($H$3,0,0,'Données projet'!$E$9+1,1))</f>
        <v>371.7282125501186</v>
      </c>
      <c r="T151" s="62">
        <f t="shared" si="142"/>
        <v>231.36959598460686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4.3637144998530775E-2</v>
      </c>
      <c r="AA151" s="23">
        <f>EXP(-LN(2)/25)*AA150+(1-EXP(-LN(2)/25))/(LN(2)/25)*Calculateur!V151*Calculateur!X151*VLOOKUP('Données projet'!$B$9,Paramètres!$A$1:$I$89,3,0)*0.475*44/12</f>
        <v>8.5339977420232402E-2</v>
      </c>
      <c r="AB151" s="23">
        <f>EXP(-LN(2)/2)*AB150+(1-EXP(-LN(2)/2))/(LN(2)/2)*V151*Y151*VLOOKUP('Données projet'!$B$9,Paramètres!$A$1:$I$89,3,0)*0.475*44/12</f>
        <v>2.3864165705344765E-17</v>
      </c>
      <c r="AC151" s="24">
        <f t="shared" si="111"/>
        <v>0.12897712241876322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-5.3205440053716299E-14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396.92963589781414</v>
      </c>
      <c r="AO151" s="62">
        <f t="shared" si="144"/>
        <v>294.38852181137639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1.0286385077051818E-13</v>
      </c>
      <c r="P152" s="14">
        <f t="shared" si="141"/>
        <v>1.5402366592183556E-12</v>
      </c>
      <c r="Q152" s="22">
        <f t="shared" si="108"/>
        <v>2.8617333882306215E-12</v>
      </c>
      <c r="R152" s="62">
        <f t="shared" si="109"/>
        <v>293.33333333333616</v>
      </c>
      <c r="S152" s="62">
        <f ca="1">AVERAGE(OFFSET($R$3,0,0,'Données projet'!$E$9+1,1))-AVERAGE(OFFSET($H$3,0,0,'Données projet'!$E$9+1,1))</f>
        <v>371.7282125501186</v>
      </c>
      <c r="T152" s="62">
        <f t="shared" si="142"/>
        <v>231.36959598460686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4.2781447201139917E-2</v>
      </c>
      <c r="AA152" s="23">
        <f>EXP(-LN(2)/25)*AA151+(1-EXP(-LN(2)/25))/(LN(2)/25)*Calculateur!V152*Calculateur!X152*VLOOKUP('Données projet'!$B$9,Paramètres!$A$1:$I$89,3,0)*0.475*44/12</f>
        <v>8.3006351249841778E-2</v>
      </c>
      <c r="AB152" s="23">
        <f>EXP(-LN(2)/2)*AB151+(1-EXP(-LN(2)/2))/(LN(2)/2)*V152*Y152*VLOOKUP('Données projet'!$B$9,Paramètres!$A$1:$I$89,3,0)*0.475*44/12</f>
        <v>1.6874513397608732E-17</v>
      </c>
      <c r="AC152" s="24">
        <f t="shared" si="111"/>
        <v>0.12578779845098173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-5.3205440053716299E-14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396.92963589781414</v>
      </c>
      <c r="AO152" s="62">
        <f t="shared" si="144"/>
        <v>294.38852181137639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1.0286385077051818E-13</v>
      </c>
      <c r="P153" s="14">
        <f t="shared" si="141"/>
        <v>1.5402366592183556E-12</v>
      </c>
      <c r="Q153" s="22">
        <f t="shared" si="108"/>
        <v>2.8617333882306215E-12</v>
      </c>
      <c r="R153" s="62">
        <f t="shared" si="109"/>
        <v>293.33333333333616</v>
      </c>
      <c r="S153" s="62">
        <f ca="1">AVERAGE(OFFSET($R$3,0,0,'Données projet'!$E$9+1,1))-AVERAGE(OFFSET($H$3,0,0,'Données projet'!$E$9+1,1))</f>
        <v>371.7282125501186</v>
      </c>
      <c r="T153" s="62">
        <f t="shared" si="142"/>
        <v>231.36959598460686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4.1942529115631774E-2</v>
      </c>
      <c r="AA153" s="23">
        <f>EXP(-LN(2)/25)*AA152+(1-EXP(-LN(2)/25))/(LN(2)/25)*Calculateur!V153*Calculateur!X153*VLOOKUP('Données projet'!$B$9,Paramètres!$A$1:$I$89,3,0)*0.475*44/12</f>
        <v>8.0736538209800562E-2</v>
      </c>
      <c r="AB153" s="23">
        <f>EXP(-LN(2)/2)*AB152+(1-EXP(-LN(2)/2))/(LN(2)/2)*V153*Y153*VLOOKUP('Données projet'!$B$9,Paramètres!$A$1:$I$89,3,0)*0.475*44/12</f>
        <v>1.1932082852672382E-17</v>
      </c>
      <c r="AC153" s="24">
        <f t="shared" si="111"/>
        <v>0.12267906732543235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-5.3205440053716299E-14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396.92963589781414</v>
      </c>
      <c r="AO153" s="62">
        <f t="shared" si="144"/>
        <v>294.38852181137639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1.0286385077051818E-13</v>
      </c>
      <c r="P154" s="14">
        <f t="shared" si="141"/>
        <v>1.5402366592183556E-12</v>
      </c>
      <c r="Q154" s="22">
        <f t="shared" ref="Q154:Q203" si="162">(O154+P154)*0.475*44/12</f>
        <v>2.8617333882306215E-12</v>
      </c>
      <c r="R154" s="62">
        <f t="shared" si="109"/>
        <v>293.33333333333616</v>
      </c>
      <c r="S154" s="62">
        <f ca="1">AVERAGE(OFFSET($R$3,0,0,'Données projet'!$E$9+1,1))-AVERAGE(OFFSET($H$3,0,0,'Données projet'!$E$9+1,1))</f>
        <v>371.7282125501186</v>
      </c>
      <c r="T154" s="62">
        <f t="shared" si="142"/>
        <v>231.36959598460686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4.112006170209094E-2</v>
      </c>
      <c r="AA154" s="23">
        <f>EXP(-LN(2)/25)*AA153+(1-EXP(-LN(2)/25))/(LN(2)/25)*Calculateur!V154*Calculateur!X154*VLOOKUP('Données projet'!$B$9,Paramètres!$A$1:$I$89,3,0)*0.475*44/12</f>
        <v>7.8528793326703553E-2</v>
      </c>
      <c r="AB154" s="23">
        <f>EXP(-LN(2)/2)*AB153+(1-EXP(-LN(2)/2))/(LN(2)/2)*V154*Y154*VLOOKUP('Données projet'!$B$9,Paramètres!$A$1:$I$89,3,0)*0.475*44/12</f>
        <v>8.437256698804366E-18</v>
      </c>
      <c r="AC154" s="24">
        <f t="shared" ref="AC154:AC203" si="163">SUM(Z154:AB154)</f>
        <v>0.11964885502879451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-5.3205440053716299E-14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396.92963589781414</v>
      </c>
      <c r="AO154" s="62">
        <f t="shared" si="144"/>
        <v>294.38852181137639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1.0286385077051818E-13</v>
      </c>
      <c r="P155" s="14">
        <f t="shared" si="141"/>
        <v>1.5402366592183556E-12</v>
      </c>
      <c r="Q155" s="22">
        <f t="shared" si="162"/>
        <v>2.8617333882306215E-12</v>
      </c>
      <c r="R155" s="62">
        <f t="shared" si="109"/>
        <v>293.33333333333616</v>
      </c>
      <c r="S155" s="62">
        <f ca="1">AVERAGE(OFFSET($R$3,0,0,'Données projet'!$E$9+1,1))-AVERAGE(OFFSET($H$3,0,0,'Données projet'!$E$9+1,1))</f>
        <v>371.7282125501186</v>
      </c>
      <c r="T155" s="62">
        <f t="shared" si="142"/>
        <v>231.36959598460686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4.0313722372874054E-2</v>
      </c>
      <c r="AA155" s="23">
        <f>EXP(-LN(2)/25)*AA154+(1-EXP(-LN(2)/25))/(LN(2)/25)*Calculateur!V155*Calculateur!X155*VLOOKUP('Données projet'!$B$9,Paramètres!$A$1:$I$89,3,0)*0.475*44/12</f>
        <v>7.6381419343535081E-2</v>
      </c>
      <c r="AB155" s="23">
        <f>EXP(-LN(2)/2)*AB154+(1-EXP(-LN(2)/2))/(LN(2)/2)*V155*Y155*VLOOKUP('Données projet'!$B$9,Paramètres!$A$1:$I$89,3,0)*0.475*44/12</f>
        <v>5.9660414263361912E-18</v>
      </c>
      <c r="AC155" s="24">
        <f t="shared" si="163"/>
        <v>0.11669514171640913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-5.3205440053716299E-14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396.92963589781414</v>
      </c>
      <c r="AO155" s="62">
        <f t="shared" si="144"/>
        <v>294.38852181137639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1.0286385077051818E-13</v>
      </c>
      <c r="P156" s="14">
        <f t="shared" si="141"/>
        <v>1.5402366592183556E-12</v>
      </c>
      <c r="Q156" s="22">
        <f t="shared" si="162"/>
        <v>2.8617333882306215E-12</v>
      </c>
      <c r="R156" s="62">
        <f t="shared" si="109"/>
        <v>293.33333333333616</v>
      </c>
      <c r="S156" s="62">
        <f ca="1">AVERAGE(OFFSET($R$3,0,0,'Données projet'!$E$9+1,1))-AVERAGE(OFFSET($H$3,0,0,'Données projet'!$E$9+1,1))</f>
        <v>371.7282125501186</v>
      </c>
      <c r="T156" s="62">
        <f t="shared" si="142"/>
        <v>231.36959598460686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3.9523194866084688E-2</v>
      </c>
      <c r="AA156" s="23">
        <f>EXP(-LN(2)/25)*AA155+(1-EXP(-LN(2)/25))/(LN(2)/25)*Calculateur!V156*Calculateur!X156*VLOOKUP('Données projet'!$B$9,Paramètres!$A$1:$I$89,3,0)*0.475*44/12</f>
        <v>7.429276541486185E-2</v>
      </c>
      <c r="AB156" s="23">
        <f>EXP(-LN(2)/2)*AB155+(1-EXP(-LN(2)/2))/(LN(2)/2)*V156*Y156*VLOOKUP('Données projet'!$B$9,Paramètres!$A$1:$I$89,3,0)*0.475*44/12</f>
        <v>4.218628349402183E-18</v>
      </c>
      <c r="AC156" s="24">
        <f t="shared" si="163"/>
        <v>0.11381596028094654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-5.3205440053716299E-14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396.92963589781414</v>
      </c>
      <c r="AO156" s="62">
        <f t="shared" si="144"/>
        <v>294.38852181137639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1.0286385077051818E-13</v>
      </c>
      <c r="P157" s="14">
        <f t="shared" si="141"/>
        <v>1.5402366592183556E-12</v>
      </c>
      <c r="Q157" s="22">
        <f t="shared" si="162"/>
        <v>2.8617333882306215E-12</v>
      </c>
      <c r="R157" s="62">
        <f t="shared" si="109"/>
        <v>293.33333333333616</v>
      </c>
      <c r="S157" s="62">
        <f ca="1">AVERAGE(OFFSET($R$3,0,0,'Données projet'!$E$9+1,1))-AVERAGE(OFFSET($H$3,0,0,'Données projet'!$E$9+1,1))</f>
        <v>371.7282125501186</v>
      </c>
      <c r="T157" s="62">
        <f t="shared" si="142"/>
        <v>231.36959598460686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3.8748169121529293E-2</v>
      </c>
      <c r="AA157" s="23">
        <f>EXP(-LN(2)/25)*AA156+(1-EXP(-LN(2)/25))/(LN(2)/25)*Calculateur!V157*Calculateur!X157*VLOOKUP('Données projet'!$B$9,Paramètres!$A$1:$I$89,3,0)*0.475*44/12</f>
        <v>7.2261225837705723E-2</v>
      </c>
      <c r="AB157" s="23">
        <f>EXP(-LN(2)/2)*AB156+(1-EXP(-LN(2)/2))/(LN(2)/2)*V157*Y157*VLOOKUP('Données projet'!$B$9,Paramètres!$A$1:$I$89,3,0)*0.475*44/12</f>
        <v>2.9830207131680956E-18</v>
      </c>
      <c r="AC157" s="24">
        <f t="shared" si="163"/>
        <v>0.11100939495923501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-5.3205440053716299E-14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396.92963589781414</v>
      </c>
      <c r="AO157" s="62">
        <f t="shared" si="144"/>
        <v>294.38852181137639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1.0286385077051818E-13</v>
      </c>
      <c r="P158" s="14">
        <f t="shared" si="141"/>
        <v>1.5402366592183556E-12</v>
      </c>
      <c r="Q158" s="22">
        <f t="shared" si="162"/>
        <v>2.8617333882306215E-12</v>
      </c>
      <c r="R158" s="62">
        <f t="shared" si="109"/>
        <v>293.33333333333616</v>
      </c>
      <c r="S158" s="62">
        <f ca="1">AVERAGE(OFFSET($R$3,0,0,'Données projet'!$E$9+1,1))-AVERAGE(OFFSET($H$3,0,0,'Données projet'!$E$9+1,1))</f>
        <v>371.7282125501186</v>
      </c>
      <c r="T158" s="62">
        <f t="shared" si="142"/>
        <v>231.36959598460686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3.7988341159105599E-2</v>
      </c>
      <c r="AA158" s="23">
        <f>EXP(-LN(2)/25)*AA157+(1-EXP(-LN(2)/25))/(LN(2)/25)*Calculateur!V158*Calculateur!X158*VLOOKUP('Données projet'!$B$9,Paramètres!$A$1:$I$89,3,0)*0.475*44/12</f>
        <v>7.0285238817120954E-2</v>
      </c>
      <c r="AB158" s="23">
        <f>EXP(-LN(2)/2)*AB157+(1-EXP(-LN(2)/2))/(LN(2)/2)*V158*Y158*VLOOKUP('Données projet'!$B$9,Paramètres!$A$1:$I$89,3,0)*0.475*44/12</f>
        <v>2.1093141747010915E-18</v>
      </c>
      <c r="AC158" s="24">
        <f t="shared" si="163"/>
        <v>0.10827357997622655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-5.3205440053716299E-14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396.92963589781414</v>
      </c>
      <c r="AO158" s="62">
        <f t="shared" si="144"/>
        <v>294.38852181137639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1.0286385077051818E-13</v>
      </c>
      <c r="P159" s="14">
        <f t="shared" si="141"/>
        <v>1.5402366592183556E-12</v>
      </c>
      <c r="Q159" s="22">
        <f t="shared" si="162"/>
        <v>2.8617333882306215E-12</v>
      </c>
      <c r="R159" s="62">
        <f t="shared" si="109"/>
        <v>293.33333333333616</v>
      </c>
      <c r="S159" s="62">
        <f ca="1">AVERAGE(OFFSET($R$3,0,0,'Données projet'!$E$9+1,1))-AVERAGE(OFFSET($H$3,0,0,'Données projet'!$E$9+1,1))</f>
        <v>371.7282125501186</v>
      </c>
      <c r="T159" s="62">
        <f t="shared" si="142"/>
        <v>231.36959598460686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3.7243412959575735E-2</v>
      </c>
      <c r="AA159" s="23">
        <f>EXP(-LN(2)/25)*AA158+(1-EXP(-LN(2)/25))/(LN(2)/25)*Calculateur!V159*Calculateur!X159*VLOOKUP('Données projet'!$B$9,Paramètres!$A$1:$I$89,3,0)*0.475*44/12</f>
        <v>6.8363285265526708E-2</v>
      </c>
      <c r="AB159" s="23">
        <f>EXP(-LN(2)/2)*AB158+(1-EXP(-LN(2)/2))/(LN(2)/2)*V159*Y159*VLOOKUP('Données projet'!$B$9,Paramètres!$A$1:$I$89,3,0)*0.475*44/12</f>
        <v>1.4915103565840478E-18</v>
      </c>
      <c r="AC159" s="24">
        <f t="shared" si="163"/>
        <v>0.10560669822510244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-5.3205440053716299E-14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396.92963589781414</v>
      </c>
      <c r="AO159" s="62">
        <f t="shared" si="144"/>
        <v>294.38852181137639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1.0286385077051818E-13</v>
      </c>
      <c r="P160" s="14">
        <f t="shared" si="141"/>
        <v>1.5402366592183556E-12</v>
      </c>
      <c r="Q160" s="22">
        <f t="shared" si="162"/>
        <v>2.8617333882306215E-12</v>
      </c>
      <c r="R160" s="62">
        <f t="shared" si="109"/>
        <v>293.33333333333616</v>
      </c>
      <c r="S160" s="62">
        <f ca="1">AVERAGE(OFFSET($R$3,0,0,'Données projet'!$E$9+1,1))-AVERAGE(OFFSET($H$3,0,0,'Données projet'!$E$9+1,1))</f>
        <v>371.7282125501186</v>
      </c>
      <c r="T160" s="62">
        <f t="shared" si="142"/>
        <v>231.36959598460686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3.6513092347677314E-2</v>
      </c>
      <c r="AA160" s="23">
        <f>EXP(-LN(2)/25)*AA159+(1-EXP(-LN(2)/25))/(LN(2)/25)*Calculateur!V160*Calculateur!X160*VLOOKUP('Données projet'!$B$9,Paramètres!$A$1:$I$89,3,0)*0.475*44/12</f>
        <v>6.6493887634871948E-2</v>
      </c>
      <c r="AB160" s="23">
        <f>EXP(-LN(2)/2)*AB159+(1-EXP(-LN(2)/2))/(LN(2)/2)*V160*Y160*VLOOKUP('Données projet'!$B$9,Paramètres!$A$1:$I$89,3,0)*0.475*44/12</f>
        <v>1.0546570873505458E-18</v>
      </c>
      <c r="AC160" s="24">
        <f t="shared" si="163"/>
        <v>0.10300697998254926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-5.3205440053716299E-14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396.92963589781414</v>
      </c>
      <c r="AO160" s="62">
        <f t="shared" si="144"/>
        <v>294.38852181137639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1.0286385077051818E-13</v>
      </c>
      <c r="P161" s="14">
        <f t="shared" si="141"/>
        <v>1.5402366592183556E-12</v>
      </c>
      <c r="Q161" s="22">
        <f t="shared" si="162"/>
        <v>2.8617333882306215E-12</v>
      </c>
      <c r="R161" s="62">
        <f t="shared" si="109"/>
        <v>293.33333333333616</v>
      </c>
      <c r="S161" s="62">
        <f ca="1">AVERAGE(OFFSET($R$3,0,0,'Données projet'!$E$9+1,1))-AVERAGE(OFFSET($H$3,0,0,'Données projet'!$E$9+1,1))</f>
        <v>371.7282125501186</v>
      </c>
      <c r="T161" s="62">
        <f t="shared" si="142"/>
        <v>231.36959598460686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3.5797092877526637E-2</v>
      </c>
      <c r="AA161" s="23">
        <f>EXP(-LN(2)/25)*AA160+(1-EXP(-LN(2)/25))/(LN(2)/25)*Calculateur!V161*Calculateur!X161*VLOOKUP('Données projet'!$B$9,Paramètres!$A$1:$I$89,3,0)*0.475*44/12</f>
        <v>6.4675608780734792E-2</v>
      </c>
      <c r="AB161" s="23">
        <f>EXP(-LN(2)/2)*AB160+(1-EXP(-LN(2)/2))/(LN(2)/2)*V161*Y161*VLOOKUP('Données projet'!$B$9,Paramètres!$A$1:$I$89,3,0)*0.475*44/12</f>
        <v>7.457551782920239E-19</v>
      </c>
      <c r="AC161" s="24">
        <f t="shared" si="163"/>
        <v>0.10047270165826143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-5.3205440053716299E-14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396.92963589781414</v>
      </c>
      <c r="AO161" s="62">
        <f t="shared" si="144"/>
        <v>294.38852181137639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1.0286385077051818E-13</v>
      </c>
      <c r="P162" s="14">
        <f t="shared" si="141"/>
        <v>1.5402366592183556E-12</v>
      </c>
      <c r="Q162" s="22">
        <f t="shared" si="162"/>
        <v>2.8617333882306215E-12</v>
      </c>
      <c r="R162" s="62">
        <f t="shared" si="109"/>
        <v>293.33333333333616</v>
      </c>
      <c r="S162" s="62">
        <f ca="1">AVERAGE(OFFSET($R$3,0,0,'Données projet'!$E$9+1,1))-AVERAGE(OFFSET($H$3,0,0,'Données projet'!$E$9+1,1))</f>
        <v>371.7282125501186</v>
      </c>
      <c r="T162" s="62">
        <f t="shared" si="142"/>
        <v>231.36959598460686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3.509513372026906E-2</v>
      </c>
      <c r="AA162" s="23">
        <f>EXP(-LN(2)/25)*AA161+(1-EXP(-LN(2)/25))/(LN(2)/25)*Calculateur!V162*Calculateur!X162*VLOOKUP('Données projet'!$B$9,Paramètres!$A$1:$I$89,3,0)*0.475*44/12</f>
        <v>6.2907050857483146E-2</v>
      </c>
      <c r="AB162" s="23">
        <f>EXP(-LN(2)/2)*AB161+(1-EXP(-LN(2)/2))/(LN(2)/2)*V162*Y162*VLOOKUP('Données projet'!$B$9,Paramètres!$A$1:$I$89,3,0)*0.475*44/12</f>
        <v>5.2732854367527288E-19</v>
      </c>
      <c r="AC162" s="24">
        <f t="shared" si="163"/>
        <v>9.8002184577752199E-2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-5.3205440053716299E-14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396.92963589781414</v>
      </c>
      <c r="AO162" s="62">
        <f t="shared" si="144"/>
        <v>294.38852181137639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1.0286385077051818E-13</v>
      </c>
      <c r="P163" s="14">
        <f t="shared" si="141"/>
        <v>1.5402366592183556E-12</v>
      </c>
      <c r="Q163" s="22">
        <f t="shared" si="162"/>
        <v>2.8617333882306215E-12</v>
      </c>
      <c r="R163" s="62">
        <f t="shared" si="109"/>
        <v>293.33333333333616</v>
      </c>
      <c r="S163" s="62">
        <f ca="1">AVERAGE(OFFSET($R$3,0,0,'Données projet'!$E$9+1,1))-AVERAGE(OFFSET($H$3,0,0,'Données projet'!$E$9+1,1))</f>
        <v>371.7282125501186</v>
      </c>
      <c r="T163" s="62">
        <f t="shared" si="142"/>
        <v>231.36959598460686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3.4406939553932495E-2</v>
      </c>
      <c r="AA163" s="23">
        <f>EXP(-LN(2)/25)*AA162+(1-EXP(-LN(2)/25))/(LN(2)/25)*Calculateur!V163*Calculateur!X163*VLOOKUP('Données projet'!$B$9,Paramètres!$A$1:$I$89,3,0)*0.475*44/12</f>
        <v>6.118685424364724E-2</v>
      </c>
      <c r="AB163" s="23">
        <f>EXP(-LN(2)/2)*AB162+(1-EXP(-LN(2)/2))/(LN(2)/2)*V163*Y163*VLOOKUP('Données projet'!$B$9,Paramètres!$A$1:$I$89,3,0)*0.475*44/12</f>
        <v>3.7287758914601195E-19</v>
      </c>
      <c r="AC163" s="24">
        <f t="shared" si="163"/>
        <v>9.5593793797579735E-2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-5.3205440053716299E-14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396.92963589781414</v>
      </c>
      <c r="AO163" s="62">
        <f t="shared" si="144"/>
        <v>294.38852181137639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1.0286385077051818E-13</v>
      </c>
      <c r="P164" s="14">
        <f t="shared" si="141"/>
        <v>1.5402366592183556E-12</v>
      </c>
      <c r="Q164" s="22">
        <f t="shared" si="162"/>
        <v>2.8617333882306215E-12</v>
      </c>
      <c r="R164" s="62">
        <f t="shared" si="109"/>
        <v>293.33333333333616</v>
      </c>
      <c r="S164" s="62">
        <f ca="1">AVERAGE(OFFSET($R$3,0,0,'Données projet'!$E$9+1,1))-AVERAGE(OFFSET($H$3,0,0,'Données projet'!$E$9+1,1))</f>
        <v>371.7282125501186</v>
      </c>
      <c r="T164" s="62">
        <f t="shared" si="142"/>
        <v>231.36959598460686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3.3732240455440793E-2</v>
      </c>
      <c r="AA164" s="23">
        <f>EXP(-LN(2)/25)*AA163+(1-EXP(-LN(2)/25))/(LN(2)/25)*Calculateur!V164*Calculateur!X164*VLOOKUP('Données projet'!$B$9,Paramètres!$A$1:$I$89,3,0)*0.475*44/12</f>
        <v>5.9513696496677884E-2</v>
      </c>
      <c r="AB164" s="23">
        <f>EXP(-LN(2)/2)*AB163+(1-EXP(-LN(2)/2))/(LN(2)/2)*V164*Y164*VLOOKUP('Données projet'!$B$9,Paramètres!$A$1:$I$89,3,0)*0.475*44/12</f>
        <v>2.6366427183763644E-19</v>
      </c>
      <c r="AC164" s="24">
        <f t="shared" si="163"/>
        <v>9.3245936952118677E-2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-5.3205440053716299E-14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396.92963589781414</v>
      </c>
      <c r="AO164" s="62">
        <f t="shared" si="144"/>
        <v>294.38852181137639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1.0286385077051818E-13</v>
      </c>
      <c r="P165" s="14">
        <f t="shared" si="141"/>
        <v>1.5402366592183556E-12</v>
      </c>
      <c r="Q165" s="22">
        <f t="shared" si="162"/>
        <v>2.8617333882306215E-12</v>
      </c>
      <c r="R165" s="62">
        <f t="shared" si="109"/>
        <v>293.33333333333616</v>
      </c>
      <c r="S165" s="62">
        <f ca="1">AVERAGE(OFFSET($R$3,0,0,'Données projet'!$E$9+1,1))-AVERAGE(OFFSET($H$3,0,0,'Données projet'!$E$9+1,1))</f>
        <v>371.7282125501186</v>
      </c>
      <c r="T165" s="62">
        <f t="shared" si="142"/>
        <v>231.36959598460686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3.3070771794744699E-2</v>
      </c>
      <c r="AA165" s="23">
        <f>EXP(-LN(2)/25)*AA164+(1-EXP(-LN(2)/25))/(LN(2)/25)*Calculateur!V165*Calculateur!X165*VLOOKUP('Données projet'!$B$9,Paramètres!$A$1:$I$89,3,0)*0.475*44/12</f>
        <v>5.7886291336286949E-2</v>
      </c>
      <c r="AB165" s="23">
        <f>EXP(-LN(2)/2)*AB164+(1-EXP(-LN(2)/2))/(LN(2)/2)*V165*Y165*VLOOKUP('Données projet'!$B$9,Paramètres!$A$1:$I$89,3,0)*0.475*44/12</f>
        <v>1.8643879457300598E-19</v>
      </c>
      <c r="AC165" s="24">
        <f t="shared" si="163"/>
        <v>9.0957063131031649E-2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-5.3205440053716299E-14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396.92963589781414</v>
      </c>
      <c r="AO165" s="62">
        <f t="shared" si="144"/>
        <v>294.38852181137639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1.0286385077051818E-13</v>
      </c>
      <c r="P166" s="14">
        <f t="shared" si="141"/>
        <v>1.5402366592183556E-12</v>
      </c>
      <c r="Q166" s="22">
        <f t="shared" si="162"/>
        <v>2.8617333882306215E-12</v>
      </c>
      <c r="R166" s="62">
        <f t="shared" si="109"/>
        <v>293.33333333333616</v>
      </c>
      <c r="S166" s="62">
        <f ca="1">AVERAGE(OFFSET($R$3,0,0,'Données projet'!$E$9+1,1))-AVERAGE(OFFSET($H$3,0,0,'Données projet'!$E$9+1,1))</f>
        <v>371.7282125501186</v>
      </c>
      <c r="T166" s="62">
        <f t="shared" si="142"/>
        <v>231.36959598460686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3.2422274131028814E-2</v>
      </c>
      <c r="AA166" s="23">
        <f>EXP(-LN(2)/25)*AA165+(1-EXP(-LN(2)/25))/(LN(2)/25)*Calculateur!V166*Calculateur!X166*VLOOKUP('Données projet'!$B$9,Paramètres!$A$1:$I$89,3,0)*0.475*44/12</f>
        <v>5.630338765558842E-2</v>
      </c>
      <c r="AB166" s="23">
        <f>EXP(-LN(2)/2)*AB165+(1-EXP(-LN(2)/2))/(LN(2)/2)*V166*Y166*VLOOKUP('Données projet'!$B$9,Paramètres!$A$1:$I$89,3,0)*0.475*44/12</f>
        <v>1.3183213591881822E-19</v>
      </c>
      <c r="AC166" s="24">
        <f t="shared" si="163"/>
        <v>8.8725661786617227E-2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-5.3205440053716299E-14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396.92963589781414</v>
      </c>
      <c r="AO166" s="62">
        <f t="shared" si="144"/>
        <v>294.38852181137639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1.0286385077051818E-13</v>
      </c>
      <c r="P167" s="14">
        <f t="shared" si="141"/>
        <v>1.5402366592183556E-12</v>
      </c>
      <c r="Q167" s="22">
        <f t="shared" si="162"/>
        <v>2.8617333882306215E-12</v>
      </c>
      <c r="R167" s="62">
        <f t="shared" si="109"/>
        <v>293.33333333333616</v>
      </c>
      <c r="S167" s="62">
        <f ca="1">AVERAGE(OFFSET($R$3,0,0,'Données projet'!$E$9+1,1))-AVERAGE(OFFSET($H$3,0,0,'Données projet'!$E$9+1,1))</f>
        <v>371.7282125501186</v>
      </c>
      <c r="T167" s="62">
        <f t="shared" si="142"/>
        <v>231.36959598460686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3.1786493110953877E-2</v>
      </c>
      <c r="AA167" s="23">
        <f>EXP(-LN(2)/25)*AA166+(1-EXP(-LN(2)/25))/(LN(2)/25)*Calculateur!V167*Calculateur!X167*VLOOKUP('Données projet'!$B$9,Paramètres!$A$1:$I$89,3,0)*0.475*44/12</f>
        <v>5.4763768559279884E-2</v>
      </c>
      <c r="AB167" s="23">
        <f>EXP(-LN(2)/2)*AB166+(1-EXP(-LN(2)/2))/(LN(2)/2)*V167*Y167*VLOOKUP('Données projet'!$B$9,Paramètres!$A$1:$I$89,3,0)*0.475*44/12</f>
        <v>9.3219397286502988E-20</v>
      </c>
      <c r="AC167" s="24">
        <f t="shared" si="163"/>
        <v>8.6550261670233761E-2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-5.3205440053716299E-14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396.92963589781414</v>
      </c>
      <c r="AO167" s="62">
        <f t="shared" si="144"/>
        <v>294.38852181137639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1.0286385077051818E-13</v>
      </c>
      <c r="P168" s="14">
        <f t="shared" si="141"/>
        <v>1.5402366592183556E-12</v>
      </c>
      <c r="Q168" s="22">
        <f t="shared" si="162"/>
        <v>2.8617333882306215E-12</v>
      </c>
      <c r="R168" s="62">
        <f t="shared" si="109"/>
        <v>293.33333333333616</v>
      </c>
      <c r="S168" s="62">
        <f ca="1">AVERAGE(OFFSET($R$3,0,0,'Données projet'!$E$9+1,1))-AVERAGE(OFFSET($H$3,0,0,'Données projet'!$E$9+1,1))</f>
        <v>371.7282125501186</v>
      </c>
      <c r="T168" s="62">
        <f t="shared" si="142"/>
        <v>231.36959598460686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3.1163179368894477E-2</v>
      </c>
      <c r="AA168" s="23">
        <f>EXP(-LN(2)/25)*AA167+(1-EXP(-LN(2)/25))/(LN(2)/25)*Calculateur!V168*Calculateur!X168*VLOOKUP('Données projet'!$B$9,Paramètres!$A$1:$I$89,3,0)*0.475*44/12</f>
        <v>5.3266250428124953E-2</v>
      </c>
      <c r="AB168" s="23">
        <f>EXP(-LN(2)/2)*AB167+(1-EXP(-LN(2)/2))/(LN(2)/2)*V168*Y168*VLOOKUP('Données projet'!$B$9,Paramètres!$A$1:$I$89,3,0)*0.475*44/12</f>
        <v>6.5916067959409109E-20</v>
      </c>
      <c r="AC168" s="24">
        <f t="shared" si="163"/>
        <v>8.4429429797019423E-2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-5.3205440053716299E-14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396.92963589781414</v>
      </c>
      <c r="AO168" s="62">
        <f t="shared" si="144"/>
        <v>294.38852181137639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1.0286385077051818E-13</v>
      </c>
      <c r="P169" s="14">
        <f t="shared" si="141"/>
        <v>1.5402366592183556E-12</v>
      </c>
      <c r="Q169" s="22">
        <f t="shared" si="162"/>
        <v>2.8617333882306215E-12</v>
      </c>
      <c r="R169" s="62">
        <f t="shared" si="109"/>
        <v>293.33333333333616</v>
      </c>
      <c r="S169" s="62">
        <f ca="1">AVERAGE(OFFSET($R$3,0,0,'Données projet'!$E$9+1,1))-AVERAGE(OFFSET($H$3,0,0,'Données projet'!$E$9+1,1))</f>
        <v>371.7282125501186</v>
      </c>
      <c r="T169" s="62">
        <f t="shared" si="142"/>
        <v>231.36959598460686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3.0552088429133019E-2</v>
      </c>
      <c r="AA169" s="23">
        <f>EXP(-LN(2)/25)*AA168+(1-EXP(-LN(2)/25))/(LN(2)/25)*Calculateur!V169*Calculateur!X169*VLOOKUP('Données projet'!$B$9,Paramètres!$A$1:$I$89,3,0)*0.475*44/12</f>
        <v>5.1809682009017505E-2</v>
      </c>
      <c r="AB169" s="23">
        <f>EXP(-LN(2)/2)*AB168+(1-EXP(-LN(2)/2))/(LN(2)/2)*V169*Y169*VLOOKUP('Données projet'!$B$9,Paramètres!$A$1:$I$89,3,0)*0.475*44/12</f>
        <v>4.6609698643251494E-20</v>
      </c>
      <c r="AC169" s="24">
        <f t="shared" si="163"/>
        <v>8.2361770438150517E-2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-5.3205440053716299E-14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396.92963589781414</v>
      </c>
      <c r="AO169" s="62">
        <f t="shared" si="144"/>
        <v>294.38852181137639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1.0286385077051818E-13</v>
      </c>
      <c r="P170" s="14">
        <f t="shared" si="141"/>
        <v>1.5402366592183556E-12</v>
      </c>
      <c r="Q170" s="22">
        <f t="shared" si="162"/>
        <v>2.8617333882306215E-12</v>
      </c>
      <c r="R170" s="62">
        <f t="shared" si="109"/>
        <v>293.33333333333616</v>
      </c>
      <c r="S170" s="62">
        <f ca="1">AVERAGE(OFFSET($R$3,0,0,'Données projet'!$E$9+1,1))-AVERAGE(OFFSET($H$3,0,0,'Données projet'!$E$9+1,1))</f>
        <v>371.7282125501186</v>
      </c>
      <c r="T170" s="62">
        <f t="shared" si="142"/>
        <v>231.36959598460686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2.9952980609971615E-2</v>
      </c>
      <c r="AA170" s="23">
        <f>EXP(-LN(2)/25)*AA169+(1-EXP(-LN(2)/25))/(LN(2)/25)*Calculateur!V170*Calculateur!X170*VLOOKUP('Données projet'!$B$9,Paramètres!$A$1:$I$89,3,0)*0.475*44/12</f>
        <v>5.0392943529928159E-2</v>
      </c>
      <c r="AB170" s="23">
        <f>EXP(-LN(2)/2)*AB169+(1-EXP(-LN(2)/2))/(LN(2)/2)*V170*Y170*VLOOKUP('Données projet'!$B$9,Paramètres!$A$1:$I$89,3,0)*0.475*44/12</f>
        <v>3.2958033979704555E-20</v>
      </c>
      <c r="AC170" s="24">
        <f t="shared" si="163"/>
        <v>8.0345924139899771E-2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-5.3205440053716299E-14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396.92963589781414</v>
      </c>
      <c r="AO170" s="62">
        <f t="shared" si="144"/>
        <v>294.38852181137639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1.0286385077051818E-13</v>
      </c>
      <c r="P171" s="14">
        <f t="shared" si="141"/>
        <v>1.5402366592183556E-12</v>
      </c>
      <c r="Q171" s="22">
        <f t="shared" si="162"/>
        <v>2.8617333882306215E-12</v>
      </c>
      <c r="R171" s="62">
        <f t="shared" si="109"/>
        <v>293.33333333333616</v>
      </c>
      <c r="S171" s="62">
        <f ca="1">AVERAGE(OFFSET($R$3,0,0,'Données projet'!$E$9+1,1))-AVERAGE(OFFSET($H$3,0,0,'Données projet'!$E$9+1,1))</f>
        <v>371.7282125501186</v>
      </c>
      <c r="T171" s="62">
        <f t="shared" si="142"/>
        <v>231.36959598460686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2.9365620929724279E-2</v>
      </c>
      <c r="AA171" s="23">
        <f>EXP(-LN(2)/25)*AA170+(1-EXP(-LN(2)/25))/(LN(2)/25)*Calculateur!V171*Calculateur!X171*VLOOKUP('Données projet'!$B$9,Paramètres!$A$1:$I$89,3,0)*0.475*44/12</f>
        <v>4.9014945839052547E-2</v>
      </c>
      <c r="AB171" s="23">
        <f>EXP(-LN(2)/2)*AB170+(1-EXP(-LN(2)/2))/(LN(2)/2)*V171*Y171*VLOOKUP('Données projet'!$B$9,Paramètres!$A$1:$I$89,3,0)*0.475*44/12</f>
        <v>2.3304849321625747E-20</v>
      </c>
      <c r="AC171" s="24">
        <f t="shared" si="163"/>
        <v>7.8380566768776833E-2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-5.3205440053716299E-14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396.92963589781414</v>
      </c>
      <c r="AO171" s="62">
        <f t="shared" si="144"/>
        <v>294.38852181137639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1.0286385077051818E-13</v>
      </c>
      <c r="P172" s="14">
        <f t="shared" si="141"/>
        <v>1.5402366592183556E-12</v>
      </c>
      <c r="Q172" s="22">
        <f t="shared" si="162"/>
        <v>2.8617333882306215E-12</v>
      </c>
      <c r="R172" s="62">
        <f t="shared" si="109"/>
        <v>293.33333333333616</v>
      </c>
      <c r="S172" s="62">
        <f ca="1">AVERAGE(OFFSET($R$3,0,0,'Données projet'!$E$9+1,1))-AVERAGE(OFFSET($H$3,0,0,'Données projet'!$E$9+1,1))</f>
        <v>371.7282125501186</v>
      </c>
      <c r="T172" s="62">
        <f t="shared" si="142"/>
        <v>231.36959598460686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2.8789779014552562E-2</v>
      </c>
      <c r="AA172" s="23">
        <f>EXP(-LN(2)/25)*AA171+(1-EXP(-LN(2)/25))/(LN(2)/25)*Calculateur!V172*Calculateur!X172*VLOOKUP('Données projet'!$B$9,Paramètres!$A$1:$I$89,3,0)*0.475*44/12</f>
        <v>4.7674629567499675E-2</v>
      </c>
      <c r="AB172" s="23">
        <f>EXP(-LN(2)/2)*AB171+(1-EXP(-LN(2)/2))/(LN(2)/2)*V172*Y172*VLOOKUP('Données projet'!$B$9,Paramètres!$A$1:$I$89,3,0)*0.475*44/12</f>
        <v>1.6479016989852277E-20</v>
      </c>
      <c r="AC172" s="24">
        <f t="shared" si="163"/>
        <v>7.6464408582052237E-2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-5.3205440053716299E-14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396.92963589781414</v>
      </c>
      <c r="AO172" s="62">
        <f t="shared" si="144"/>
        <v>294.38852181137639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1.0286385077051818E-13</v>
      </c>
      <c r="P173" s="14">
        <f t="shared" si="141"/>
        <v>1.5402366592183556E-12</v>
      </c>
      <c r="Q173" s="22">
        <f t="shared" si="162"/>
        <v>2.8617333882306215E-12</v>
      </c>
      <c r="R173" s="62">
        <f t="shared" si="109"/>
        <v>293.33333333333616</v>
      </c>
      <c r="S173" s="62">
        <f ca="1">AVERAGE(OFFSET($R$3,0,0,'Données projet'!$E$9+1,1))-AVERAGE(OFFSET($H$3,0,0,'Données projet'!$E$9+1,1))</f>
        <v>371.7282125501186</v>
      </c>
      <c r="T173" s="62">
        <f t="shared" si="142"/>
        <v>231.36959598460686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2.8225229008108477E-2</v>
      </c>
      <c r="AA173" s="23">
        <f>EXP(-LN(2)/25)*AA172+(1-EXP(-LN(2)/25))/(LN(2)/25)*Calculateur!V173*Calculateur!X173*VLOOKUP('Données projet'!$B$9,Paramètres!$A$1:$I$89,3,0)*0.475*44/12</f>
        <v>4.6370964314876591E-2</v>
      </c>
      <c r="AB173" s="23">
        <f>EXP(-LN(2)/2)*AB172+(1-EXP(-LN(2)/2))/(LN(2)/2)*V173*Y173*VLOOKUP('Données projet'!$B$9,Paramètres!$A$1:$I$89,3,0)*0.475*44/12</f>
        <v>1.1652424660812874E-20</v>
      </c>
      <c r="AC173" s="24">
        <f t="shared" si="163"/>
        <v>7.459619332298506E-2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-5.3205440053716299E-14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396.92963589781414</v>
      </c>
      <c r="AO173" s="62">
        <f t="shared" si="144"/>
        <v>294.38852181137639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1.0286385077051818E-13</v>
      </c>
      <c r="P174" s="14">
        <f t="shared" si="141"/>
        <v>1.5402366592183556E-12</v>
      </c>
      <c r="Q174" s="22">
        <f t="shared" si="162"/>
        <v>2.8617333882306215E-12</v>
      </c>
      <c r="R174" s="62">
        <f t="shared" si="109"/>
        <v>293.33333333333616</v>
      </c>
      <c r="S174" s="62">
        <f ca="1">AVERAGE(OFFSET($R$3,0,0,'Données projet'!$E$9+1,1))-AVERAGE(OFFSET($H$3,0,0,'Données projet'!$E$9+1,1))</f>
        <v>371.7282125501186</v>
      </c>
      <c r="T174" s="62">
        <f t="shared" si="142"/>
        <v>231.36959598460686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2.7671749482949256E-2</v>
      </c>
      <c r="AA174" s="23">
        <f>EXP(-LN(2)/25)*AA173+(1-EXP(-LN(2)/25))/(LN(2)/25)*Calculateur!V174*Calculateur!X174*VLOOKUP('Données projet'!$B$9,Paramètres!$A$1:$I$89,3,0)*0.475*44/12</f>
        <v>4.5102947857143257E-2</v>
      </c>
      <c r="AB174" s="23">
        <f>EXP(-LN(2)/2)*AB173+(1-EXP(-LN(2)/2))/(LN(2)/2)*V174*Y174*VLOOKUP('Données projet'!$B$9,Paramètres!$A$1:$I$89,3,0)*0.475*44/12</f>
        <v>8.2395084949261387E-21</v>
      </c>
      <c r="AC174" s="24">
        <f t="shared" si="163"/>
        <v>7.2774697340092509E-2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-5.3205440053716299E-14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396.92963589781414</v>
      </c>
      <c r="AO174" s="62">
        <f t="shared" si="144"/>
        <v>294.38852181137639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1.0286385077051818E-13</v>
      </c>
      <c r="P175" s="14">
        <f t="shared" si="141"/>
        <v>1.5402366592183556E-12</v>
      </c>
      <c r="Q175" s="22">
        <f t="shared" si="162"/>
        <v>2.8617333882306215E-12</v>
      </c>
      <c r="R175" s="62">
        <f t="shared" si="109"/>
        <v>293.33333333333616</v>
      </c>
      <c r="S175" s="62">
        <f ca="1">AVERAGE(OFFSET($R$3,0,0,'Données projet'!$E$9+1,1))-AVERAGE(OFFSET($H$3,0,0,'Données projet'!$E$9+1,1))</f>
        <v>371.7282125501186</v>
      </c>
      <c r="T175" s="62">
        <f t="shared" si="142"/>
        <v>231.36959598460686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2.7129123353689232E-2</v>
      </c>
      <c r="AA175" s="23">
        <f>EXP(-LN(2)/25)*AA174+(1-EXP(-LN(2)/25))/(LN(2)/25)*Calculateur!V175*Calculateur!X175*VLOOKUP('Données projet'!$B$9,Paramètres!$A$1:$I$89,3,0)*0.475*44/12</f>
        <v>4.3869605376128731E-2</v>
      </c>
      <c r="AB175" s="23">
        <f>EXP(-LN(2)/2)*AB174+(1-EXP(-LN(2)/2))/(LN(2)/2)*V175*Y175*VLOOKUP('Données projet'!$B$9,Paramètres!$A$1:$I$89,3,0)*0.475*44/12</f>
        <v>5.8262123304064368E-21</v>
      </c>
      <c r="AC175" s="24">
        <f t="shared" si="163"/>
        <v>7.0998728729817967E-2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-5.3205440053716299E-14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396.92963589781414</v>
      </c>
      <c r="AO175" s="62">
        <f t="shared" si="144"/>
        <v>294.38852181137639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1.0286385077051818E-13</v>
      </c>
      <c r="P176" s="14">
        <f t="shared" si="141"/>
        <v>1.5402366592183556E-12</v>
      </c>
      <c r="Q176" s="22">
        <f t="shared" si="162"/>
        <v>2.8617333882306215E-12</v>
      </c>
      <c r="R176" s="62">
        <f t="shared" si="109"/>
        <v>293.33333333333616</v>
      </c>
      <c r="S176" s="62">
        <f ca="1">AVERAGE(OFFSET($R$3,0,0,'Données projet'!$E$9+1,1))-AVERAGE(OFFSET($H$3,0,0,'Données projet'!$E$9+1,1))</f>
        <v>371.7282125501186</v>
      </c>
      <c r="T176" s="62">
        <f t="shared" si="142"/>
        <v>231.36959598460686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2.6597137791854738E-2</v>
      </c>
      <c r="AA176" s="23">
        <f>EXP(-LN(2)/25)*AA175+(1-EXP(-LN(2)/25))/(LN(2)/25)*Calculateur!V176*Calculateur!X176*VLOOKUP('Données projet'!$B$9,Paramètres!$A$1:$I$89,3,0)*0.475*44/12</f>
        <v>4.2669988710116208E-2</v>
      </c>
      <c r="AB176" s="23">
        <f>EXP(-LN(2)/2)*AB175+(1-EXP(-LN(2)/2))/(LN(2)/2)*V176*Y176*VLOOKUP('Données projet'!$B$9,Paramètres!$A$1:$I$89,3,0)*0.475*44/12</f>
        <v>4.1197542474630693E-21</v>
      </c>
      <c r="AC176" s="24">
        <f t="shared" si="163"/>
        <v>6.9267126501970949E-2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-5.3205440053716299E-14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396.92963589781414</v>
      </c>
      <c r="AO176" s="62">
        <f t="shared" si="144"/>
        <v>294.38852181137639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1.0286385077051818E-13</v>
      </c>
      <c r="P177" s="14">
        <f t="shared" si="141"/>
        <v>1.5402366592183556E-12</v>
      </c>
      <c r="Q177" s="22">
        <f t="shared" si="162"/>
        <v>2.8617333882306215E-12</v>
      </c>
      <c r="R177" s="62">
        <f t="shared" si="109"/>
        <v>293.33333333333616</v>
      </c>
      <c r="S177" s="62">
        <f ca="1">AVERAGE(OFFSET($R$3,0,0,'Données projet'!$E$9+1,1))-AVERAGE(OFFSET($H$3,0,0,'Données projet'!$E$9+1,1))</f>
        <v>371.7282125501186</v>
      </c>
      <c r="T177" s="62">
        <f t="shared" si="142"/>
        <v>231.36959598460686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2.6075584142408667E-2</v>
      </c>
      <c r="AA177" s="23">
        <f>EXP(-LN(2)/25)*AA176+(1-EXP(-LN(2)/25))/(LN(2)/25)*Calculateur!V177*Calculateur!X177*VLOOKUP('Données projet'!$B$9,Paramètres!$A$1:$I$89,3,0)*0.475*44/12</f>
        <v>4.1503175624920896E-2</v>
      </c>
      <c r="AB177" s="23">
        <f>EXP(-LN(2)/2)*AB176+(1-EXP(-LN(2)/2))/(LN(2)/2)*V177*Y177*VLOOKUP('Données projet'!$B$9,Paramètres!$A$1:$I$89,3,0)*0.475*44/12</f>
        <v>2.9131061652032184E-21</v>
      </c>
      <c r="AC177" s="24">
        <f t="shared" si="163"/>
        <v>6.7578759767329563E-2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-5.3205440053716299E-14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396.92963589781414</v>
      </c>
      <c r="AO177" s="62">
        <f t="shared" si="144"/>
        <v>294.38852181137639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1.0286385077051818E-13</v>
      </c>
      <c r="P178" s="14">
        <f t="shared" si="141"/>
        <v>1.5402366592183556E-12</v>
      </c>
      <c r="Q178" s="22">
        <f t="shared" si="162"/>
        <v>2.8617333882306215E-12</v>
      </c>
      <c r="R178" s="62">
        <f t="shared" si="109"/>
        <v>293.33333333333616</v>
      </c>
      <c r="S178" s="62">
        <f ca="1">AVERAGE(OFFSET($R$3,0,0,'Données projet'!$E$9+1,1))-AVERAGE(OFFSET($H$3,0,0,'Données projet'!$E$9+1,1))</f>
        <v>371.7282125501186</v>
      </c>
      <c r="T178" s="62">
        <f t="shared" si="142"/>
        <v>231.36959598460686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2.5564257841911919E-2</v>
      </c>
      <c r="AA178" s="23">
        <f>EXP(-LN(2)/25)*AA177+(1-EXP(-LN(2)/25))/(LN(2)/25)*Calculateur!V178*Calculateur!X178*VLOOKUP('Données projet'!$B$9,Paramètres!$A$1:$I$89,3,0)*0.475*44/12</f>
        <v>4.0368269104900288E-2</v>
      </c>
      <c r="AB178" s="23">
        <f>EXP(-LN(2)/2)*AB177+(1-EXP(-LN(2)/2))/(LN(2)/2)*V178*Y178*VLOOKUP('Données projet'!$B$9,Paramètres!$A$1:$I$89,3,0)*0.475*44/12</f>
        <v>2.0598771237315347E-21</v>
      </c>
      <c r="AC178" s="24">
        <f t="shared" si="163"/>
        <v>6.5932526946812203E-2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-5.3205440053716299E-14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396.92963589781414</v>
      </c>
      <c r="AO178" s="62">
        <f t="shared" si="144"/>
        <v>294.38852181137639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1.0286385077051818E-13</v>
      </c>
      <c r="P179" s="14">
        <f t="shared" si="141"/>
        <v>1.5402366592183556E-12</v>
      </c>
      <c r="Q179" s="22">
        <f t="shared" si="162"/>
        <v>2.8617333882306215E-12</v>
      </c>
      <c r="R179" s="62">
        <f t="shared" si="109"/>
        <v>293.33333333333616</v>
      </c>
      <c r="S179" s="62">
        <f ca="1">AVERAGE(OFFSET($R$3,0,0,'Données projet'!$E$9+1,1))-AVERAGE(OFFSET($H$3,0,0,'Données projet'!$E$9+1,1))</f>
        <v>371.7282125501186</v>
      </c>
      <c r="T179" s="62">
        <f t="shared" si="142"/>
        <v>231.36959598460686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2.5062958338289663E-2</v>
      </c>
      <c r="AA179" s="23">
        <f>EXP(-LN(2)/25)*AA178+(1-EXP(-LN(2)/25))/(LN(2)/25)*Calculateur!V179*Calculateur!X179*VLOOKUP('Données projet'!$B$9,Paramètres!$A$1:$I$89,3,0)*0.475*44/12</f>
        <v>3.9264396663351783E-2</v>
      </c>
      <c r="AB179" s="23">
        <f>EXP(-LN(2)/2)*AB178+(1-EXP(-LN(2)/2))/(LN(2)/2)*V179*Y179*VLOOKUP('Données projet'!$B$9,Paramètres!$A$1:$I$89,3,0)*0.475*44/12</f>
        <v>1.4565530826016092E-21</v>
      </c>
      <c r="AC179" s="24">
        <f t="shared" si="163"/>
        <v>6.432735500164144E-2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-5.3205440053716299E-14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396.92963589781414</v>
      </c>
      <c r="AO179" s="62">
        <f t="shared" si="144"/>
        <v>294.38852181137639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1.0286385077051818E-13</v>
      </c>
      <c r="P180" s="14">
        <f t="shared" si="141"/>
        <v>1.5402366592183556E-12</v>
      </c>
      <c r="Q180" s="22">
        <f t="shared" si="162"/>
        <v>2.8617333882306215E-12</v>
      </c>
      <c r="R180" s="62">
        <f t="shared" si="109"/>
        <v>293.33333333333616</v>
      </c>
      <c r="S180" s="62">
        <f ca="1">AVERAGE(OFFSET($R$3,0,0,'Données projet'!$E$9+1,1))-AVERAGE(OFFSET($H$3,0,0,'Données projet'!$E$9+1,1))</f>
        <v>371.7282125501186</v>
      </c>
      <c r="T180" s="62">
        <f t="shared" si="142"/>
        <v>231.36959598460686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2.4571489012170933E-2</v>
      </c>
      <c r="AA180" s="23">
        <f>EXP(-LN(2)/25)*AA179+(1-EXP(-LN(2)/25))/(LN(2)/25)*Calculateur!V180*Calculateur!X180*VLOOKUP('Données projet'!$B$9,Paramètres!$A$1:$I$89,3,0)*0.475*44/12</f>
        <v>3.8190709671767548E-2</v>
      </c>
      <c r="AB180" s="23">
        <f>EXP(-LN(2)/2)*AB179+(1-EXP(-LN(2)/2))/(LN(2)/2)*V180*Y180*VLOOKUP('Données projet'!$B$9,Paramètres!$A$1:$I$89,3,0)*0.475*44/12</f>
        <v>1.0299385618657673E-21</v>
      </c>
      <c r="AC180" s="24">
        <f t="shared" si="163"/>
        <v>6.276219868393848E-2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-5.3205440053716299E-14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396.92963589781414</v>
      </c>
      <c r="AO180" s="62">
        <f t="shared" si="144"/>
        <v>294.38852181137639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1.0286385077051818E-13</v>
      </c>
      <c r="P181" s="14">
        <f t="shared" si="141"/>
        <v>1.5402366592183556E-12</v>
      </c>
      <c r="Q181" s="22">
        <f t="shared" si="162"/>
        <v>2.8617333882306215E-12</v>
      </c>
      <c r="R181" s="62">
        <f t="shared" si="109"/>
        <v>293.33333333333616</v>
      </c>
      <c r="S181" s="62">
        <f ca="1">AVERAGE(OFFSET($R$3,0,0,'Données projet'!$E$9+1,1))-AVERAGE(OFFSET($H$3,0,0,'Données projet'!$E$9+1,1))</f>
        <v>371.7282125501186</v>
      </c>
      <c r="T181" s="62">
        <f t="shared" si="142"/>
        <v>231.36959598460686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2.4089657099770703E-2</v>
      </c>
      <c r="AA181" s="23">
        <f>EXP(-LN(2)/25)*AA180+(1-EXP(-LN(2)/25))/(LN(2)/25)*Calculateur!V181*Calculateur!X181*VLOOKUP('Données projet'!$B$9,Paramètres!$A$1:$I$89,3,0)*0.475*44/12</f>
        <v>3.7146382707430925E-2</v>
      </c>
      <c r="AB181" s="23">
        <f>EXP(-LN(2)/2)*AB180+(1-EXP(-LN(2)/2))/(LN(2)/2)*V181*Y181*VLOOKUP('Données projet'!$B$9,Paramètres!$A$1:$I$89,3,0)*0.475*44/12</f>
        <v>7.2827654130080459E-22</v>
      </c>
      <c r="AC181" s="24">
        <f t="shared" si="163"/>
        <v>6.1236039807201631E-2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-5.3205440053716299E-14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396.92963589781414</v>
      </c>
      <c r="AO181" s="62">
        <f t="shared" si="144"/>
        <v>294.38852181137639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1.0286385077051818E-13</v>
      </c>
      <c r="P182" s="14">
        <f t="shared" si="141"/>
        <v>1.5402366592183556E-12</v>
      </c>
      <c r="Q182" s="22">
        <f t="shared" si="162"/>
        <v>2.8617333882306215E-12</v>
      </c>
      <c r="R182" s="62">
        <f t="shared" si="109"/>
        <v>293.33333333333616</v>
      </c>
      <c r="S182" s="62">
        <f ca="1">AVERAGE(OFFSET($R$3,0,0,'Données projet'!$E$9+1,1))-AVERAGE(OFFSET($H$3,0,0,'Données projet'!$E$9+1,1))</f>
        <v>371.7282125501186</v>
      </c>
      <c r="T182" s="62">
        <f t="shared" si="142"/>
        <v>231.36959598460686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2.3617273617284194E-2</v>
      </c>
      <c r="AA182" s="23">
        <f>EXP(-LN(2)/25)*AA181+(1-EXP(-LN(2)/25))/(LN(2)/25)*Calculateur!V182*Calculateur!X182*VLOOKUP('Données projet'!$B$9,Paramètres!$A$1:$I$89,3,0)*0.475*44/12</f>
        <v>3.6130612918852861E-2</v>
      </c>
      <c r="AB182" s="23">
        <f>EXP(-LN(2)/2)*AB181+(1-EXP(-LN(2)/2))/(LN(2)/2)*V182*Y182*VLOOKUP('Données projet'!$B$9,Paramètres!$A$1:$I$89,3,0)*0.475*44/12</f>
        <v>5.1496928093288367E-22</v>
      </c>
      <c r="AC182" s="24">
        <f t="shared" si="163"/>
        <v>5.9747886536137051E-2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-5.3205440053716299E-14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396.92963589781414</v>
      </c>
      <c r="AO182" s="62">
        <f t="shared" si="144"/>
        <v>294.38852181137639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1.0286385077051818E-13</v>
      </c>
      <c r="P183" s="14">
        <f t="shared" si="141"/>
        <v>1.5402366592183556E-12</v>
      </c>
      <c r="Q183" s="22">
        <f t="shared" si="162"/>
        <v>2.8617333882306215E-12</v>
      </c>
      <c r="R183" s="62">
        <f t="shared" si="109"/>
        <v>293.33333333333616</v>
      </c>
      <c r="S183" s="62">
        <f ca="1">AVERAGE(OFFSET($R$3,0,0,'Données projet'!$E$9+1,1))-AVERAGE(OFFSET($H$3,0,0,'Données projet'!$E$9+1,1))</f>
        <v>371.7282125501186</v>
      </c>
      <c r="T183" s="62">
        <f t="shared" si="142"/>
        <v>231.36959598460686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2.3154153286763769E-2</v>
      </c>
      <c r="AA183" s="23">
        <f>EXP(-LN(2)/25)*AA182+(1-EXP(-LN(2)/25))/(LN(2)/25)*Calculateur!V183*Calculateur!X183*VLOOKUP('Données projet'!$B$9,Paramètres!$A$1:$I$89,3,0)*0.475*44/12</f>
        <v>3.5142619408560477E-2</v>
      </c>
      <c r="AB183" s="23">
        <f>EXP(-LN(2)/2)*AB182+(1-EXP(-LN(2)/2))/(LN(2)/2)*V183*Y183*VLOOKUP('Données projet'!$B$9,Paramètres!$A$1:$I$89,3,0)*0.475*44/12</f>
        <v>3.641382706504023E-22</v>
      </c>
      <c r="AC183" s="24">
        <f t="shared" si="163"/>
        <v>5.8296772695324246E-2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-5.3205440053716299E-14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396.92963589781414</v>
      </c>
      <c r="AO183" s="62">
        <f t="shared" si="144"/>
        <v>294.38852181137639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1.0286385077051818E-13</v>
      </c>
      <c r="P184" s="14">
        <f t="shared" si="141"/>
        <v>1.5402366592183556E-12</v>
      </c>
      <c r="Q184" s="22">
        <f t="shared" si="162"/>
        <v>2.8617333882306215E-12</v>
      </c>
      <c r="R184" s="62">
        <f t="shared" si="109"/>
        <v>293.33333333333616</v>
      </c>
      <c r="S184" s="62">
        <f ca="1">AVERAGE(OFFSET($R$3,0,0,'Données projet'!$E$9+1,1))-AVERAGE(OFFSET($H$3,0,0,'Données projet'!$E$9+1,1))</f>
        <v>371.7282125501186</v>
      </c>
      <c r="T184" s="62">
        <f t="shared" si="142"/>
        <v>231.36959598460686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2.2700114463449342E-2</v>
      </c>
      <c r="AA184" s="23">
        <f>EXP(-LN(2)/25)*AA183+(1-EXP(-LN(2)/25))/(LN(2)/25)*Calculateur!V184*Calculateur!X184*VLOOKUP('Données projet'!$B$9,Paramètres!$A$1:$I$89,3,0)*0.475*44/12</f>
        <v>3.4181642632763354E-2</v>
      </c>
      <c r="AB184" s="23">
        <f>EXP(-LN(2)/2)*AB183+(1-EXP(-LN(2)/2))/(LN(2)/2)*V184*Y184*VLOOKUP('Données projet'!$B$9,Paramètres!$A$1:$I$89,3,0)*0.475*44/12</f>
        <v>2.5748464046644183E-22</v>
      </c>
      <c r="AC184" s="24">
        <f t="shared" si="163"/>
        <v>5.6881757096212696E-2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-5.3205440053716299E-14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396.92963589781414</v>
      </c>
      <c r="AO184" s="62">
        <f t="shared" si="144"/>
        <v>294.38852181137639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1.0286385077051818E-13</v>
      </c>
      <c r="P185" s="14">
        <f t="shared" si="141"/>
        <v>1.5402366592183556E-12</v>
      </c>
      <c r="Q185" s="22">
        <f t="shared" si="162"/>
        <v>2.8617333882306215E-12</v>
      </c>
      <c r="R185" s="62">
        <f t="shared" si="109"/>
        <v>293.33333333333616</v>
      </c>
      <c r="S185" s="62">
        <f ca="1">AVERAGE(OFFSET($R$3,0,0,'Données projet'!$E$9+1,1))-AVERAGE(OFFSET($H$3,0,0,'Données projet'!$E$9+1,1))</f>
        <v>371.7282125501186</v>
      </c>
      <c r="T185" s="62">
        <f t="shared" si="142"/>
        <v>231.36959598460686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2.2254979064523773E-2</v>
      </c>
      <c r="AA185" s="23">
        <f>EXP(-LN(2)/25)*AA184+(1-EXP(-LN(2)/25))/(LN(2)/25)*Calculateur!V185*Calculateur!X185*VLOOKUP('Données projet'!$B$9,Paramètres!$A$1:$I$89,3,0)*0.475*44/12</f>
        <v>3.3246943817435974E-2</v>
      </c>
      <c r="AB185" s="23">
        <f>EXP(-LN(2)/2)*AB184+(1-EXP(-LN(2)/2))/(LN(2)/2)*V185*Y185*VLOOKUP('Données projet'!$B$9,Paramètres!$A$1:$I$89,3,0)*0.475*44/12</f>
        <v>1.8206913532520115E-22</v>
      </c>
      <c r="AC185" s="24">
        <f t="shared" si="163"/>
        <v>5.550192288195975E-2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-5.3205440053716299E-14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396.92963589781414</v>
      </c>
      <c r="AO185" s="62">
        <f t="shared" si="144"/>
        <v>294.38852181137639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1.0286385077051818E-13</v>
      </c>
      <c r="P186" s="14">
        <f t="shared" si="141"/>
        <v>1.5402366592183556E-12</v>
      </c>
      <c r="Q186" s="22">
        <f t="shared" si="162"/>
        <v>2.8617333882306215E-12</v>
      </c>
      <c r="R186" s="62">
        <f t="shared" si="109"/>
        <v>293.33333333333616</v>
      </c>
      <c r="S186" s="62">
        <f ca="1">AVERAGE(OFFSET($R$3,0,0,'Données projet'!$E$9+1,1))-AVERAGE(OFFSET($H$3,0,0,'Données projet'!$E$9+1,1))</f>
        <v>371.7282125501186</v>
      </c>
      <c r="T186" s="62">
        <f t="shared" si="142"/>
        <v>231.36959598460686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2.1818572499265349E-2</v>
      </c>
      <c r="AA186" s="23">
        <f>EXP(-LN(2)/25)*AA185+(1-EXP(-LN(2)/25))/(LN(2)/25)*Calculateur!V186*Calculateur!X186*VLOOKUP('Données projet'!$B$9,Paramètres!$A$1:$I$89,3,0)*0.475*44/12</f>
        <v>3.2337804390367396E-2</v>
      </c>
      <c r="AB186" s="23">
        <f>EXP(-LN(2)/2)*AB185+(1-EXP(-LN(2)/2))/(LN(2)/2)*V186*Y186*VLOOKUP('Données projet'!$B$9,Paramètres!$A$1:$I$89,3,0)*0.475*44/12</f>
        <v>1.2874232023322092E-22</v>
      </c>
      <c r="AC186" s="24">
        <f t="shared" si="163"/>
        <v>5.4156376889632749E-2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-5.3205440053716299E-14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396.92963589781414</v>
      </c>
      <c r="AO186" s="62">
        <f t="shared" si="144"/>
        <v>294.38852181137639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1.0286385077051818E-13</v>
      </c>
      <c r="P187" s="14">
        <f t="shared" si="141"/>
        <v>1.5402366592183556E-12</v>
      </c>
      <c r="Q187" s="22">
        <f t="shared" si="162"/>
        <v>2.8617333882306215E-12</v>
      </c>
      <c r="R187" s="62">
        <f t="shared" si="109"/>
        <v>293.33333333333616</v>
      </c>
      <c r="S187" s="62">
        <f ca="1">AVERAGE(OFFSET($R$3,0,0,'Données projet'!$E$9+1,1))-AVERAGE(OFFSET($H$3,0,0,'Données projet'!$E$9+1,1))</f>
        <v>371.7282125501186</v>
      </c>
      <c r="T187" s="62">
        <f t="shared" si="142"/>
        <v>231.36959598460686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2.1390723600569924E-2</v>
      </c>
      <c r="AA187" s="23">
        <f>EXP(-LN(2)/25)*AA186+(1-EXP(-LN(2)/25))/(LN(2)/25)*Calculateur!V187*Calculateur!X187*VLOOKUP('Données projet'!$B$9,Paramètres!$A$1:$I$89,3,0)*0.475*44/12</f>
        <v>3.1453525428741573E-2</v>
      </c>
      <c r="AB187" s="23">
        <f>EXP(-LN(2)/2)*AB186+(1-EXP(-LN(2)/2))/(LN(2)/2)*V187*Y187*VLOOKUP('Données projet'!$B$9,Paramètres!$A$1:$I$89,3,0)*0.475*44/12</f>
        <v>9.1034567662600574E-23</v>
      </c>
      <c r="AC187" s="24">
        <f t="shared" si="163"/>
        <v>5.2844249029311494E-2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-5.3205440053716299E-14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396.92963589781414</v>
      </c>
      <c r="AO187" s="62">
        <f t="shared" si="144"/>
        <v>294.38852181137639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1.0286385077051818E-13</v>
      </c>
      <c r="P188" s="14">
        <f t="shared" si="141"/>
        <v>1.5402366592183556E-12</v>
      </c>
      <c r="Q188" s="22">
        <f t="shared" si="162"/>
        <v>2.8617333882306215E-12</v>
      </c>
      <c r="R188" s="62">
        <f t="shared" si="109"/>
        <v>293.33333333333616</v>
      </c>
      <c r="S188" s="62">
        <f ca="1">AVERAGE(OFFSET($R$3,0,0,'Données projet'!$E$9+1,1))-AVERAGE(OFFSET($H$3,0,0,'Données projet'!$E$9+1,1))</f>
        <v>371.7282125501186</v>
      </c>
      <c r="T188" s="62">
        <f t="shared" si="142"/>
        <v>231.36959598460686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2.0971264557815856E-2</v>
      </c>
      <c r="AA188" s="23">
        <f>EXP(-LN(2)/25)*AA187+(1-EXP(-LN(2)/25))/(LN(2)/25)*Calculateur!V188*Calculateur!X188*VLOOKUP('Données projet'!$B$9,Paramètres!$A$1:$I$89,3,0)*0.475*44/12</f>
        <v>3.059342712182362E-2</v>
      </c>
      <c r="AB188" s="23">
        <f>EXP(-LN(2)/2)*AB187+(1-EXP(-LN(2)/2))/(LN(2)/2)*V188*Y188*VLOOKUP('Données projet'!$B$9,Paramètres!$A$1:$I$89,3,0)*0.475*44/12</f>
        <v>6.4371160116610458E-23</v>
      </c>
      <c r="AC188" s="24">
        <f t="shared" si="163"/>
        <v>5.1564691679639479E-2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-5.3205440053716299E-14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396.92963589781414</v>
      </c>
      <c r="AO188" s="62">
        <f t="shared" si="144"/>
        <v>294.38852181137639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1.0286385077051818E-13</v>
      </c>
      <c r="P189" s="14">
        <f t="shared" si="141"/>
        <v>1.5402366592183556E-12</v>
      </c>
      <c r="Q189" s="22">
        <f t="shared" si="162"/>
        <v>2.8617333882306215E-12</v>
      </c>
      <c r="R189" s="62">
        <f t="shared" si="109"/>
        <v>293.33333333333616</v>
      </c>
      <c r="S189" s="62">
        <f ca="1">AVERAGE(OFFSET($R$3,0,0,'Données projet'!$E$9+1,1))-AVERAGE(OFFSET($H$3,0,0,'Données projet'!$E$9+1,1))</f>
        <v>371.7282125501186</v>
      </c>
      <c r="T189" s="62">
        <f t="shared" si="142"/>
        <v>231.36959598460686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2.0560030851045439E-2</v>
      </c>
      <c r="AA189" s="23">
        <f>EXP(-LN(2)/25)*AA188+(1-EXP(-LN(2)/25))/(LN(2)/25)*Calculateur!V189*Calculateur!X189*VLOOKUP('Données projet'!$B$9,Paramètres!$A$1:$I$89,3,0)*0.475*44/12</f>
        <v>2.9756848248338942E-2</v>
      </c>
      <c r="AB189" s="23">
        <f>EXP(-LN(2)/2)*AB188+(1-EXP(-LN(2)/2))/(LN(2)/2)*V189*Y189*VLOOKUP('Données projet'!$B$9,Paramètres!$A$1:$I$89,3,0)*0.475*44/12</f>
        <v>4.5517283831300287E-23</v>
      </c>
      <c r="AC189" s="24">
        <f t="shared" si="163"/>
        <v>5.0316879099384385E-2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-5.3205440053716299E-14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396.92963589781414</v>
      </c>
      <c r="AO189" s="62">
        <f t="shared" si="144"/>
        <v>294.38852181137639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1.0286385077051818E-13</v>
      </c>
      <c r="P190" s="14">
        <f t="shared" si="141"/>
        <v>1.5402366592183556E-12</v>
      </c>
      <c r="Q190" s="22">
        <f t="shared" si="162"/>
        <v>2.8617333882306215E-12</v>
      </c>
      <c r="R190" s="62">
        <f t="shared" si="109"/>
        <v>293.33333333333616</v>
      </c>
      <c r="S190" s="62">
        <f ca="1">AVERAGE(OFFSET($R$3,0,0,'Données projet'!$E$9+1,1))-AVERAGE(OFFSET($H$3,0,0,'Données projet'!$E$9+1,1))</f>
        <v>371.7282125501186</v>
      </c>
      <c r="T190" s="62">
        <f t="shared" si="142"/>
        <v>231.36959598460686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2.0156861186436996E-2</v>
      </c>
      <c r="AA190" s="23">
        <f>EXP(-LN(2)/25)*AA189+(1-EXP(-LN(2)/25))/(LN(2)/25)*Calculateur!V190*Calculateur!X190*VLOOKUP('Données projet'!$B$9,Paramètres!$A$1:$I$89,3,0)*0.475*44/12</f>
        <v>2.8943145668143475E-2</v>
      </c>
      <c r="AB190" s="23">
        <f>EXP(-LN(2)/2)*AB189+(1-EXP(-LN(2)/2))/(LN(2)/2)*V190*Y190*VLOOKUP('Données projet'!$B$9,Paramètres!$A$1:$I$89,3,0)*0.475*44/12</f>
        <v>3.2185580058305229E-23</v>
      </c>
      <c r="AC190" s="24">
        <f t="shared" si="163"/>
        <v>4.910000685458047E-2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-5.3205440053716299E-14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396.92963589781414</v>
      </c>
      <c r="AO190" s="62">
        <f t="shared" si="144"/>
        <v>294.38852181137639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1.0286385077051818E-13</v>
      </c>
      <c r="P191" s="14">
        <f t="shared" si="141"/>
        <v>1.5402366592183556E-12</v>
      </c>
      <c r="Q191" s="22">
        <f t="shared" si="162"/>
        <v>2.8617333882306215E-12</v>
      </c>
      <c r="R191" s="62">
        <f t="shared" si="109"/>
        <v>293.33333333333616</v>
      </c>
      <c r="S191" s="62">
        <f ca="1">AVERAGE(OFFSET($R$3,0,0,'Données projet'!$E$9+1,1))-AVERAGE(OFFSET($H$3,0,0,'Données projet'!$E$9+1,1))</f>
        <v>371.7282125501186</v>
      </c>
      <c r="T191" s="62">
        <f t="shared" si="142"/>
        <v>231.36959598460686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1.9761597433042313E-2</v>
      </c>
      <c r="AA191" s="23">
        <f>EXP(-LN(2)/25)*AA190+(1-EXP(-LN(2)/25))/(LN(2)/25)*Calculateur!V191*Calculateur!X191*VLOOKUP('Données projet'!$B$9,Paramètres!$A$1:$I$89,3,0)*0.475*44/12</f>
        <v>2.815169382779421E-2</v>
      </c>
      <c r="AB191" s="23">
        <f>EXP(-LN(2)/2)*AB190+(1-EXP(-LN(2)/2))/(LN(2)/2)*V191*Y191*VLOOKUP('Données projet'!$B$9,Paramètres!$A$1:$I$89,3,0)*0.475*44/12</f>
        <v>2.2758641915650144E-23</v>
      </c>
      <c r="AC191" s="24">
        <f t="shared" si="163"/>
        <v>4.7913291260836523E-2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-5.3205440053716299E-14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396.92963589781414</v>
      </c>
      <c r="AO191" s="62">
        <f t="shared" si="144"/>
        <v>294.38852181137639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1.0286385077051818E-13</v>
      </c>
      <c r="P192" s="14">
        <f t="shared" si="141"/>
        <v>1.5402366592183556E-12</v>
      </c>
      <c r="Q192" s="22">
        <f t="shared" si="162"/>
        <v>2.8617333882306215E-12</v>
      </c>
      <c r="R192" s="62">
        <f t="shared" si="109"/>
        <v>293.33333333333616</v>
      </c>
      <c r="S192" s="62">
        <f ca="1">AVERAGE(OFFSET($R$3,0,0,'Données projet'!$E$9+1,1))-AVERAGE(OFFSET($H$3,0,0,'Données projet'!$E$9+1,1))</f>
        <v>371.7282125501186</v>
      </c>
      <c r="T192" s="62">
        <f t="shared" si="142"/>
        <v>231.36959598460686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1.9374084560764615E-2</v>
      </c>
      <c r="AA192" s="23">
        <f>EXP(-LN(2)/25)*AA191+(1-EXP(-LN(2)/25))/(LN(2)/25)*Calculateur!V192*Calculateur!X192*VLOOKUP('Données projet'!$B$9,Paramètres!$A$1:$I$89,3,0)*0.475*44/12</f>
        <v>2.7381884279639942E-2</v>
      </c>
      <c r="AB192" s="23">
        <f>EXP(-LN(2)/2)*AB191+(1-EXP(-LN(2)/2))/(LN(2)/2)*V192*Y192*VLOOKUP('Données projet'!$B$9,Paramètres!$A$1:$I$89,3,0)*0.475*44/12</f>
        <v>1.6092790029152615E-23</v>
      </c>
      <c r="AC192" s="24">
        <f t="shared" si="163"/>
        <v>4.675596884040456E-2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-5.3205440053716299E-14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396.92963589781414</v>
      </c>
      <c r="AO192" s="62">
        <f t="shared" si="144"/>
        <v>294.38852181137639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1.0286385077051818E-13</v>
      </c>
      <c r="P193" s="14">
        <f t="shared" si="141"/>
        <v>1.5402366592183556E-12</v>
      </c>
      <c r="Q193" s="22">
        <f t="shared" si="162"/>
        <v>2.8617333882306215E-12</v>
      </c>
      <c r="R193" s="62">
        <f t="shared" si="109"/>
        <v>293.33333333333616</v>
      </c>
      <c r="S193" s="62">
        <f ca="1">AVERAGE(OFFSET($R$3,0,0,'Données projet'!$E$9+1,1))-AVERAGE(OFFSET($H$3,0,0,'Données projet'!$E$9+1,1))</f>
        <v>371.7282125501186</v>
      </c>
      <c r="T193" s="62">
        <f t="shared" si="142"/>
        <v>231.36959598460686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1.8994170579552768E-2</v>
      </c>
      <c r="AA193" s="23">
        <f>EXP(-LN(2)/25)*AA192+(1-EXP(-LN(2)/25))/(LN(2)/25)*Calculateur!V193*Calculateur!X193*VLOOKUP('Données projet'!$B$9,Paramètres!$A$1:$I$89,3,0)*0.475*44/12</f>
        <v>2.6633125214062477E-2</v>
      </c>
      <c r="AB193" s="23">
        <f>EXP(-LN(2)/2)*AB192+(1-EXP(-LN(2)/2))/(LN(2)/2)*V193*Y193*VLOOKUP('Données projet'!$B$9,Paramètres!$A$1:$I$89,3,0)*0.475*44/12</f>
        <v>1.1379320957825072E-23</v>
      </c>
      <c r="AC193" s="24">
        <f t="shared" si="163"/>
        <v>4.5627295793615241E-2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-5.3205440053716299E-14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396.92963589781414</v>
      </c>
      <c r="AO193" s="62">
        <f t="shared" si="144"/>
        <v>294.38852181137639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1.0286385077051818E-13</v>
      </c>
      <c r="P194" s="14">
        <f t="shared" si="141"/>
        <v>1.5402366592183556E-12</v>
      </c>
      <c r="Q194" s="22">
        <f t="shared" si="162"/>
        <v>2.8617333882306215E-12</v>
      </c>
      <c r="R194" s="62">
        <f t="shared" si="109"/>
        <v>293.33333333333616</v>
      </c>
      <c r="S194" s="62">
        <f ca="1">AVERAGE(OFFSET($R$3,0,0,'Données projet'!$E$9+1,1))-AVERAGE(OFFSET($H$3,0,0,'Données projet'!$E$9+1,1))</f>
        <v>371.7282125501186</v>
      </c>
      <c r="T194" s="62">
        <f t="shared" si="142"/>
        <v>231.36959598460686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1.862170647978784E-2</v>
      </c>
      <c r="AA194" s="23">
        <f>EXP(-LN(2)/25)*AA193+(1-EXP(-LN(2)/25))/(LN(2)/25)*Calculateur!V194*Calculateur!X194*VLOOKUP('Données projet'!$B$9,Paramètres!$A$1:$I$89,3,0)*0.475*44/12</f>
        <v>2.5904841004508752E-2</v>
      </c>
      <c r="AB194" s="23">
        <f>EXP(-LN(2)/2)*AB193+(1-EXP(-LN(2)/2))/(LN(2)/2)*V194*Y194*VLOOKUP('Données projet'!$B$9,Paramètres!$A$1:$I$89,3,0)*0.475*44/12</f>
        <v>8.0463950145763073E-24</v>
      </c>
      <c r="AC194" s="24">
        <f t="shared" si="163"/>
        <v>4.4526547484296589E-2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-5.3205440053716299E-14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396.92963589781414</v>
      </c>
      <c r="AO194" s="62">
        <f t="shared" si="144"/>
        <v>294.38852181137639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1.0286385077051818E-13</v>
      </c>
      <c r="P195" s="14">
        <f t="shared" si="141"/>
        <v>1.5402366592183556E-12</v>
      </c>
      <c r="Q195" s="22">
        <f t="shared" si="162"/>
        <v>2.8617333882306215E-12</v>
      </c>
      <c r="R195" s="62">
        <f t="shared" ref="R195:R203" si="191">Q195+(I195+J195)*44/12</f>
        <v>293.33333333333616</v>
      </c>
      <c r="S195" s="62">
        <f ca="1">AVERAGE(OFFSET($R$3,0,0,'Données projet'!$E$9+1,1))-AVERAGE(OFFSET($H$3,0,0,'Données projet'!$E$9+1,1))</f>
        <v>371.7282125501186</v>
      </c>
      <c r="T195" s="62">
        <f t="shared" si="142"/>
        <v>231.36959598460686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1.8256546173838633E-2</v>
      </c>
      <c r="AA195" s="23">
        <f>EXP(-LN(2)/25)*AA194+(1-EXP(-LN(2)/25))/(LN(2)/25)*Calculateur!V195*Calculateur!X195*VLOOKUP('Données projet'!$B$9,Paramètres!$A$1:$I$89,3,0)*0.475*44/12</f>
        <v>2.519647176496408E-2</v>
      </c>
      <c r="AB195" s="23">
        <f>EXP(-LN(2)/2)*AB194+(1-EXP(-LN(2)/2))/(LN(2)/2)*V195*Y195*VLOOKUP('Données projet'!$B$9,Paramètres!$A$1:$I$89,3,0)*0.475*44/12</f>
        <v>5.6896604789125359E-24</v>
      </c>
      <c r="AC195" s="24">
        <f t="shared" si="163"/>
        <v>4.3453017938802713E-2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-5.3205440053716299E-14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396.92963589781414</v>
      </c>
      <c r="AO195" s="62">
        <f t="shared" si="144"/>
        <v>294.38852181137639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1.0286385077051818E-13</v>
      </c>
      <c r="P196" s="14">
        <f t="shared" si="141"/>
        <v>1.5402366592183556E-12</v>
      </c>
      <c r="Q196" s="22">
        <f t="shared" si="162"/>
        <v>2.8617333882306215E-12</v>
      </c>
      <c r="R196" s="62">
        <f t="shared" si="191"/>
        <v>293.33333333333616</v>
      </c>
      <c r="S196" s="62">
        <f ca="1">AVERAGE(OFFSET($R$3,0,0,'Données projet'!$E$9+1,1))-AVERAGE(OFFSET($H$3,0,0,'Données projet'!$E$9+1,1))</f>
        <v>371.7282125501186</v>
      </c>
      <c r="T196" s="62">
        <f t="shared" si="142"/>
        <v>231.36959598460686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1.7898546438763294E-2</v>
      </c>
      <c r="AA196" s="23">
        <f>EXP(-LN(2)/25)*AA195+(1-EXP(-LN(2)/25))/(LN(2)/25)*Calculateur!V196*Calculateur!X196*VLOOKUP('Données projet'!$B$9,Paramètres!$A$1:$I$89,3,0)*0.475*44/12</f>
        <v>2.4507472919526273E-2</v>
      </c>
      <c r="AB196" s="23">
        <f>EXP(-LN(2)/2)*AB195+(1-EXP(-LN(2)/2))/(LN(2)/2)*V196*Y196*VLOOKUP('Données projet'!$B$9,Paramètres!$A$1:$I$89,3,0)*0.475*44/12</f>
        <v>4.0231975072881537E-24</v>
      </c>
      <c r="AC196" s="24">
        <f t="shared" si="163"/>
        <v>4.2406019358289568E-2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-5.3205440053716299E-14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396.92963589781414</v>
      </c>
      <c r="AO196" s="62">
        <f t="shared" si="144"/>
        <v>294.38852181137639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1.0286385077051818E-13</v>
      </c>
      <c r="P197" s="14">
        <f t="shared" ref="P197:P203" si="203">EXP(-1.0587+0.8836*LN(O197)+0.284)</f>
        <v>1.5402366592183556E-12</v>
      </c>
      <c r="Q197" s="22">
        <f t="shared" si="162"/>
        <v>2.8617333882306215E-12</v>
      </c>
      <c r="R197" s="62">
        <f t="shared" si="191"/>
        <v>293.33333333333616</v>
      </c>
      <c r="S197" s="62">
        <f ca="1">AVERAGE(OFFSET($R$3,0,0,'Données projet'!$E$9+1,1))-AVERAGE(OFFSET($H$3,0,0,'Données projet'!$E$9+1,1))</f>
        <v>371.7282125501186</v>
      </c>
      <c r="T197" s="62">
        <f t="shared" ref="T197:T203" si="204">$T$3</f>
        <v>231.36959598460686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1.7547566860134506E-2</v>
      </c>
      <c r="AA197" s="23">
        <f>EXP(-LN(2)/25)*AA196+(1-EXP(-LN(2)/25))/(LN(2)/25)*Calculateur!V197*Calculateur!X197*VLOOKUP('Données projet'!$B$9,Paramètres!$A$1:$I$89,3,0)*0.475*44/12</f>
        <v>2.3837314783749838E-2</v>
      </c>
      <c r="AB197" s="23">
        <f>EXP(-LN(2)/2)*AB196+(1-EXP(-LN(2)/2))/(LN(2)/2)*V197*Y197*VLOOKUP('Données projet'!$B$9,Paramètres!$A$1:$I$89,3,0)*0.475*44/12</f>
        <v>2.8448302394562679E-24</v>
      </c>
      <c r="AC197" s="24">
        <f t="shared" si="163"/>
        <v>4.1384881643884347E-2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-5.3205440053716299E-14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396.92963589781414</v>
      </c>
      <c r="AO197" s="62">
        <f t="shared" ref="AO197:AO203" si="205">$AO$3</f>
        <v>294.38852181137639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1.0286385077051818E-13</v>
      </c>
      <c r="P198" s="14">
        <f t="shared" si="203"/>
        <v>1.5402366592183556E-12</v>
      </c>
      <c r="Q198" s="22">
        <f t="shared" si="162"/>
        <v>2.8617333882306215E-12</v>
      </c>
      <c r="R198" s="62">
        <f t="shared" si="191"/>
        <v>293.33333333333616</v>
      </c>
      <c r="S198" s="62">
        <f ca="1">AVERAGE(OFFSET($R$3,0,0,'Données projet'!$E$9+1,1))-AVERAGE(OFFSET($H$3,0,0,'Données projet'!$E$9+1,1))</f>
        <v>371.7282125501186</v>
      </c>
      <c r="T198" s="62">
        <f t="shared" si="204"/>
        <v>231.36959598460686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1.7203469776966223E-2</v>
      </c>
      <c r="AA198" s="23">
        <f>EXP(-LN(2)/25)*AA197+(1-EXP(-LN(2)/25))/(LN(2)/25)*Calculateur!V198*Calculateur!X198*VLOOKUP('Données projet'!$B$9,Paramètres!$A$1:$I$89,3,0)*0.475*44/12</f>
        <v>2.3185482157438295E-2</v>
      </c>
      <c r="AB198" s="23">
        <f>EXP(-LN(2)/2)*AB197+(1-EXP(-LN(2)/2))/(LN(2)/2)*V198*Y198*VLOOKUP('Données projet'!$B$9,Paramètres!$A$1:$I$89,3,0)*0.475*44/12</f>
        <v>2.0115987536440768E-24</v>
      </c>
      <c r="AC198" s="24">
        <f t="shared" si="163"/>
        <v>4.0388951934404518E-2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-5.3205440053716299E-14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396.92963589781414</v>
      </c>
      <c r="AO198" s="62">
        <f t="shared" si="205"/>
        <v>294.38852181137639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1.0286385077051818E-13</v>
      </c>
      <c r="P199" s="14">
        <f t="shared" si="203"/>
        <v>1.5402366592183556E-12</v>
      </c>
      <c r="Q199" s="22">
        <f t="shared" si="162"/>
        <v>2.8617333882306215E-12</v>
      </c>
      <c r="R199" s="62">
        <f t="shared" si="191"/>
        <v>293.33333333333616</v>
      </c>
      <c r="S199" s="62">
        <f ca="1">AVERAGE(OFFSET($R$3,0,0,'Données projet'!$E$9+1,1))-AVERAGE(OFFSET($H$3,0,0,'Données projet'!$E$9+1,1))</f>
        <v>371.7282125501186</v>
      </c>
      <c r="T199" s="62">
        <f t="shared" si="204"/>
        <v>231.36959598460686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1.6866120227720372E-2</v>
      </c>
      <c r="AA199" s="23">
        <f>EXP(-LN(2)/25)*AA198+(1-EXP(-LN(2)/25))/(LN(2)/25)*Calculateur!V199*Calculateur!X199*VLOOKUP('Données projet'!$B$9,Paramètres!$A$1:$I$89,3,0)*0.475*44/12</f>
        <v>2.2551473928571628E-2</v>
      </c>
      <c r="AB199" s="23">
        <f>EXP(-LN(2)/2)*AB198+(1-EXP(-LN(2)/2))/(LN(2)/2)*V199*Y199*VLOOKUP('Données projet'!$B$9,Paramètres!$A$1:$I$89,3,0)*0.475*44/12</f>
        <v>1.422415119728134E-24</v>
      </c>
      <c r="AC199" s="24">
        <f t="shared" si="163"/>
        <v>3.9417594156292E-2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-5.3205440053716299E-14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396.92963589781414</v>
      </c>
      <c r="AO199" s="62">
        <f t="shared" si="205"/>
        <v>294.38852181137639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1.0286385077051818E-13</v>
      </c>
      <c r="P200" s="14">
        <f t="shared" si="203"/>
        <v>1.5402366592183556E-12</v>
      </c>
      <c r="Q200" s="22">
        <f t="shared" si="162"/>
        <v>2.8617333882306215E-12</v>
      </c>
      <c r="R200" s="62">
        <f t="shared" si="191"/>
        <v>293.33333333333616</v>
      </c>
      <c r="S200" s="62">
        <f ca="1">AVERAGE(OFFSET($R$3,0,0,'Données projet'!$E$9+1,1))-AVERAGE(OFFSET($H$3,0,0,'Données projet'!$E$9+1,1))</f>
        <v>371.7282125501186</v>
      </c>
      <c r="T200" s="62">
        <f t="shared" si="204"/>
        <v>231.36959598460686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1.6535385897372325E-2</v>
      </c>
      <c r="AA200" s="23">
        <f>EXP(-LN(2)/25)*AA199+(1-EXP(-LN(2)/25))/(LN(2)/25)*Calculateur!V200*Calculateur!X200*VLOOKUP('Données projet'!$B$9,Paramètres!$A$1:$I$89,3,0)*0.475*44/12</f>
        <v>2.1934802688064366E-2</v>
      </c>
      <c r="AB200" s="23">
        <f>EXP(-LN(2)/2)*AB199+(1-EXP(-LN(2)/2))/(LN(2)/2)*V200*Y200*VLOOKUP('Données projet'!$B$9,Paramètres!$A$1:$I$89,3,0)*0.475*44/12</f>
        <v>1.0057993768220384E-24</v>
      </c>
      <c r="AC200" s="24">
        <f t="shared" si="163"/>
        <v>3.8470188585436688E-2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-5.3205440053716299E-14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396.92963589781414</v>
      </c>
      <c r="AO200" s="62">
        <f t="shared" si="205"/>
        <v>294.38852181137639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1.0286385077051818E-13</v>
      </c>
      <c r="P201" s="14">
        <f t="shared" si="203"/>
        <v>1.5402366592183556E-12</v>
      </c>
      <c r="Q201" s="22">
        <f t="shared" si="162"/>
        <v>2.8617333882306215E-12</v>
      </c>
      <c r="R201" s="62">
        <f t="shared" si="191"/>
        <v>293.33333333333616</v>
      </c>
      <c r="S201" s="62">
        <f ca="1">AVERAGE(OFFSET($R$3,0,0,'Données projet'!$E$9+1,1))-AVERAGE(OFFSET($H$3,0,0,'Données projet'!$E$9+1,1))</f>
        <v>371.7282125501186</v>
      </c>
      <c r="T201" s="62">
        <f t="shared" si="204"/>
        <v>231.36959598460686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1.6211137065514383E-2</v>
      </c>
      <c r="AA201" s="23">
        <f>EXP(-LN(2)/25)*AA200+(1-EXP(-LN(2)/25))/(LN(2)/25)*Calculateur!V201*Calculateur!X201*VLOOKUP('Données projet'!$B$9,Paramètres!$A$1:$I$89,3,0)*0.475*44/12</f>
        <v>2.1334994355058104E-2</v>
      </c>
      <c r="AB201" s="23">
        <f>EXP(-LN(2)/2)*AB200+(1-EXP(-LN(2)/2))/(LN(2)/2)*V201*Y201*VLOOKUP('Données projet'!$B$9,Paramètres!$A$1:$I$89,3,0)*0.475*44/12</f>
        <v>7.1120755986406699E-25</v>
      </c>
      <c r="AC201" s="24">
        <f t="shared" si="163"/>
        <v>3.754613142057249E-2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-5.3205440053716299E-14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396.92963589781414</v>
      </c>
      <c r="AO201" s="62">
        <f t="shared" si="205"/>
        <v>294.38852181137639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1.0286385077051818E-13</v>
      </c>
      <c r="P202" s="14">
        <f t="shared" si="203"/>
        <v>1.5402366592183556E-12</v>
      </c>
      <c r="Q202" s="22">
        <f t="shared" si="162"/>
        <v>2.8617333882306215E-12</v>
      </c>
      <c r="R202" s="62">
        <f t="shared" si="191"/>
        <v>293.33333333333616</v>
      </c>
      <c r="S202" s="62">
        <f ca="1">AVERAGE(OFFSET($R$3,0,0,'Données projet'!$E$9+1,1))-AVERAGE(OFFSET($H$3,0,0,'Données projet'!$E$9+1,1))</f>
        <v>371.7282125501186</v>
      </c>
      <c r="T202" s="62">
        <f t="shared" si="204"/>
        <v>231.36959598460686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1.5893246555476914E-2</v>
      </c>
      <c r="AA202" s="23">
        <f>EXP(-LN(2)/25)*AA201+(1-EXP(-LN(2)/25))/(LN(2)/25)*Calculateur!V202*Calculateur!X202*VLOOKUP('Données projet'!$B$9,Paramètres!$A$1:$I$89,3,0)*0.475*44/12</f>
        <v>2.0751587812460448E-2</v>
      </c>
      <c r="AB202" s="23">
        <f>EXP(-LN(2)/2)*AB201+(1-EXP(-LN(2)/2))/(LN(2)/2)*V202*Y202*VLOOKUP('Données projet'!$B$9,Paramètres!$A$1:$I$89,3,0)*0.475*44/12</f>
        <v>5.0289968841101921E-25</v>
      </c>
      <c r="AC202" s="24">
        <f t="shared" si="163"/>
        <v>3.6644834367937362E-2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-5.3205440053716299E-14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396.92963589781414</v>
      </c>
      <c r="AO202" s="62">
        <f t="shared" si="205"/>
        <v>294.38852181137639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1.0286385077051818E-13</v>
      </c>
      <c r="P203" s="14">
        <f t="shared" si="203"/>
        <v>1.5402366592183556E-12</v>
      </c>
      <c r="Q203" s="22">
        <f t="shared" si="162"/>
        <v>2.8617333882306215E-12</v>
      </c>
      <c r="R203" s="62">
        <f t="shared" si="191"/>
        <v>293.33333333333616</v>
      </c>
      <c r="S203" s="62">
        <f ca="1">AVERAGE(OFFSET($R$3,0,0,'Données projet'!$E$9+1,1))-AVERAGE(OFFSET($H$3,0,0,'Données projet'!$E$9+1,1))</f>
        <v>371.7282125501186</v>
      </c>
      <c r="T203" s="62">
        <f t="shared" si="204"/>
        <v>231.36959598460686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1.5581589684447216E-2</v>
      </c>
      <c r="AA203" s="23">
        <f>EXP(-LN(2)/25)*AA202+(1-EXP(-LN(2)/25))/(LN(2)/25)*Calculateur!V203*Calculateur!X203*VLOOKUP('Données projet'!$B$9,Paramètres!$A$1:$I$89,3,0)*0.475*44/12</f>
        <v>2.0184134552450144E-2</v>
      </c>
      <c r="AB203" s="23">
        <f>EXP(-LN(2)/2)*AB202+(1-EXP(-LN(2)/2))/(LN(2)/2)*V203*Y203*VLOOKUP('Données projet'!$B$9,Paramètres!$A$1:$I$89,3,0)*0.475*44/12</f>
        <v>3.5560377993203349E-25</v>
      </c>
      <c r="AC203" s="24">
        <f t="shared" si="163"/>
        <v>3.5765724236897362E-2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-5.3205440053716299E-14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396.92963589781414</v>
      </c>
      <c r="AO203" s="62">
        <f t="shared" si="205"/>
        <v>294.38852181137639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1.1852335095914694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1.2880503926580862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2.9064000000000005</v>
      </c>
      <c r="C6" s="156">
        <f ca="1">IF(OR('Données projet'!B9="",'Données projet'!C9="",'Données projet'!C9=0%),0,Calculateur!S3)</f>
        <v>371.7282125501186</v>
      </c>
      <c r="D6" s="156">
        <f>IF(OR('Données projet'!B9="",'Données projet'!C9="",'Données projet'!C9=0%),0,Calculateur!T3)</f>
        <v>231.36959598460686</v>
      </c>
      <c r="E6" s="156">
        <f ca="1">MIN(C6,D6)</f>
        <v>231.36959598460686</v>
      </c>
      <c r="F6" s="156">
        <f ca="1">E6*B6</f>
        <v>672.45259376966146</v>
      </c>
      <c r="G6" s="156">
        <f ca="1">F6*(100%-'Données projet'!$C$24)*(100%-'Données projet'!$C$25)*(100%-'Données projet'!$C$26)*(100%-'Données projet'!$C$27)</f>
        <v>574.9469676730605</v>
      </c>
      <c r="H6" s="157">
        <f>IF(OR('Données projet'!B9="",'Données projet'!C9="",'Données projet'!C9=0%),0,AVERAGE(Calculateur!$AC$3:$AC$33)*B6)</f>
        <v>3.3426639355799503</v>
      </c>
      <c r="I6" s="158">
        <f>H6*(100%-'Données projet'!$C$24)*(100%-'Données projet'!$C$25)*(100%-'Données projet'!$C$26)*(100%-'Données projet'!$C$27)</f>
        <v>2.8579776649208575</v>
      </c>
      <c r="J6" s="159">
        <f>IF(OR('Données projet'!B9="",'Données projet'!C9="",'Données projet'!C9=0%),0,SUM(Calculateur!$V$3:$V$33)*VLOOKUP('Données projet'!$B$9,Paramètres!$A$1:$I$89,9,0)*B6)</f>
        <v>21.071400000000004</v>
      </c>
      <c r="K6" s="160">
        <f>J6*(100%-'Données projet'!$C$24)*(100%-'Données projet'!$C$25)*(100%-'Données projet'!$C$26)*(100%-'Données projet'!$C$27)</f>
        <v>18.016047</v>
      </c>
      <c r="L6" s="161">
        <f ca="1">G6+I6+K6</f>
        <v>595.82099233798135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2.2836000000000003</v>
      </c>
      <c r="C7" s="156">
        <f ca="1">IF(OR('Données projet'!B10="",'Données projet'!C10="",'Données projet'!C10=0%),0,Calculateur!AN3)</f>
        <v>396.92963589781414</v>
      </c>
      <c r="D7" s="156">
        <f>IF(OR('Données projet'!B10="",'Données projet'!C10="",'Données projet'!C10=0%),0,Calculateur!AO3)</f>
        <v>294.38852181137639</v>
      </c>
      <c r="E7" s="156">
        <f t="shared" ref="E7:E15" ca="1" si="0">MIN(C7,D7)</f>
        <v>294.38852181137639</v>
      </c>
      <c r="F7" s="156">
        <f t="shared" ref="F7:F15" ca="1" si="1">E7*B7</f>
        <v>672.26562840845918</v>
      </c>
      <c r="G7" s="156">
        <f ca="1">F7*(100%-'Données projet'!$C$24)*(100%-'Données projet'!$C$25)*(100%-'Données projet'!$C$26)*(100%-'Données projet'!$C$27)</f>
        <v>574.7871122892326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574.7871122892326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1344.7182221781206</v>
      </c>
      <c r="G16" s="175">
        <f t="shared" ca="1" si="3"/>
        <v>1149.734079962293</v>
      </c>
      <c r="H16" s="176">
        <f t="shared" si="3"/>
        <v>3.3426639355799503</v>
      </c>
      <c r="I16" s="176">
        <f t="shared" si="3"/>
        <v>2.8579776649208575</v>
      </c>
      <c r="J16" s="177">
        <f t="shared" si="3"/>
        <v>21.071400000000004</v>
      </c>
      <c r="K16" s="177">
        <f t="shared" si="3"/>
        <v>18.016047</v>
      </c>
      <c r="L16" s="178">
        <f t="shared" ca="1" si="3"/>
        <v>1170.6081046272138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90" zoomScaleNormal="90" workbookViewId="0">
      <selection activeCell="H1" sqref="H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697.03645900869662</v>
      </c>
      <c r="U10" s="190">
        <f>'Données projet'!D9</f>
        <v>2.9064000000000005</v>
      </c>
      <c r="V10" s="189">
        <f>U10*T10</f>
        <v>2025.8667644628763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954.50267340548203</v>
      </c>
      <c r="U11" s="190">
        <f>'Données projet'!D10</f>
        <v>2.2836000000000003</v>
      </c>
      <c r="V11" s="189">
        <f t="shared" ref="V11" si="0">U11*T11</f>
        <v>2179.7023049887589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7505.6755612028801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950.22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194.36486850718109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06">
        <v>15</v>
      </c>
      <c r="D23" s="194">
        <f>B23*C23</f>
        <v>120</v>
      </c>
      <c r="E23" s="206"/>
      <c r="F23" s="261"/>
      <c r="H23" s="203">
        <v>3</v>
      </c>
      <c r="I23" s="204">
        <v>194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-42118.529362919231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06">
        <v>15</v>
      </c>
      <c r="D24" s="194">
        <f t="shared" ref="D24:D42" si="2">B24*C24</f>
        <v>315</v>
      </c>
      <c r="E24" s="206"/>
      <c r="F24" s="264"/>
      <c r="H24" s="203">
        <v>4</v>
      </c>
      <c r="I24" s="204">
        <v>194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06">
        <v>15</v>
      </c>
      <c r="D25" s="194">
        <f t="shared" si="2"/>
        <v>315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-42118.529362919231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06">
        <v>15</v>
      </c>
      <c r="D26" s="194">
        <f t="shared" si="2"/>
        <v>315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06">
        <v>15</v>
      </c>
      <c r="D27" s="194">
        <f t="shared" si="2"/>
        <v>315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06">
        <v>15</v>
      </c>
      <c r="D28" s="194">
        <f t="shared" si="2"/>
        <v>315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06">
        <v>15</v>
      </c>
      <c r="D29" s="194">
        <f t="shared" si="2"/>
        <v>315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06">
        <v>30</v>
      </c>
      <c r="D30" s="194">
        <f t="shared" si="2"/>
        <v>630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06">
        <v>30</v>
      </c>
      <c r="D31" s="194">
        <f t="shared" si="2"/>
        <v>630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06">
        <v>30</v>
      </c>
      <c r="D32" s="194">
        <f t="shared" si="2"/>
        <v>630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21</v>
      </c>
      <c r="C33" s="206">
        <v>30</v>
      </c>
      <c r="D33" s="194">
        <f t="shared" si="2"/>
        <v>630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06">
        <v>30</v>
      </c>
      <c r="D34" s="194">
        <f t="shared" si="2"/>
        <v>630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06">
        <v>40</v>
      </c>
      <c r="D35" s="194">
        <f t="shared" si="2"/>
        <v>840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06">
        <v>40</v>
      </c>
      <c r="D36" s="194">
        <f t="shared" si="2"/>
        <v>840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06">
        <v>40</v>
      </c>
      <c r="D37" s="194">
        <f t="shared" si="2"/>
        <v>840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06">
        <v>40</v>
      </c>
      <c r="D38" s="194">
        <f t="shared" si="2"/>
        <v>840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06">
        <v>40</v>
      </c>
      <c r="D39" s="194">
        <f t="shared" si="2"/>
        <v>800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06">
        <v>40</v>
      </c>
      <c r="D40" s="194">
        <f t="shared" si="2"/>
        <v>760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06">
        <v>40</v>
      </c>
      <c r="D41" s="194">
        <f t="shared" si="2"/>
        <v>720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285</v>
      </c>
      <c r="C42" s="206">
        <v>80</v>
      </c>
      <c r="D42" s="194">
        <f t="shared" si="2"/>
        <v>22800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4">
        <v>7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04">
        <v>11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88</v>
      </c>
      <c r="C56" s="204">
        <v>13</v>
      </c>
      <c r="D56" s="191">
        <f t="shared" si="4"/>
        <v>1144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50</v>
      </c>
      <c r="B57" s="193">
        <f>'Données projet'!D65</f>
        <v>0</v>
      </c>
      <c r="C57" s="204">
        <v>15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60</v>
      </c>
      <c r="B58" s="193">
        <f>'Données projet'!D66</f>
        <v>102</v>
      </c>
      <c r="C58" s="204">
        <v>18</v>
      </c>
      <c r="D58" s="191">
        <f t="shared" si="4"/>
        <v>1836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70</v>
      </c>
      <c r="B59" s="193">
        <f>'Données projet'!D67</f>
        <v>113</v>
      </c>
      <c r="C59" s="204">
        <v>20</v>
      </c>
      <c r="D59" s="191">
        <f t="shared" si="4"/>
        <v>2260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80</v>
      </c>
      <c r="B60" s="193">
        <f>'Données projet'!D68</f>
        <v>124</v>
      </c>
      <c r="C60" s="204">
        <v>25</v>
      </c>
      <c r="D60" s="191">
        <f t="shared" si="4"/>
        <v>3100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90</v>
      </c>
      <c r="B61" s="193">
        <f>'Données projet'!D69</f>
        <v>135</v>
      </c>
      <c r="C61" s="204">
        <v>30</v>
      </c>
      <c r="D61" s="191">
        <f t="shared" si="4"/>
        <v>4050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100</v>
      </c>
      <c r="B62" s="193">
        <f>'Données projet'!D70</f>
        <v>723</v>
      </c>
      <c r="C62" s="204">
        <v>40</v>
      </c>
      <c r="D62" s="191">
        <f t="shared" si="4"/>
        <v>28920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2023-11-15T14:17:21Z</dcterms:modified>
</cp:coreProperties>
</file>