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HODENG HODENGER (76) - DE MONY PAJOL\Dossier final\"/>
    </mc:Choice>
  </mc:AlternateContent>
  <xr:revisionPtr revIDLastSave="0" documentId="13_ncr:1_{CCD6B915-DE46-4E72-AB8A-CEAE01612F8D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DI154" i="2"/>
  <c r="EY154" i="2"/>
  <c r="ED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X156" i="2"/>
  <c r="ED155" i="2"/>
  <c r="EY155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X161" i="2"/>
  <c r="EB161" i="2"/>
  <c r="ED160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W162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D163" i="2"/>
  <c r="FR164" i="2"/>
  <c r="EY163" i="2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G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DG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B172" i="2"/>
  <c r="EY171" i="2"/>
  <c r="EV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HI175" i="2" l="1"/>
  <c r="ED174" i="2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G178" i="2"/>
  <c r="ED177" i="2"/>
  <c r="HH178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HI185" i="2"/>
  <c r="EA185" i="2"/>
  <c r="EW185" i="2"/>
  <c r="EB185" i="2"/>
  <c r="ED184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B186" i="2"/>
  <c r="EW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EY188" i="2" s="1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W191" i="2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Y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A194" i="2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FS197" i="2"/>
  <c r="EW197" i="2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B199" i="2"/>
  <c r="EY198" i="2"/>
  <c r="EW199" i="2"/>
  <c r="EV199" i="2"/>
  <c r="EA199" i="2"/>
  <c r="HG199" i="2"/>
  <c r="HJ199" i="2" s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B201" i="2"/>
  <c r="ED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HI202" i="2"/>
  <c r="FS202" i="2"/>
  <c r="EX202" i="2"/>
  <c r="EY201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EI150" i="2" a="1"/>
  <c r="EI150" i="2" s="1"/>
  <c r="DN124" i="2" a="1"/>
  <c r="DN124" i="2" s="1"/>
  <c r="DN137" i="2" a="1"/>
  <c r="DN137" i="2" s="1"/>
  <c r="DN152" i="2" a="1"/>
  <c r="DN152" i="2" s="1"/>
  <c r="DN184" i="2" a="1"/>
  <c r="DN184" i="2" s="1"/>
  <c r="DN114" i="2" a="1"/>
  <c r="DN114" i="2" s="1"/>
  <c r="AH19" i="2" a="1"/>
  <c r="AH19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107" i="2" a="1"/>
  <c r="FD107" i="2" s="1"/>
  <c r="FD159" i="2" a="1"/>
  <c r="FD159" i="2" s="1"/>
  <c r="FD160" i="2" a="1"/>
  <c r="FD160" i="2" s="1"/>
  <c r="BC38" i="2" a="1"/>
  <c r="BC38" i="2" s="1"/>
  <c r="GT198" i="2" a="1"/>
  <c r="GT198" i="2" s="1"/>
  <c r="DN38" i="2" a="1"/>
  <c r="DN38" i="2" s="1"/>
  <c r="DN135" i="2" a="1"/>
  <c r="DN135" i="2" s="1"/>
  <c r="DN49" i="2" a="1"/>
  <c r="DN49" i="2" s="1"/>
  <c r="DN162" i="2" a="1"/>
  <c r="DN162" i="2" s="1"/>
  <c r="DN16" i="2" a="1"/>
  <c r="DN16" i="2" s="1"/>
  <c r="DN167" i="2" a="1"/>
  <c r="DN167" i="2" s="1"/>
  <c r="DN133" i="2" a="1"/>
  <c r="DN133" i="2" s="1"/>
  <c r="DN190" i="2" a="1"/>
  <c r="DN190" i="2" s="1"/>
  <c r="DN6" i="2" a="1"/>
  <c r="DN6" i="2" s="1"/>
  <c r="DO6" i="2" s="1"/>
  <c r="DN46" i="2" a="1"/>
  <c r="DN46" i="2" s="1"/>
  <c r="DN30" i="2" a="1"/>
  <c r="DN30" i="2" s="1"/>
  <c r="DN132" i="2" a="1"/>
  <c r="DN132" i="2" s="1"/>
  <c r="BX107" i="2" a="1"/>
  <c r="BX107" i="2" s="1"/>
  <c r="HJ202" i="2"/>
  <c r="AX200" i="2"/>
  <c r="BC114" i="2" l="1" a="1"/>
  <c r="BC114" i="2" s="1"/>
  <c r="DN176" i="2" a="1"/>
  <c r="DN176" i="2" s="1"/>
  <c r="DN164" i="2" a="1"/>
  <c r="DN164" i="2" s="1"/>
  <c r="DN155" i="2" a="1"/>
  <c r="DN155" i="2" s="1"/>
  <c r="DN65" i="2" a="1"/>
  <c r="DN65" i="2" s="1"/>
  <c r="DN80" i="2" a="1"/>
  <c r="DN80" i="2" s="1"/>
  <c r="DN103" i="2" a="1"/>
  <c r="DN103" i="2" s="1"/>
  <c r="DN70" i="2" a="1"/>
  <c r="DN70" i="2" s="1"/>
  <c r="DN168" i="2" a="1"/>
  <c r="DN168" i="2" s="1"/>
  <c r="DN123" i="2" a="1"/>
  <c r="DN123" i="2" s="1"/>
  <c r="DN187" i="2" a="1"/>
  <c r="DN187" i="2" s="1"/>
  <c r="DN55" i="2" a="1"/>
  <c r="DN55" i="2" s="1"/>
  <c r="DN150" i="2" a="1"/>
  <c r="DN150" i="2" s="1"/>
  <c r="DN110" i="2" a="1"/>
  <c r="DN110" i="2" s="1"/>
  <c r="DN63" i="2" a="1"/>
  <c r="DN63" i="2" s="1"/>
  <c r="DN192" i="2" a="1"/>
  <c r="DN192" i="2" s="1"/>
  <c r="DN45" i="2" a="1"/>
  <c r="DN45" i="2" s="1"/>
  <c r="DN31" i="2" a="1"/>
  <c r="DN31" i="2" s="1"/>
  <c r="DN66" i="2" a="1"/>
  <c r="DN66" i="2" s="1"/>
  <c r="EI35" i="2" a="1"/>
  <c r="EI35" i="2" s="1"/>
  <c r="DN188" i="2" a="1"/>
  <c r="DN188" i="2" s="1"/>
  <c r="DN86" i="2" a="1"/>
  <c r="DN86" i="2" s="1"/>
  <c r="DN177" i="2" a="1"/>
  <c r="DN177" i="2" s="1"/>
  <c r="DN115" i="2" a="1"/>
  <c r="DN115" i="2" s="1"/>
  <c r="DN153" i="2" a="1"/>
  <c r="DN153" i="2" s="1"/>
  <c r="DN170" i="2" a="1"/>
  <c r="DN170" i="2" s="1"/>
  <c r="DN129" i="2" a="1"/>
  <c r="DN129" i="2" s="1"/>
  <c r="DN50" i="2" a="1"/>
  <c r="DN50" i="2" s="1"/>
  <c r="DN113" i="2" a="1"/>
  <c r="DN113" i="2" s="1"/>
  <c r="DN25" i="2" a="1"/>
  <c r="DN25" i="2" s="1"/>
  <c r="EI162" i="2" a="1"/>
  <c r="EI162" i="2" s="1"/>
  <c r="EI37" i="2" a="1"/>
  <c r="EI37" i="2" s="1"/>
  <c r="EI142" i="2" a="1"/>
  <c r="EI142" i="2" s="1"/>
  <c r="EI16" i="2" a="1"/>
  <c r="EI16" i="2" s="1"/>
  <c r="EI113" i="2" a="1"/>
  <c r="EI113" i="2" s="1"/>
  <c r="EI170" i="2" a="1"/>
  <c r="EI170" i="2" s="1"/>
  <c r="EI57" i="2" a="1"/>
  <c r="EI57" i="2" s="1"/>
  <c r="EI36" i="2" a="1"/>
  <c r="EI36" i="2" s="1"/>
  <c r="EI71" i="2" a="1"/>
  <c r="EI71" i="2" s="1"/>
  <c r="EI38" i="2" a="1"/>
  <c r="EI38" i="2" s="1"/>
  <c r="DN29" i="2" a="1"/>
  <c r="DN29" i="2" s="1"/>
  <c r="DN41" i="2" a="1"/>
  <c r="DN41" i="2" s="1"/>
  <c r="DN43" i="2" a="1"/>
  <c r="DN43" i="2" s="1"/>
  <c r="DN186" i="2" a="1"/>
  <c r="DN186" i="2" s="1"/>
  <c r="BC181" i="2" a="1"/>
  <c r="BC181" i="2" s="1"/>
  <c r="HG203" i="2"/>
  <c r="BC18" i="2" a="1"/>
  <c r="BC18" i="2" s="1"/>
  <c r="FD137" i="2" a="1"/>
  <c r="FD137" i="2" s="1"/>
  <c r="FD60" i="2" a="1"/>
  <c r="FD60" i="2" s="1"/>
  <c r="BC65" i="2" a="1"/>
  <c r="BC65" i="2" s="1"/>
  <c r="BC32" i="2" a="1"/>
  <c r="BC32" i="2" s="1"/>
  <c r="BC82" i="2" a="1"/>
  <c r="BC82" i="2" s="1"/>
  <c r="BC164" i="2" a="1"/>
  <c r="BC164" i="2" s="1"/>
  <c r="FD131" i="2" a="1"/>
  <c r="FD131" i="2" s="1"/>
  <c r="FD59" i="2" a="1"/>
  <c r="FD59" i="2" s="1"/>
  <c r="FD167" i="2" a="1"/>
  <c r="FD167" i="2" s="1"/>
  <c r="BC192" i="2" a="1"/>
  <c r="BC192" i="2" s="1"/>
  <c r="FD43" i="2" a="1"/>
  <c r="FD43" i="2" s="1"/>
  <c r="FD144" i="2" a="1"/>
  <c r="FD144" i="2" s="1"/>
  <c r="BC83" i="2" a="1"/>
  <c r="BC83" i="2" s="1"/>
  <c r="FD64" i="2" a="1"/>
  <c r="FD64" i="2" s="1"/>
  <c r="GT126" i="2" a="1"/>
  <c r="GT126" i="2" s="1"/>
  <c r="BC130" i="2" a="1"/>
  <c r="BC130" i="2" s="1"/>
  <c r="FD189" i="2" a="1"/>
  <c r="FD189" i="2" s="1"/>
  <c r="GT152" i="2" a="1"/>
  <c r="GT152" i="2" s="1"/>
  <c r="BC55" i="2" a="1"/>
  <c r="BC55" i="2" s="1"/>
  <c r="FD21" i="2" a="1"/>
  <c r="FD21" i="2" s="1"/>
  <c r="GT74" i="2" a="1"/>
  <c r="GT74" i="2" s="1"/>
  <c r="FD187" i="2" a="1"/>
  <c r="FD187" i="2" s="1"/>
  <c r="FD14" i="2" a="1"/>
  <c r="FD14" i="2" s="1"/>
  <c r="GT122" i="2" a="1"/>
  <c r="GT122" i="2" s="1"/>
  <c r="BC126" i="2" a="1"/>
  <c r="BC126" i="2" s="1"/>
  <c r="FD48" i="2" a="1"/>
  <c r="FD48" i="2" s="1"/>
  <c r="FD194" i="2" a="1"/>
  <c r="FD194" i="2" s="1"/>
  <c r="FD82" i="2" a="1"/>
  <c r="FD82" i="2" s="1"/>
  <c r="GT12" i="2" a="1"/>
  <c r="GT12" i="2" s="1"/>
  <c r="FD19" i="2" a="1"/>
  <c r="FD19" i="2" s="1"/>
  <c r="FD44" i="2" a="1"/>
  <c r="FD44" i="2" s="1"/>
  <c r="BC117" i="2" a="1"/>
  <c r="BC117" i="2" s="1"/>
  <c r="GT38" i="2" a="1"/>
  <c r="GT38" i="2" s="1"/>
  <c r="GT147" i="2" a="1"/>
  <c r="GT147" i="2" s="1"/>
  <c r="EI139" i="2" a="1"/>
  <c r="EI139" i="2" s="1"/>
  <c r="EI87" i="2" a="1"/>
  <c r="EI87" i="2" s="1"/>
  <c r="GT178" i="2" a="1"/>
  <c r="GT178" i="2" s="1"/>
  <c r="EI195" i="2" a="1"/>
  <c r="EI195" i="2" s="1"/>
  <c r="EI178" i="2" a="1"/>
  <c r="EI178" i="2" s="1"/>
  <c r="GT133" i="2" a="1"/>
  <c r="GT133" i="2" s="1"/>
  <c r="FS203" i="2"/>
  <c r="EY202" i="2"/>
  <c r="GT33" i="2" a="1"/>
  <c r="GT33" i="2" s="1"/>
  <c r="EI67" i="2" a="1"/>
  <c r="EI67" i="2" s="1"/>
  <c r="EI109" i="2" a="1"/>
  <c r="EI109" i="2" s="1"/>
  <c r="GT189" i="2" a="1"/>
  <c r="GT189" i="2" s="1"/>
  <c r="EI145" i="2" a="1"/>
  <c r="EI145" i="2" s="1"/>
  <c r="GT121" i="2" a="1"/>
  <c r="GT121" i="2" s="1"/>
  <c r="EI29" i="2" a="1"/>
  <c r="EI29" i="2" s="1"/>
  <c r="GT68" i="2" a="1"/>
  <c r="GT68" i="2" s="1"/>
  <c r="EI128" i="2" a="1"/>
  <c r="EI128" i="2" s="1"/>
  <c r="GT107" i="2" a="1"/>
  <c r="GT107" i="2" s="1"/>
  <c r="EI106" i="2" a="1"/>
  <c r="EI106" i="2" s="1"/>
  <c r="GT181" i="2" a="1"/>
  <c r="GT181" i="2" s="1"/>
  <c r="GT21" i="2" a="1"/>
  <c r="GT21" i="2" s="1"/>
  <c r="EI20" i="2" a="1"/>
  <c r="EI20" i="2" s="1"/>
  <c r="GT174" i="2" a="1"/>
  <c r="GT174" i="2" s="1"/>
  <c r="EI166" i="2" a="1"/>
  <c r="EI166" i="2" s="1"/>
  <c r="GT184" i="2" a="1"/>
  <c r="GT184" i="2" s="1"/>
  <c r="GT51" i="2" a="1"/>
  <c r="GT51" i="2" s="1"/>
  <c r="GT138" i="2" a="1"/>
  <c r="GT138" i="2" s="1"/>
  <c r="EI34" i="2" a="1"/>
  <c r="EI34" i="2" s="1"/>
  <c r="GT190" i="2" a="1"/>
  <c r="GT190" i="2" s="1"/>
  <c r="GT11" i="2" a="1"/>
  <c r="GT11" i="2" s="1"/>
  <c r="GT115" i="2" a="1"/>
  <c r="GT115" i="2" s="1"/>
  <c r="GT15" i="2" a="1"/>
  <c r="GT15" i="2" s="1"/>
  <c r="EI165" i="2" a="1"/>
  <c r="EI165" i="2" s="1"/>
  <c r="GT191" i="2" a="1"/>
  <c r="GT191" i="2" s="1"/>
  <c r="GT102" i="2" a="1"/>
  <c r="GT102" i="2" s="1"/>
  <c r="BC151" i="2" a="1"/>
  <c r="BC151" i="2" s="1"/>
  <c r="BC47" i="2" a="1"/>
  <c r="BC47" i="2" s="1"/>
  <c r="BC185" i="2" a="1"/>
  <c r="BC185" i="2" s="1"/>
  <c r="BC143" i="2" a="1"/>
  <c r="BC143" i="2" s="1"/>
  <c r="BC7" i="2" a="1"/>
  <c r="BC7" i="2" s="1"/>
  <c r="BC31" i="2" a="1"/>
  <c r="BC31" i="2" s="1"/>
  <c r="BC68" i="2" a="1"/>
  <c r="BC68" i="2" s="1"/>
  <c r="BC84" i="2" a="1"/>
  <c r="BC84" i="2" s="1"/>
  <c r="AH166" i="2" a="1"/>
  <c r="AH166" i="2" s="1"/>
  <c r="AH90" i="2" a="1"/>
  <c r="AH90" i="2" s="1"/>
  <c r="CS116" i="2" a="1"/>
  <c r="CS116" i="2" s="1"/>
  <c r="CS24" i="2" a="1"/>
  <c r="CS24" i="2" s="1"/>
  <c r="CS66" i="2" a="1"/>
  <c r="CS66" i="2" s="1"/>
  <c r="CS161" i="2" a="1"/>
  <c r="CS161" i="2" s="1"/>
  <c r="CS114" i="2" a="1"/>
  <c r="CS114" i="2" s="1"/>
  <c r="CS56" i="2" a="1"/>
  <c r="CS56" i="2" s="1"/>
  <c r="CS72" i="2" a="1"/>
  <c r="CS72" i="2" s="1"/>
  <c r="CS105" i="2" a="1"/>
  <c r="CS105" i="2" s="1"/>
  <c r="CS120" i="2" a="1"/>
  <c r="CS120" i="2" s="1"/>
  <c r="CS185" i="2" a="1"/>
  <c r="CS185" i="2" s="1"/>
  <c r="CS77" i="2" a="1"/>
  <c r="CS77" i="2" s="1"/>
  <c r="CS134" i="2" a="1"/>
  <c r="CS134" i="2" s="1"/>
  <c r="CS129" i="2" a="1"/>
  <c r="CS129" i="2" s="1"/>
  <c r="CS137" i="2" a="1"/>
  <c r="CS137" i="2" s="1"/>
  <c r="CS52" i="2" a="1"/>
  <c r="CS52" i="2" s="1"/>
  <c r="CS38" i="2" a="1"/>
  <c r="CS38" i="2" s="1"/>
  <c r="EI153" i="2" a="1"/>
  <c r="EI153" i="2" s="1"/>
  <c r="EI198" i="2" a="1"/>
  <c r="EI198" i="2" s="1"/>
  <c r="BC58" i="2" a="1"/>
  <c r="BC58" i="2" s="1"/>
  <c r="BC34" i="2" a="1"/>
  <c r="BC34" i="2" s="1"/>
  <c r="AH163" i="2" a="1"/>
  <c r="AH163" i="2" s="1"/>
  <c r="AH151" i="2" a="1"/>
  <c r="AH151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74" i="2" l="1"/>
  <c r="CD125" i="2"/>
  <c r="CD15" i="2"/>
  <c r="CD192" i="2"/>
  <c r="CD91" i="2"/>
  <c r="CD175" i="2"/>
  <c r="CD197" i="2"/>
  <c r="CD48" i="2"/>
  <c r="CD127" i="2"/>
  <c r="CD122" i="2"/>
  <c r="CD166" i="2"/>
  <c r="CD189" i="2"/>
  <c r="CD183" i="2"/>
  <c r="CD53" i="2"/>
  <c r="CD137" i="2"/>
  <c r="CD12" i="2"/>
  <c r="CD58" i="2"/>
  <c r="CD32" i="2"/>
  <c r="CD14" i="2"/>
  <c r="CD89" i="2"/>
  <c r="CD82" i="2"/>
  <c r="CD160" i="2"/>
  <c r="CD118" i="2"/>
  <c r="CD75" i="2"/>
  <c r="CD57" i="2"/>
  <c r="CD84" i="2"/>
  <c r="CD120" i="2"/>
  <c r="CD153" i="2"/>
  <c r="CD165" i="2"/>
  <c r="CD7" i="2"/>
  <c r="CD94" i="2"/>
  <c r="CD31" i="2"/>
  <c r="CD157" i="2"/>
  <c r="CD147" i="2"/>
  <c r="CD39" i="2"/>
  <c r="CD201" i="2"/>
  <c r="CD68" i="2"/>
  <c r="CD116" i="2"/>
  <c r="CD6" i="2"/>
  <c r="CD95" i="2"/>
  <c r="CD60" i="2"/>
  <c r="CD124" i="2"/>
  <c r="CD102" i="2"/>
  <c r="CD179" i="2"/>
  <c r="CD149" i="2"/>
  <c r="CD195" i="2"/>
  <c r="CD83" i="2"/>
  <c r="CD130" i="2"/>
  <c r="CD90" i="2"/>
  <c r="CD33" i="2"/>
  <c r="CD71" i="2"/>
  <c r="CD186" i="2"/>
  <c r="CD9" i="2"/>
  <c r="CD170" i="2"/>
  <c r="CD196" i="2"/>
  <c r="CD66" i="2"/>
  <c r="CD133" i="2"/>
  <c r="CD23" i="2"/>
  <c r="CD114" i="2"/>
  <c r="CD148" i="2"/>
  <c r="CD61" i="2"/>
  <c r="CD128" i="2"/>
  <c r="CD109" i="2"/>
  <c r="CD41" i="2"/>
  <c r="CD173" i="2"/>
  <c r="CD73" i="2"/>
  <c r="CD178" i="2"/>
  <c r="CD86" i="2"/>
  <c r="CD98" i="2"/>
  <c r="CD67" i="2"/>
  <c r="CD162" i="2"/>
  <c r="CD111" i="2"/>
  <c r="CD24" i="2"/>
  <c r="CD87" i="2"/>
  <c r="CD62" i="2"/>
  <c r="CD52" i="2"/>
  <c r="CD99" i="2"/>
  <c r="CD152" i="2"/>
  <c r="CD63" i="2"/>
  <c r="CD13" i="2"/>
  <c r="CD45" i="2"/>
  <c r="CD193" i="2"/>
  <c r="CD141" i="2"/>
  <c r="CD26" i="2"/>
  <c r="CD103" i="2"/>
  <c r="CD151" i="2"/>
  <c r="CD188" i="2"/>
  <c r="CD164" i="2"/>
  <c r="CD46" i="2"/>
  <c r="CD134" i="2"/>
  <c r="CD163" i="2"/>
  <c r="CD72" i="2"/>
  <c r="CD20" i="2"/>
  <c r="CD28" i="2"/>
  <c r="CD168" i="2"/>
  <c r="CD40" i="2"/>
  <c r="CD44" i="2"/>
  <c r="CD49" i="2"/>
  <c r="CD136" i="2"/>
  <c r="CD129" i="2"/>
  <c r="CD59" i="2"/>
  <c r="CD187" i="2"/>
  <c r="CD199" i="2"/>
  <c r="CD80" i="2"/>
  <c r="CD77" i="2"/>
  <c r="CD100" i="2"/>
  <c r="CD93" i="2"/>
  <c r="CD55" i="2"/>
  <c r="CD119" i="2"/>
  <c r="CD156" i="2"/>
  <c r="CD105" i="2"/>
  <c r="CD144" i="2"/>
  <c r="CD161" i="2"/>
  <c r="CD25" i="2"/>
  <c r="CD143" i="2"/>
  <c r="CD92" i="2"/>
  <c r="CD5" i="2"/>
  <c r="CD177" i="2"/>
  <c r="CD78" i="2"/>
  <c r="CD22" i="2"/>
  <c r="CD27" i="2"/>
  <c r="CD159" i="2"/>
  <c r="CD139" i="2"/>
  <c r="CD198" i="2"/>
  <c r="CD184" i="2"/>
  <c r="CD85" i="2"/>
  <c r="CD42" i="2"/>
  <c r="CD174" i="2"/>
  <c r="CD106" i="2"/>
  <c r="CD185" i="2"/>
  <c r="CD121" i="2"/>
  <c r="CD34" i="2"/>
  <c r="CD146" i="2"/>
  <c r="CD43" i="2"/>
  <c r="CD203" i="2"/>
  <c r="CD112" i="2"/>
  <c r="CD101" i="2"/>
  <c r="CD200" i="2"/>
  <c r="CD21" i="2"/>
  <c r="CD190" i="2"/>
  <c r="CD69" i="2"/>
  <c r="CD167" i="2"/>
  <c r="CD115" i="2"/>
  <c r="CD158" i="2"/>
  <c r="CD79" i="2"/>
  <c r="CD123" i="2"/>
  <c r="CD56" i="2"/>
  <c r="CD96" i="2"/>
  <c r="CD35" i="2"/>
  <c r="CD107" i="2"/>
  <c r="CD142" i="2"/>
  <c r="CD169" i="2"/>
  <c r="CD17" i="2"/>
  <c r="CD70" i="2"/>
  <c r="CD29" i="2"/>
  <c r="CD10" i="2"/>
  <c r="CD37" i="2"/>
  <c r="CD138" i="2"/>
  <c r="CD110" i="2"/>
  <c r="CD113" i="2"/>
  <c r="CD181" i="2"/>
  <c r="CD97" i="2"/>
  <c r="CD182" i="2"/>
  <c r="CD3" i="2"/>
  <c r="C9" i="4" s="1"/>
  <c r="E9" i="4" s="1"/>
  <c r="F9" i="4" s="1"/>
  <c r="G9" i="4" s="1"/>
  <c r="L9" i="4" s="1"/>
  <c r="CD50" i="2"/>
  <c r="CD88" i="2"/>
  <c r="CD202" i="2"/>
  <c r="CD135" i="2"/>
  <c r="CD51" i="2"/>
  <c r="CD36" i="2"/>
  <c r="CD38" i="2"/>
  <c r="CD145" i="2"/>
  <c r="CD8" i="2"/>
  <c r="CD172" i="2"/>
  <c r="CD19" i="2"/>
  <c r="CD126" i="2"/>
  <c r="CD155" i="2"/>
  <c r="CD194" i="2"/>
  <c r="CD64" i="2"/>
  <c r="CD18" i="2"/>
  <c r="CD191" i="2"/>
  <c r="CD11" i="2"/>
  <c r="CD81" i="2"/>
  <c r="CD132" i="2"/>
  <c r="CD117" i="2"/>
  <c r="CD47" i="2"/>
  <c r="CD154" i="2"/>
  <c r="CD131" i="2"/>
  <c r="CD150" i="2"/>
  <c r="CD180" i="2"/>
  <c r="CD104" i="2"/>
  <c r="CD108" i="2"/>
  <c r="CD171" i="2"/>
  <c r="CD30" i="2"/>
  <c r="CD76" i="2"/>
  <c r="CD65" i="2"/>
  <c r="CD140" i="2"/>
  <c r="CD176" i="2"/>
  <c r="CD16" i="2"/>
  <c r="CD4" i="2"/>
  <c r="CD54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<sst xmlns="http://schemas.openxmlformats.org/spreadsheetml/2006/main" count="1175" uniqueCount="324">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</sst>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2.540478112648191</c:v>
                </c:pt>
                <c:pt idx="2">
                  <c:v>2.992452548044215</c:v>
                </c:pt>
                <c:pt idx="3">
                  <c:v>3.5251330718873373</c:v>
                </c:pt>
                <c:pt idx="4">
                  <c:v>4.1529807145447881</c:v>
                </c:pt>
                <c:pt idx="5">
                  <c:v>4.893056037074623</c:v>
                </c:pt>
                <c:pt idx="6">
                  <c:v>5.7654878297850409</c:v>
                </c:pt>
                <c:pt idx="7">
                  <c:v>6.794026552127332</c:v>
                </c:pt>
                <c:pt idx="8">
                  <c:v>8.0066978742882196</c:v>
                </c:pt>
                <c:pt idx="9">
                  <c:v>9.4365744715711575</c:v>
                </c:pt>
                <c:pt idx="10">
                  <c:v>11.122687521480863</c:v>
                </c:pt>
                <c:pt idx="11">
                  <c:v>13.111103253036314</c:v>
                </c:pt>
                <c:pt idx="12">
                  <c:v>15.456194507857447</c:v>
                </c:pt>
                <c:pt idx="13">
                  <c:v>18.222142722658234</c:v>
                </c:pt>
                <c:pt idx="14">
                  <c:v>21.48471218629679</c:v>
                </c:pt>
                <c:pt idx="15">
                  <c:v>25.333346042887626</c:v>
                </c:pt>
                <c:pt idx="16">
                  <c:v>29.873642520259533</c:v>
                </c:pt>
                <c:pt idx="17">
                  <c:v>35.230280514087497</c:v>
                </c:pt>
                <c:pt idx="18">
                  <c:v>41.550476252632279</c:v>
                </c:pt>
                <c:pt idx="19">
                  <c:v>49.00806766044056</c:v>
                </c:pt>
                <c:pt idx="20">
                  <c:v>57.808340651879291</c:v>
                </c:pt>
                <c:pt idx="21">
                  <c:v>68.193732414244224</c:v>
                </c:pt>
                <c:pt idx="22">
                  <c:v>80.450571373702076</c:v>
                </c:pt>
                <c:pt idx="23">
                  <c:v>94.917042671572176</c:v>
                </c:pt>
                <c:pt idx="24">
                  <c:v>111.99260243703104</c:v>
                </c:pt>
                <c:pt idx="25">
                  <c:v>132.14910489975807</c:v>
                </c:pt>
                <c:pt idx="26">
                  <c:v>130.30991517841125</c:v>
                </c:pt>
                <c:pt idx="27">
                  <c:v>143.17159315460219</c:v>
                </c:pt>
                <c:pt idx="28">
                  <c:v>156.00559553023251</c:v>
                </c:pt>
                <c:pt idx="29">
                  <c:v>168.81452176155747</c:v>
                </c:pt>
                <c:pt idx="30">
                  <c:v>181.60054396431892</c:v>
                </c:pt>
                <c:pt idx="31">
                  <c:v>157.83692263801234</c:v>
                </c:pt>
                <c:pt idx="32">
                  <c:v>172.46992207510786</c:v>
                </c:pt>
                <c:pt idx="33">
                  <c:v>187.07372242622981</c:v>
                </c:pt>
                <c:pt idx="34">
                  <c:v>201.65092519188457</c:v>
                </c:pt>
                <c:pt idx="35">
                  <c:v>216.20372460175975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239.07933751109388</c:v>
                </c:pt>
                <c:pt idx="40">
                  <c:v>254.30172220416443</c:v>
                </c:pt>
                <c:pt idx="41">
                  <c:v>231.45994723108015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292.27031736625918</c:v>
                </c:pt>
                <c:pt idx="46">
                  <c:v>269.14176602787654</c:v>
                </c:pt>
                <c:pt idx="47">
                  <c:v>283.96339386484851</c:v>
                </c:pt>
                <c:pt idx="48">
                  <c:v>298.7677023889039</c:v>
                </c:pt>
                <c:pt idx="49">
                  <c:v>313.55567069110168</c:v>
                </c:pt>
                <c:pt idx="50">
                  <c:v>328.32817795481515</c:v>
                </c:pt>
                <c:pt idx="51">
                  <c:v>304.90122958502047</c:v>
                </c:pt>
                <c:pt idx="52">
                  <c:v>319.32234555972747</c:v>
                </c:pt>
                <c:pt idx="53">
                  <c:v>333.72904960580678</c:v>
                </c:pt>
                <c:pt idx="54">
                  <c:v>348.12205150612681</c:v>
                </c:pt>
                <c:pt idx="55">
                  <c:v>362.50199755720968</c:v>
                </c:pt>
                <c:pt idx="56">
                  <c:v>338.40824566131732</c:v>
                </c:pt>
                <c:pt idx="57">
                  <c:v>352.07781219018153</c:v>
                </c:pt>
                <c:pt idx="58">
                  <c:v>365.73574755728538</c:v>
                </c:pt>
                <c:pt idx="59">
                  <c:v>379.3825473151046</c:v>
                </c:pt>
                <c:pt idx="60">
                  <c:v>393.01866845402537</c:v>
                </c:pt>
                <c:pt idx="61">
                  <c:v>368.25045438962269</c:v>
                </c:pt>
                <c:pt idx="62">
                  <c:v>381.17737444442332</c:v>
                </c:pt>
                <c:pt idx="63">
                  <c:v>394.09476222315897</c:v>
                </c:pt>
                <c:pt idx="64">
                  <c:v>407.00297420734051</c:v>
                </c:pt>
                <c:pt idx="65">
                  <c:v>419.90234242068573</c:v>
                </c:pt>
                <c:pt idx="66">
                  <c:v>394.45344597932922</c:v>
                </c:pt>
                <c:pt idx="67">
                  <c:v>406.64453366510514</c:v>
                </c:pt>
                <c:pt idx="68">
                  <c:v>418.82772515146894</c:v>
                </c:pt>
                <c:pt idx="69">
                  <c:v>431.00328251520642</c:v>
                </c:pt>
                <c:pt idx="70">
                  <c:v>443.17145181723458</c:v>
                </c:pt>
                <c:pt idx="71">
                  <c:v>416.67831216352141</c:v>
                </c:pt>
                <c:pt idx="72">
                  <c:v>427.78106967818326</c:v>
                </c:pt>
                <c:pt idx="73">
                  <c:v>438.87763264294875</c:v>
                </c:pt>
                <c:pt idx="74">
                  <c:v>449.96817978008789</c:v>
                </c:pt>
                <c:pt idx="75">
                  <c:v>461.05288028198464</c:v>
                </c:pt>
                <c:pt idx="76">
                  <c:v>434.22497775587226</c:v>
                </c:pt>
                <c:pt idx="77">
                  <c:v>444.96027949966765</c:v>
                </c:pt>
                <c:pt idx="78">
                  <c:v>455.69003527221344</c:v>
                </c:pt>
                <c:pt idx="79">
                  <c:v>466.41439408694367</c:v>
                </c:pt>
                <c:pt idx="80">
                  <c:v>477.13349754486757</c:v>
                </c:pt>
                <c:pt idx="81">
                  <c:v>449.96817978008789</c:v>
                </c:pt>
                <c:pt idx="82">
                  <c:v>460.33791158124319</c:v>
                </c:pt>
                <c:pt idx="83">
                  <c:v>470.70265841989777</c:v>
                </c:pt>
                <c:pt idx="84">
                  <c:v>481.06254555421032</c:v>
                </c:pt>
                <c:pt idx="85">
                  <c:v>491.41769240661648</c:v>
                </c:pt>
                <c:pt idx="86">
                  <c:v>463.55508464541475</c:v>
                </c:pt>
                <c:pt idx="87">
                  <c:v>473.20376115624663</c:v>
                </c:pt>
                <c:pt idx="88">
                  <c:v>482.84825064496795</c:v>
                </c:pt>
                <c:pt idx="89">
                  <c:v>492.48864855160656</c:v>
                </c:pt>
                <c:pt idx="90">
                  <c:v>502.12504627431389</c:v>
                </c:pt>
                <c:pt idx="91">
                  <c:v>473.56103853531005</c:v>
                </c:pt>
                <c:pt idx="92">
                  <c:v>482.49112087009468</c:v>
                </c:pt>
                <c:pt idx="93">
                  <c:v>491.41769240661642</c:v>
                </c:pt>
                <c:pt idx="94">
                  <c:v>500.34082592690061</c:v>
                </c:pt>
                <c:pt idx="95">
                  <c:v>509.26059140461626</c:v>
                </c:pt>
                <c:pt idx="96">
                  <c:v>480.34822409968433</c:v>
                </c:pt>
                <c:pt idx="97">
                  <c:v>488.91860200532329</c:v>
                </c:pt>
                <c:pt idx="98">
                  <c:v>497.4857929384936</c:v>
                </c:pt>
                <c:pt idx="99">
                  <c:v>506.04985953638561</c:v>
                </c:pt>
                <c:pt idx="100">
                  <c:v>514.61086214265538</c:v>
                </c:pt>
                <c:pt idx="101">
                  <c:v>485.34800219417735</c:v>
                </c:pt>
                <c:pt idx="102">
                  <c:v>493.55955531546334</c:v>
                </c:pt>
                <c:pt idx="103">
                  <c:v>501.76821295558352</c:v>
                </c:pt>
                <c:pt idx="104">
                  <c:v>509.97402917745967</c:v>
                </c:pt>
                <c:pt idx="105">
                  <c:v>518.17705616178989</c:v>
                </c:pt>
                <c:pt idx="106">
                  <c:v>489.9896738522234</c:v>
                </c:pt>
                <c:pt idx="107">
                  <c:v>497.4857929384936</c:v>
                </c:pt>
                <c:pt idx="108">
                  <c:v>504.9795199898486</c:v>
                </c:pt>
                <c:pt idx="109">
                  <c:v>512.47089552301202</c:v>
                </c:pt>
                <c:pt idx="110">
                  <c:v>519.9599587731019</c:v>
                </c:pt>
                <c:pt idx="111">
                  <c:v>492.84562295362849</c:v>
                </c:pt>
                <c:pt idx="112">
                  <c:v>499.62710009899462</c:v>
                </c:pt>
                <c:pt idx="113">
                  <c:v>506.40662874127952</c:v>
                </c:pt>
                <c:pt idx="114">
                  <c:v>513.18423865736406</c:v>
                </c:pt>
                <c:pt idx="115">
                  <c:v>519.95995877310202</c:v>
                </c:pt>
                <c:pt idx="116">
                  <c:v>494.27346578454097</c:v>
                </c:pt>
                <c:pt idx="117">
                  <c:v>500.69768075588399</c:v>
                </c:pt>
                <c:pt idx="118">
                  <c:v>507.12015121083658</c:v>
                </c:pt>
                <c:pt idx="119">
                  <c:v>513.54090237038588</c:v>
                </c:pt>
                <c:pt idx="120">
                  <c:v>519.95995877310224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1.8119367213042523</c:v>
                </c:pt>
                <c:pt idx="2">
                  <c:v>2.2093689668750516</c:v>
                </c:pt>
                <c:pt idx="3">
                  <c:v>2.6943111335874517</c:v>
                </c:pt>
                <c:pt idx="4">
                  <c:v>3.2861020004106578</c:v>
                </c:pt>
                <c:pt idx="5">
                  <c:v>4.0083685621483935</c:v>
                </c:pt>
                <c:pt idx="6">
                  <c:v>4.8899799133622475</c:v>
                </c:pt>
                <c:pt idx="7">
                  <c:v>5.966213936687919</c:v>
                </c:pt>
                <c:pt idx="8">
                  <c:v>7.2801843978443808</c:v>
                </c:pt>
                <c:pt idx="9">
                  <c:v>8.8845867238650502</c:v>
                </c:pt>
                <c:pt idx="10">
                  <c:v>10.843833814193617</c:v>
                </c:pt>
                <c:pt idx="11">
                  <c:v>13.236669246485144</c:v>
                </c:pt>
                <c:pt idx="12">
                  <c:v>16.159364852301447</c:v>
                </c:pt>
                <c:pt idx="13">
                  <c:v>19.729633663859968</c:v>
                </c:pt>
                <c:pt idx="14">
                  <c:v>24.091418666229604</c:v>
                </c:pt>
                <c:pt idx="15">
                  <c:v>29.420753849094982</c:v>
                </c:pt>
                <c:pt idx="16">
                  <c:v>35.932938233032047</c:v>
                </c:pt>
                <c:pt idx="17">
                  <c:v>43.891317679416687</c:v>
                </c:pt>
                <c:pt idx="18">
                  <c:v>53.618035626944398</c:v>
                </c:pt>
                <c:pt idx="19">
                  <c:v>65.50719518535881</c:v>
                </c:pt>
                <c:pt idx="20">
                  <c:v>80.040974635156573</c:v>
                </c:pt>
                <c:pt idx="21">
                  <c:v>97.80936047123727</c:v>
                </c:pt>
                <c:pt idx="22">
                  <c:v>119.53431176581809</c:v>
                </c:pt>
                <c:pt idx="23">
                  <c:v>127.87183025187436</c:v>
                </c:pt>
                <c:pt idx="24">
                  <c:v>147.41479291393856</c:v>
                </c:pt>
                <c:pt idx="25">
                  <c:v>166.89582070164903</c:v>
                </c:pt>
                <c:pt idx="26">
                  <c:v>158.69588956630341</c:v>
                </c:pt>
                <c:pt idx="27">
                  <c:v>176.57443476299522</c:v>
                </c:pt>
                <c:pt idx="28">
                  <c:v>194.41049394787638</c:v>
                </c:pt>
                <c:pt idx="29">
                  <c:v>212.20851486614947</c:v>
                </c:pt>
                <c:pt idx="30">
                  <c:v>229.97213730997649</c:v>
                </c:pt>
                <c:pt idx="31">
                  <c:v>206.03271564587533</c:v>
                </c:pt>
                <c:pt idx="32">
                  <c:v>226.52064342157504</c:v>
                </c:pt>
                <c:pt idx="33">
                  <c:v>246.96613989084696</c:v>
                </c:pt>
                <c:pt idx="34">
                  <c:v>267.37321139326599</c:v>
                </c:pt>
                <c:pt idx="35">
                  <c:v>287.74520244496057</c:v>
                </c:pt>
                <c:pt idx="36">
                  <c:v>246.22783730674089</c:v>
                </c:pt>
                <c:pt idx="37">
                  <c:v>264.91644767126212</c:v>
                </c:pt>
                <c:pt idx="38">
                  <c:v>283.57533816627671</c:v>
                </c:pt>
                <c:pt idx="39">
                  <c:v>302.20673901881219</c:v>
                </c:pt>
                <c:pt idx="40">
                  <c:v>320.81258298345932</c:v>
                </c:pt>
                <c:pt idx="41">
                  <c:v>286.27364112152469</c:v>
                </c:pt>
                <c:pt idx="42">
                  <c:v>303.18661538142965</c:v>
                </c:pt>
                <c:pt idx="43">
                  <c:v>320.07860464143613</c:v>
                </c:pt>
                <c:pt idx="44">
                  <c:v>336.95087205446191</c:v>
                </c:pt>
                <c:pt idx="45">
                  <c:v>353.80454395241946</c:v>
                </c:pt>
                <c:pt idx="46">
                  <c:v>323.50351969461479</c:v>
                </c:pt>
                <c:pt idx="47">
                  <c:v>339.63890781505688</c:v>
                </c:pt>
                <c:pt idx="48">
                  <c:v>355.75743703713033</c:v>
                </c:pt>
                <c:pt idx="49">
                  <c:v>371.8599785946235</c:v>
                </c:pt>
                <c:pt idx="50">
                  <c:v>387.94732211955193</c:v>
                </c:pt>
                <c:pt idx="51">
                  <c:v>357.77111212719302</c:v>
                </c:pt>
                <c:pt idx="52">
                  <c:v>372.71347028292752</c:v>
                </c:pt>
                <c:pt idx="53">
                  <c:v>387.64277426642496</c:v>
                </c:pt>
                <c:pt idx="54">
                  <c:v>402.5595975696238</c:v>
                </c:pt>
                <c:pt idx="55">
                  <c:v>417.46446772037797</c:v>
                </c:pt>
                <c:pt idx="56">
                  <c:v>432.35787151018599</c:v>
                </c:pt>
                <c:pt idx="57">
                  <c:v>447.24025946406249</c:v>
                </c:pt>
                <c:pt idx="58">
                  <c:v>462.11204968448237</c:v>
                </c:pt>
                <c:pt idx="59">
                  <c:v>417.61649833792848</c:v>
                </c:pt>
                <c:pt idx="60">
                  <c:v>431.44635144816431</c:v>
                </c:pt>
                <c:pt idx="61">
                  <c:v>445.26668358390657</c:v>
                </c:pt>
                <c:pt idx="62">
                  <c:v>459.07783184895493</c:v>
                </c:pt>
                <c:pt idx="63">
                  <c:v>472.88011141256703</c:v>
                </c:pt>
                <c:pt idx="64">
                  <c:v>486.67381754865318</c:v>
                </c:pt>
                <c:pt idx="65">
                  <c:v>500.45922743178085</c:v>
                </c:pt>
                <c:pt idx="66">
                  <c:v>514.23660172502764</c:v>
                </c:pt>
                <c:pt idx="67">
                  <c:v>461.80864708305415</c:v>
                </c:pt>
                <c:pt idx="68">
                  <c:v>469.99903447882821</c:v>
                </c:pt>
                <c:pt idx="69">
                  <c:v>478.18638208927251</c:v>
                </c:pt>
                <c:pt idx="70">
                  <c:v>486.3707493197806</c:v>
                </c:pt>
                <c:pt idx="71">
                  <c:v>494.55219341267713</c:v>
                </c:pt>
                <c:pt idx="72">
                  <c:v>502.73076956123822</c:v>
                </c:pt>
                <c:pt idx="73">
                  <c:v>510.90653101590328</c:v>
                </c:pt>
                <c:pt idx="74">
                  <c:v>519.07952918333581</c:v>
                </c:pt>
                <c:pt idx="75">
                  <c:v>501.67074366165338</c:v>
                </c:pt>
                <c:pt idx="76">
                  <c:v>508.48437353815274</c:v>
                </c:pt>
                <c:pt idx="77">
                  <c:v>515.2960740487091</c:v>
                </c:pt>
                <c:pt idx="78">
                  <c:v>522.10587430578664</c:v>
                </c:pt>
                <c:pt idx="79">
                  <c:v>528.91380260016911</c:v>
                </c:pt>
                <c:pt idx="80">
                  <c:v>535.71988643466068</c:v>
                </c:pt>
                <c:pt idx="81">
                  <c:v>542.52415255598589</c:v>
                </c:pt>
                <c:pt idx="82">
                  <c:v>549.32662698500246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2.9021649741242297</c:v>
                </c:pt>
                <c:pt idx="2">
                  <c:v>3.4187201063672106</c:v>
                </c:pt>
                <c:pt idx="3">
                  <c:v>4.0275524263886373</c:v>
                </c:pt>
                <c:pt idx="4">
                  <c:v>4.7452029041587815</c:v>
                </c:pt>
                <c:pt idx="5">
                  <c:v>5.5911870403113042</c:v>
                </c:pt>
                <c:pt idx="6">
                  <c:v>6.5885313625952051</c:v>
                </c:pt>
                <c:pt idx="7">
                  <c:v>7.7644069523945136</c:v>
                </c:pt>
                <c:pt idx="8">
                  <c:v>9.1508775942690566</c:v>
                </c:pt>
                <c:pt idx="9">
                  <c:v>10.785783338663817</c:v>
                </c:pt>
                <c:pt idx="10">
                  <c:v>12.713784047373954</c:v>
                </c:pt>
                <c:pt idx="11">
                  <c:v>14.987591959271832</c:v>
                </c:pt>
                <c:pt idx="12">
                  <c:v>17.669427595851236</c:v>
                </c:pt>
                <c:pt idx="13">
                  <c:v>20.832739570942948</c:v>
                </c:pt>
                <c:pt idx="14">
                  <c:v>24.564236252300834</c:v>
                </c:pt>
                <c:pt idx="15">
                  <c:v>28.966285952596809</c:v>
                </c:pt>
                <c:pt idx="16">
                  <c:v>34.159752649685629</c:v>
                </c:pt>
                <c:pt idx="17">
                  <c:v>40.287346441806335</c:v>
                </c:pt>
                <c:pt idx="18">
                  <c:v>47.517582376933468</c:v>
                </c:pt>
                <c:pt idx="19">
                  <c:v>56.049458364054281</c:v>
                </c:pt>
                <c:pt idx="20">
                  <c:v>66.117983059573092</c:v>
                </c:pt>
                <c:pt idx="21">
                  <c:v>78.000708494419527</c:v>
                </c:pt>
                <c:pt idx="22">
                  <c:v>92.025450441272952</c:v>
                </c:pt>
                <c:pt idx="23">
                  <c:v>108.57941291469903</c:v>
                </c:pt>
                <c:pt idx="24">
                  <c:v>128.11997269425476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514.99392273715932</c:v>
                </c:pt>
                <c:pt idx="82">
                  <c:v>526.86584290776057</c:v>
                </c:pt>
                <c:pt idx="83">
                  <c:v>538.7321309043233</c:v>
                </c:pt>
                <c:pt idx="84">
                  <c:v>550.5929282476219</c:v>
                </c:pt>
                <c:pt idx="85">
                  <c:v>562.44836986503799</c:v>
                </c:pt>
                <c:pt idx="86">
                  <c:v>530.5490799896512</c:v>
                </c:pt>
                <c:pt idx="87">
                  <c:v>541.59557948037605</c:v>
                </c:pt>
                <c:pt idx="88">
                  <c:v>552.6373483362712</c:v>
                </c:pt>
                <c:pt idx="89">
                  <c:v>563.67449438860956</c:v>
                </c:pt>
                <c:pt idx="90">
                  <c:v>574.70712090201823</c:v>
                </c:pt>
                <c:pt idx="91">
                  <c:v>542.00461756313382</c:v>
                </c:pt>
                <c:pt idx="92">
                  <c:v>552.22847702156571</c:v>
                </c:pt>
                <c:pt idx="93">
                  <c:v>562.44836986503776</c:v>
                </c:pt>
                <c:pt idx="94">
                  <c:v>572.66437832506801</c:v>
                </c:pt>
                <c:pt idx="95">
                  <c:v>582.87658146020169</c:v>
                </c:pt>
                <c:pt idx="96">
                  <c:v>549.77511567616148</c:v>
                </c:pt>
                <c:pt idx="97">
                  <c:v>559.58719489109478</c:v>
                </c:pt>
                <c:pt idx="98">
                  <c:v>569.39567336006542</c:v>
                </c:pt>
                <c:pt idx="99">
                  <c:v>579.20062185262452</c:v>
                </c:pt>
                <c:pt idx="100">
                  <c:v>589.00210854701243</c:v>
                </c:pt>
                <c:pt idx="101">
                  <c:v>555.49927029680248</c:v>
                </c:pt>
                <c:pt idx="102">
                  <c:v>564.9005631197582</c:v>
                </c:pt>
                <c:pt idx="103">
                  <c:v>574.29858453318047</c:v>
                </c:pt>
                <c:pt idx="104">
                  <c:v>583.69339561913023</c:v>
                </c:pt>
                <c:pt idx="105">
                  <c:v>593.0850553330705</c:v>
                </c:pt>
                <c:pt idx="106">
                  <c:v>560.81345013847704</c:v>
                </c:pt>
                <c:pt idx="107">
                  <c:v>569.39567336006542</c:v>
                </c:pt>
                <c:pt idx="108">
                  <c:v>577.97519398219686</c:v>
                </c:pt>
                <c:pt idx="109">
                  <c:v>586.55205778199377</c:v>
                </c:pt>
                <c:pt idx="110">
                  <c:v>595.1263090885783</c:v>
                </c:pt>
                <c:pt idx="111">
                  <c:v>564.08319015797485</c:v>
                </c:pt>
                <c:pt idx="112">
                  <c:v>571.84723871208746</c:v>
                </c:pt>
                <c:pt idx="113">
                  <c:v>579.60908578354815</c:v>
                </c:pt>
                <c:pt idx="114">
                  <c:v>587.36876501525251</c:v>
                </c:pt>
                <c:pt idx="115">
                  <c:v>595.12630908857841</c:v>
                </c:pt>
                <c:pt idx="116">
                  <c:v>565.71791134638704</c:v>
                </c:pt>
                <c:pt idx="117">
                  <c:v>573.07293899689466</c:v>
                </c:pt>
                <c:pt idx="118">
                  <c:v>580.42599563560009</c:v>
                </c:pt>
                <c:pt idx="119">
                  <c:v>587.77710975800107</c:v>
                </c:pt>
                <c:pt idx="120">
                  <c:v>595.12630908857875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2.5869730192733571</c:v>
                </c:pt>
                <c:pt idx="2">
                  <c:v>3.2788210717149511</c:v>
                </c:pt>
                <c:pt idx="3">
                  <c:v>4.1564207525091357</c:v>
                </c:pt>
                <c:pt idx="4">
                  <c:v>5.26982775873359</c:v>
                </c:pt>
                <c:pt idx="5">
                  <c:v>6.6826329858946929</c:v>
                </c:pt>
                <c:pt idx="6">
                  <c:v>8.4756341259023511</c:v>
                </c:pt>
                <c:pt idx="7">
                  <c:v>10.751506147327824</c:v>
                </c:pt>
                <c:pt idx="8">
                  <c:v>13.640743137289521</c:v>
                </c:pt>
                <c:pt idx="9">
                  <c:v>17.30921849318332</c:v>
                </c:pt>
                <c:pt idx="10">
                  <c:v>21.967805380482361</c:v>
                </c:pt>
                <c:pt idx="11">
                  <c:v>27.884620326935632</c:v>
                </c:pt>
                <c:pt idx="12">
                  <c:v>35.400606953027072</c:v>
                </c:pt>
                <c:pt idx="13">
                  <c:v>44.94937326018016</c:v>
                </c:pt>
                <c:pt idx="14">
                  <c:v>57.082446238102854</c:v>
                </c:pt>
                <c:pt idx="15">
                  <c:v>72.501426638439298</c:v>
                </c:pt>
                <c:pt idx="16">
                  <c:v>84.113672803399282</c:v>
                </c:pt>
                <c:pt idx="17">
                  <c:v>100.9335237450543</c:v>
                </c:pt>
                <c:pt idx="18">
                  <c:v>117.68377040108562</c:v>
                </c:pt>
                <c:pt idx="19">
                  <c:v>134.37574131213381</c:v>
                </c:pt>
                <c:pt idx="20">
                  <c:v>151.01770664748463</c:v>
                </c:pt>
                <c:pt idx="21">
                  <c:v>126.03646740118143</c:v>
                </c:pt>
                <c:pt idx="22">
                  <c:v>144.43580369901193</c:v>
                </c:pt>
                <c:pt idx="23">
                  <c:v>162.7790056693303</c:v>
                </c:pt>
                <c:pt idx="24">
                  <c:v>181.07329523604912</c:v>
                </c:pt>
                <c:pt idx="25">
                  <c:v>199.32431229219438</c:v>
                </c:pt>
                <c:pt idx="26">
                  <c:v>172.6221905666138</c:v>
                </c:pt>
                <c:pt idx="27">
                  <c:v>192.44191190774919</c:v>
                </c:pt>
                <c:pt idx="28">
                  <c:v>212.21412732378917</c:v>
                </c:pt>
                <c:pt idx="29">
                  <c:v>231.94388639404454</c:v>
                </c:pt>
                <c:pt idx="30">
                  <c:v>251.63530853689983</c:v>
                </c:pt>
                <c:pt idx="31">
                  <c:v>271.29181534136131</c:v>
                </c:pt>
                <c:pt idx="32">
                  <c:v>229.37269391991026</c:v>
                </c:pt>
                <c:pt idx="33">
                  <c:v>249.06890942879195</c:v>
                </c:pt>
                <c:pt idx="34">
                  <c:v>268.72979663895603</c:v>
                </c:pt>
                <c:pt idx="35">
                  <c:v>288.35830325418607</c:v>
                </c:pt>
                <c:pt idx="36">
                  <c:v>307.9569428180335</c:v>
                </c:pt>
                <c:pt idx="37">
                  <c:v>327.52788280677856</c:v>
                </c:pt>
                <c:pt idx="38">
                  <c:v>285.19056580356511</c:v>
                </c:pt>
                <c:pt idx="39">
                  <c:v>304.18550769575285</c:v>
                </c:pt>
                <c:pt idx="40">
                  <c:v>323.15407545667881</c:v>
                </c:pt>
                <c:pt idx="41">
                  <c:v>342.09803446719894</c:v>
                </c:pt>
                <c:pt idx="42">
                  <c:v>361.01893865876099</c:v>
                </c:pt>
                <c:pt idx="43">
                  <c:v>379.91816582499479</c:v>
                </c:pt>
                <c:pt idx="44">
                  <c:v>398.79694553728064</c:v>
                </c:pt>
                <c:pt idx="45">
                  <c:v>343.46327668928501</c:v>
                </c:pt>
                <c:pt idx="46">
                  <c:v>361.07954703859576</c:v>
                </c:pt>
                <c:pt idx="47">
                  <c:v>378.67702999425478</c:v>
                </c:pt>
                <c:pt idx="48">
                  <c:v>396.2567211965407</c:v>
                </c:pt>
                <c:pt idx="49">
                  <c:v>413.81952076120933</c:v>
                </c:pt>
                <c:pt idx="50">
                  <c:v>431.36624619335817</c:v>
                </c:pt>
                <c:pt idx="51">
                  <c:v>448.89764309055226</c:v>
                </c:pt>
                <c:pt idx="52">
                  <c:v>466.41439408694367</c:v>
                </c:pt>
                <c:pt idx="53">
                  <c:v>401.1251766596863</c:v>
                </c:pt>
                <c:pt idx="54">
                  <c:v>416.99178308276709</c:v>
                </c:pt>
                <c:pt idx="55">
                  <c:v>432.84537968346314</c:v>
                </c:pt>
                <c:pt idx="56">
                  <c:v>448.68650991898056</c:v>
                </c:pt>
                <c:pt idx="57">
                  <c:v>464.51567575375776</c:v>
                </c:pt>
                <c:pt idx="58">
                  <c:v>480.33334216271754</c:v>
                </c:pt>
                <c:pt idx="59">
                  <c:v>496.13994101056164</c:v>
                </c:pt>
                <c:pt idx="60">
                  <c:v>511.93587441108417</c:v>
                </c:pt>
                <c:pt idx="61">
                  <c:v>447.27890104372887</c:v>
                </c:pt>
                <c:pt idx="62">
                  <c:v>461.91345937162333</c:v>
                </c:pt>
                <c:pt idx="63">
                  <c:v>476.53812734890556</c:v>
                </c:pt>
                <c:pt idx="64">
                  <c:v>491.1532511746737</c:v>
                </c:pt>
                <c:pt idx="65">
                  <c:v>505.75915477017446</c:v>
                </c:pt>
                <c:pt idx="66">
                  <c:v>520.35614182773372</c:v>
                </c:pt>
                <c:pt idx="67">
                  <c:v>534.94449761788053</c:v>
                </c:pt>
                <c:pt idx="68">
                  <c:v>549.52449058914783</c:v>
                </c:pt>
                <c:pt idx="69">
                  <c:v>564.09637378931677</c:v>
                </c:pt>
                <c:pt idx="70">
                  <c:v>1.3765621991510601E-12</c:v>
                </c:pt>
                <c:pt idx="71">
                  <c:v>1.3765621991510601E-12</c:v>
                </c:pt>
                <c:pt idx="72">
                  <c:v>1.3765621991510601E-12</c:v>
                </c:pt>
                <c:pt idx="73">
                  <c:v>1.3765621991510601E-12</c:v>
                </c:pt>
                <c:pt idx="74">
                  <c:v>1.3765621991510601E-12</c:v>
                </c:pt>
                <c:pt idx="75">
                  <c:v>1.3765621991510601E-12</c:v>
                </c:pt>
                <c:pt idx="76">
                  <c:v>1.3765621991510601E-12</c:v>
                </c:pt>
                <c:pt idx="77">
                  <c:v>1.3765621991510601E-12</c:v>
                </c:pt>
                <c:pt idx="78">
                  <c:v>1.3765621991510601E-12</c:v>
                </c:pt>
                <c:pt idx="79">
                  <c:v>1.3765621991510601E-12</c:v>
                </c:pt>
                <c:pt idx="80">
                  <c:v>1.3765621991510601E-12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7" sqref="E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0.41</v>
      </c>
      <c r="D9" s="36">
        <f t="shared" ref="D9:D18" si="0">C9*$C$5</f>
        <v>1.845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0.06</v>
      </c>
      <c r="D10" s="36">
        <f t="shared" si="0"/>
        <v>0.27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41</v>
      </c>
      <c r="C11" s="35">
        <v>0.34</v>
      </c>
      <c r="D11" s="36">
        <f t="shared" si="0"/>
        <v>1.53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0.06</v>
      </c>
      <c r="D12" s="36">
        <f t="shared" si="0"/>
        <v>0.27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23</v>
      </c>
      <c r="C13" s="35">
        <v>0.08</v>
      </c>
      <c r="D13" s="36">
        <f t="shared" si="0"/>
        <v>0.36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29</v>
      </c>
      <c r="C14" s="35">
        <v>2.5000000000000001E-2</v>
      </c>
      <c r="D14" s="36">
        <f t="shared" si="0"/>
        <v>0.1125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44</v>
      </c>
      <c r="C15" s="35">
        <v>2.5000000000000001E-2</v>
      </c>
      <c r="D15" s="36">
        <f t="shared" si="0"/>
        <v>0.1125</v>
      </c>
      <c r="E15" s="37">
        <v>45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>
        <v>0.2</v>
      </c>
      <c r="G37" s="54"/>
      <c r="H37" s="54">
        <v>0.8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>
        <v>0.6</v>
      </c>
      <c r="F38" s="54">
        <v>0.4</v>
      </c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>
        <v>0.6</v>
      </c>
      <c r="F39" s="54">
        <v>0.4</v>
      </c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>
        <v>0.65</v>
      </c>
      <c r="F40" s="54">
        <v>0.35</v>
      </c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>
        <v>0.7</v>
      </c>
      <c r="F41" s="54">
        <v>0.3</v>
      </c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>
        <v>0.7</v>
      </c>
      <c r="F42" s="54">
        <v>0.3</v>
      </c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>
        <v>0.75</v>
      </c>
      <c r="F43" s="54">
        <v>0.25</v>
      </c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>
        <v>0.75</v>
      </c>
      <c r="F44" s="54">
        <v>0.25</v>
      </c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>
        <v>0.75</v>
      </c>
      <c r="F45" s="54">
        <v>0.25</v>
      </c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>
        <v>0.2</v>
      </c>
      <c r="G63" s="54"/>
      <c r="H63" s="54">
        <v>0.8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>
        <v>0.6</v>
      </c>
      <c r="F64" s="54">
        <v>0.4</v>
      </c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>
        <v>0.6</v>
      </c>
      <c r="F65" s="54">
        <v>0.4</v>
      </c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>
        <v>0.65</v>
      </c>
      <c r="F66" s="54">
        <v>0.35</v>
      </c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>
        <v>0.7</v>
      </c>
      <c r="F67" s="54">
        <v>0.3</v>
      </c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>
        <v>0.7</v>
      </c>
      <c r="F68" s="54">
        <v>0.3</v>
      </c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>
        <v>0.75</v>
      </c>
      <c r="F69" s="54">
        <v>0.25</v>
      </c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>
        <v>0.75</v>
      </c>
      <c r="F70" s="54">
        <v>0.25</v>
      </c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>
        <v>0.75</v>
      </c>
      <c r="F71" s="54">
        <v>0.25</v>
      </c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sylvestre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93</v>
      </c>
      <c r="C88" s="63">
        <v>1</v>
      </c>
      <c r="D88" s="63">
        <v>9</v>
      </c>
      <c r="E88" s="54"/>
      <c r="F88" s="54"/>
      <c r="G88" s="54"/>
      <c r="H88" s="54">
        <v>1</v>
      </c>
      <c r="I88" s="56">
        <f>IFERROR(B88/A88,"")</f>
        <v>4.2272727272727275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131</v>
      </c>
      <c r="C89" s="63">
        <v>2</v>
      </c>
      <c r="D89" s="63">
        <v>21</v>
      </c>
      <c r="E89" s="54"/>
      <c r="F89" s="54">
        <v>0.2</v>
      </c>
      <c r="G89" s="54"/>
      <c r="H89" s="54">
        <v>0.8</v>
      </c>
      <c r="I89" s="56">
        <f t="shared" ref="I89:I107" si="3">IF(A89&lt;&gt;0,(B89-(B88-D88))/(A89-A88),"")</f>
        <v>15.666666666666666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182</v>
      </c>
      <c r="C90" s="63">
        <v>3</v>
      </c>
      <c r="D90" s="63">
        <v>36</v>
      </c>
      <c r="E90" s="54">
        <v>0.6</v>
      </c>
      <c r="F90" s="54">
        <v>0.4</v>
      </c>
      <c r="G90" s="54"/>
      <c r="H90" s="54"/>
      <c r="I90" s="56">
        <f t="shared" si="3"/>
        <v>14.4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229</v>
      </c>
      <c r="C91" s="63">
        <v>4</v>
      </c>
      <c r="D91" s="63">
        <v>49</v>
      </c>
      <c r="E91" s="54">
        <v>0.6</v>
      </c>
      <c r="F91" s="54">
        <v>0.4</v>
      </c>
      <c r="G91" s="54"/>
      <c r="H91" s="54"/>
      <c r="I91" s="56">
        <f t="shared" si="3"/>
        <v>16.600000000000001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256</v>
      </c>
      <c r="C92" s="63">
        <v>5</v>
      </c>
      <c r="D92" s="63">
        <v>42</v>
      </c>
      <c r="E92" s="54">
        <v>0.65</v>
      </c>
      <c r="F92" s="54">
        <v>0.35</v>
      </c>
      <c r="G92" s="54"/>
      <c r="H92" s="54"/>
      <c r="I92" s="56">
        <f t="shared" si="3"/>
        <v>15.2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283</v>
      </c>
      <c r="C93" s="63">
        <v>6</v>
      </c>
      <c r="D93" s="63">
        <v>38</v>
      </c>
      <c r="E93" s="54">
        <v>0.7</v>
      </c>
      <c r="F93" s="54">
        <v>0.3</v>
      </c>
      <c r="G93" s="54"/>
      <c r="H93" s="54"/>
      <c r="I93" s="56">
        <f t="shared" si="3"/>
        <v>13.8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311</v>
      </c>
      <c r="C94" s="63">
        <v>7</v>
      </c>
      <c r="D94" s="63">
        <v>37</v>
      </c>
      <c r="E94" s="54">
        <v>0.7</v>
      </c>
      <c r="F94" s="54">
        <v>0.3</v>
      </c>
      <c r="G94" s="54"/>
      <c r="H94" s="54"/>
      <c r="I94" s="56">
        <f t="shared" si="3"/>
        <v>13.2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372</v>
      </c>
      <c r="C95" s="63">
        <v>8</v>
      </c>
      <c r="D95" s="63">
        <v>48</v>
      </c>
      <c r="E95" s="54">
        <v>0.75</v>
      </c>
      <c r="F95" s="54">
        <v>0.25</v>
      </c>
      <c r="G95" s="54"/>
      <c r="H95" s="54"/>
      <c r="I95" s="56">
        <f t="shared" si="3"/>
        <v>12.25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415</v>
      </c>
      <c r="C96" s="63">
        <v>9</v>
      </c>
      <c r="D96" s="63">
        <v>50</v>
      </c>
      <c r="E96" s="54">
        <v>0.75</v>
      </c>
      <c r="F96" s="54">
        <v>0.25</v>
      </c>
      <c r="G96" s="54"/>
      <c r="H96" s="54"/>
      <c r="I96" s="56">
        <f t="shared" si="3"/>
        <v>11.375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419</v>
      </c>
      <c r="C97" s="63">
        <v>10</v>
      </c>
      <c r="D97" s="63">
        <v>20</v>
      </c>
      <c r="E97" s="54">
        <v>0.75</v>
      </c>
      <c r="F97" s="54">
        <v>0.25</v>
      </c>
      <c r="G97" s="54"/>
      <c r="H97" s="54"/>
      <c r="I97" s="56">
        <f t="shared" si="3"/>
        <v>6.75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444</v>
      </c>
      <c r="C98" s="63">
        <v>11</v>
      </c>
      <c r="D98" s="63">
        <v>444</v>
      </c>
      <c r="E98" s="93">
        <v>1</v>
      </c>
      <c r="F98" s="93"/>
      <c r="G98" s="93"/>
      <c r="H98" s="93"/>
      <c r="I98" s="56">
        <f t="shared" si="3"/>
        <v>5.625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70</v>
      </c>
      <c r="C114" s="6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97</v>
      </c>
      <c r="C115" s="63">
        <v>2</v>
      </c>
      <c r="D115" s="63">
        <v>21</v>
      </c>
      <c r="E115" s="54"/>
      <c r="F115" s="54">
        <v>0.2</v>
      </c>
      <c r="G115" s="54"/>
      <c r="H115" s="54">
        <v>0.8</v>
      </c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63">
        <v>3</v>
      </c>
      <c r="D116" s="63">
        <v>21</v>
      </c>
      <c r="E116" s="54">
        <v>0.6</v>
      </c>
      <c r="F116" s="54">
        <v>0.4</v>
      </c>
      <c r="G116" s="54"/>
      <c r="H116" s="54"/>
      <c r="I116" s="56">
        <f t="shared" si="4"/>
        <v>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63">
        <v>4</v>
      </c>
      <c r="D117" s="63">
        <v>21</v>
      </c>
      <c r="E117" s="54">
        <v>0.6</v>
      </c>
      <c r="F117" s="54">
        <v>0.4</v>
      </c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63">
        <v>5</v>
      </c>
      <c r="D118" s="63">
        <v>21</v>
      </c>
      <c r="E118" s="54">
        <v>0.65</v>
      </c>
      <c r="F118" s="54">
        <v>0.35</v>
      </c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178</v>
      </c>
      <c r="C119" s="63">
        <v>6</v>
      </c>
      <c r="D119" s="63">
        <v>21</v>
      </c>
      <c r="E119" s="54">
        <v>0.7</v>
      </c>
      <c r="F119" s="54">
        <v>0.3</v>
      </c>
      <c r="G119" s="54"/>
      <c r="H119" s="54"/>
      <c r="I119" s="56">
        <f t="shared" si="4"/>
        <v>8.1999999999999993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55</v>
      </c>
      <c r="B120" s="63">
        <v>197</v>
      </c>
      <c r="C120" s="63">
        <v>7</v>
      </c>
      <c r="D120" s="63">
        <v>21</v>
      </c>
      <c r="E120" s="54">
        <v>0.7</v>
      </c>
      <c r="F120" s="54">
        <v>0.3</v>
      </c>
      <c r="G120" s="54"/>
      <c r="H120" s="54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3">
        <v>60</v>
      </c>
      <c r="B121" s="63">
        <v>214</v>
      </c>
      <c r="C121" s="63">
        <v>8</v>
      </c>
      <c r="D121" s="63">
        <v>21</v>
      </c>
      <c r="E121" s="54">
        <v>0.75</v>
      </c>
      <c r="F121" s="54">
        <v>0.25</v>
      </c>
      <c r="G121" s="54"/>
      <c r="H121" s="54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3">
        <v>65</v>
      </c>
      <c r="B122" s="63">
        <v>229</v>
      </c>
      <c r="C122" s="63">
        <v>9</v>
      </c>
      <c r="D122" s="63">
        <v>21</v>
      </c>
      <c r="E122" s="54">
        <v>0.75</v>
      </c>
      <c r="F122" s="54">
        <v>0.25</v>
      </c>
      <c r="G122" s="54"/>
      <c r="H122" s="54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3">
        <v>70</v>
      </c>
      <c r="B123" s="63">
        <v>242</v>
      </c>
      <c r="C123" s="63">
        <v>10</v>
      </c>
      <c r="D123" s="63">
        <v>21</v>
      </c>
      <c r="E123" s="54">
        <v>0.75</v>
      </c>
      <c r="F123" s="54">
        <v>0.25</v>
      </c>
      <c r="G123" s="54"/>
      <c r="H123" s="54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3">
        <v>75</v>
      </c>
      <c r="B124" s="63">
        <v>252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3">
        <v>80</v>
      </c>
      <c r="B125" s="63">
        <v>261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3">
        <v>85</v>
      </c>
      <c r="B126" s="63">
        <v>269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3">
        <v>90</v>
      </c>
      <c r="B127" s="63">
        <v>275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3">
        <v>105</v>
      </c>
      <c r="B130" s="53">
        <v>284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4.5999999999999996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3">
        <v>110</v>
      </c>
      <c r="B131" s="53">
        <v>285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283">
        <v>115</v>
      </c>
      <c r="B132" s="53">
        <v>285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283">
        <v>120</v>
      </c>
      <c r="B133" s="53">
        <v>285</v>
      </c>
      <c r="C133" s="53">
        <v>20</v>
      </c>
      <c r="D133" s="53">
        <v>285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sycomore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40</v>
      </c>
      <c r="C140" s="53">
        <v>1</v>
      </c>
      <c r="D140" s="63">
        <v>3</v>
      </c>
      <c r="E140" s="54"/>
      <c r="F140" s="54"/>
      <c r="G140" s="54"/>
      <c r="H140" s="54">
        <v>1</v>
      </c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85</v>
      </c>
      <c r="C141" s="53">
        <v>2</v>
      </c>
      <c r="D141" s="63">
        <v>25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113</v>
      </c>
      <c r="C142" s="53">
        <v>3</v>
      </c>
      <c r="D142" s="63">
        <v>27</v>
      </c>
      <c r="E142" s="54">
        <v>0.3</v>
      </c>
      <c r="F142" s="54"/>
      <c r="G142" s="54"/>
      <c r="H142" s="54">
        <v>0.7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31</v>
      </c>
      <c r="B143" s="63">
        <v>155</v>
      </c>
      <c r="C143" s="53">
        <v>4</v>
      </c>
      <c r="D143" s="63">
        <v>36</v>
      </c>
      <c r="E143" s="54">
        <v>0.55000000000000004</v>
      </c>
      <c r="F143" s="54"/>
      <c r="G143" s="54"/>
      <c r="H143" s="54">
        <v>0.45</v>
      </c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37</v>
      </c>
      <c r="B144" s="63">
        <v>188</v>
      </c>
      <c r="C144" s="53">
        <v>5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44</v>
      </c>
      <c r="B145" s="63">
        <v>230</v>
      </c>
      <c r="C145" s="53">
        <v>6</v>
      </c>
      <c r="D145" s="63">
        <v>43</v>
      </c>
      <c r="E145" s="54"/>
      <c r="F145" s="54"/>
      <c r="G145" s="54"/>
      <c r="H145" s="54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52</v>
      </c>
      <c r="B146" s="63">
        <v>270</v>
      </c>
      <c r="C146" s="53">
        <v>7</v>
      </c>
      <c r="D146" s="63">
        <v>48</v>
      </c>
      <c r="E146" s="54"/>
      <c r="F146" s="54"/>
      <c r="G146" s="54"/>
      <c r="H146" s="54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297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69</v>
      </c>
      <c r="B148" s="63">
        <v>328</v>
      </c>
      <c r="C148" s="53">
        <v>9</v>
      </c>
      <c r="D148" s="63">
        <v>328</v>
      </c>
      <c r="E148" s="54"/>
      <c r="F148" s="54"/>
      <c r="G148" s="54"/>
      <c r="H148" s="54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Merisier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v>40</v>
      </c>
      <c r="C166" s="53">
        <v>1</v>
      </c>
      <c r="D166" s="63">
        <v>3</v>
      </c>
      <c r="E166" s="54"/>
      <c r="F166" s="54"/>
      <c r="G166" s="54"/>
      <c r="H166" s="54">
        <v>1</v>
      </c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v>85</v>
      </c>
      <c r="C167" s="53">
        <v>2</v>
      </c>
      <c r="D167" s="63">
        <v>25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113</v>
      </c>
      <c r="C168" s="53">
        <v>3</v>
      </c>
      <c r="D168" s="63">
        <v>27</v>
      </c>
      <c r="E168" s="54">
        <v>0.3</v>
      </c>
      <c r="F168" s="54"/>
      <c r="G168" s="54"/>
      <c r="H168" s="54">
        <v>0.7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31</v>
      </c>
      <c r="B169" s="63">
        <v>155</v>
      </c>
      <c r="C169" s="53">
        <v>4</v>
      </c>
      <c r="D169" s="63">
        <v>36</v>
      </c>
      <c r="E169" s="54">
        <v>0.55000000000000004</v>
      </c>
      <c r="F169" s="54"/>
      <c r="G169" s="54"/>
      <c r="H169" s="54">
        <v>0.45</v>
      </c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37</v>
      </c>
      <c r="B170" s="63">
        <v>188</v>
      </c>
      <c r="C170" s="53">
        <v>5</v>
      </c>
      <c r="D170" s="63">
        <v>36</v>
      </c>
      <c r="E170" s="54"/>
      <c r="F170" s="54"/>
      <c r="G170" s="54"/>
      <c r="H170" s="54"/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44</v>
      </c>
      <c r="B171" s="63">
        <v>230</v>
      </c>
      <c r="C171" s="63">
        <v>6</v>
      </c>
      <c r="D171" s="63">
        <v>43</v>
      </c>
      <c r="E171" s="54"/>
      <c r="F171" s="54"/>
      <c r="G171" s="54"/>
      <c r="H171" s="54"/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52</v>
      </c>
      <c r="B172" s="63">
        <v>270</v>
      </c>
      <c r="C172" s="63">
        <v>7</v>
      </c>
      <c r="D172" s="63">
        <v>48</v>
      </c>
      <c r="E172" s="54"/>
      <c r="F172" s="54"/>
      <c r="G172" s="54"/>
      <c r="H172" s="54"/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297</v>
      </c>
      <c r="C173" s="53">
        <v>8</v>
      </c>
      <c r="D173" s="53">
        <v>47</v>
      </c>
      <c r="E173" s="54"/>
      <c r="F173" s="54"/>
      <c r="G173" s="54"/>
      <c r="H173" s="54"/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69</v>
      </c>
      <c r="B174" s="53">
        <v>328</v>
      </c>
      <c r="C174" s="53">
        <v>9</v>
      </c>
      <c r="D174" s="53">
        <v>328</v>
      </c>
      <c r="E174" s="54"/>
      <c r="F174" s="54"/>
      <c r="G174" s="54"/>
      <c r="H174" s="5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Robinier faux-acacia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5</v>
      </c>
      <c r="B192" s="63">
        <v>34</v>
      </c>
      <c r="C192" s="63">
        <v>1</v>
      </c>
      <c r="D192" s="63">
        <v>6</v>
      </c>
      <c r="E192" s="54"/>
      <c r="F192" s="54"/>
      <c r="G192" s="54"/>
      <c r="H192" s="54">
        <v>1</v>
      </c>
      <c r="I192" s="52">
        <f>IFERROR(B192/A192,"")</f>
        <v>6.8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10</v>
      </c>
      <c r="B193" s="63">
        <v>99</v>
      </c>
      <c r="C193" s="63">
        <v>2</v>
      </c>
      <c r="D193" s="63">
        <v>28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14.2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15</v>
      </c>
      <c r="B194" s="63">
        <v>140</v>
      </c>
      <c r="C194" s="63">
        <v>3</v>
      </c>
      <c r="D194" s="63">
        <v>23</v>
      </c>
      <c r="E194" s="54">
        <v>0.2</v>
      </c>
      <c r="F194" s="54"/>
      <c r="G194" s="54"/>
      <c r="H194" s="54">
        <v>0.8</v>
      </c>
      <c r="I194" s="52">
        <f t="shared" si="7"/>
        <v>13.8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20</v>
      </c>
      <c r="B195" s="63">
        <v>180</v>
      </c>
      <c r="C195" s="63">
        <v>4</v>
      </c>
      <c r="D195" s="63">
        <v>18</v>
      </c>
      <c r="E195" s="54">
        <v>0.8</v>
      </c>
      <c r="F195" s="54"/>
      <c r="G195" s="54"/>
      <c r="H195" s="54">
        <v>0.2</v>
      </c>
      <c r="I195" s="52">
        <f t="shared" si="7"/>
        <v>12.6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25</v>
      </c>
      <c r="B196" s="63">
        <v>214</v>
      </c>
      <c r="C196" s="63">
        <v>5</v>
      </c>
      <c r="D196" s="63">
        <v>14</v>
      </c>
      <c r="E196" s="54">
        <v>0.8</v>
      </c>
      <c r="F196" s="54"/>
      <c r="G196" s="54"/>
      <c r="H196" s="54">
        <v>0.2</v>
      </c>
      <c r="I196" s="52">
        <f t="shared" si="7"/>
        <v>10.4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30</v>
      </c>
      <c r="B197" s="63">
        <v>243</v>
      </c>
      <c r="C197" s="63">
        <v>6</v>
      </c>
      <c r="D197" s="63">
        <v>11</v>
      </c>
      <c r="E197" s="54">
        <v>0.9</v>
      </c>
      <c r="F197" s="54"/>
      <c r="G197" s="54"/>
      <c r="H197" s="54">
        <v>0.1</v>
      </c>
      <c r="I197" s="52">
        <f t="shared" si="7"/>
        <v>8.6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35</v>
      </c>
      <c r="B198" s="63">
        <v>267</v>
      </c>
      <c r="C198" s="63">
        <v>7</v>
      </c>
      <c r="D198" s="63">
        <v>9</v>
      </c>
      <c r="E198" s="54"/>
      <c r="F198" s="54"/>
      <c r="G198" s="54"/>
      <c r="H198" s="54"/>
      <c r="I198" s="52">
        <f t="shared" si="7"/>
        <v>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40</v>
      </c>
      <c r="B199" s="53">
        <v>289</v>
      </c>
      <c r="C199" s="53">
        <v>8</v>
      </c>
      <c r="D199" s="53">
        <v>7</v>
      </c>
      <c r="E199" s="54"/>
      <c r="F199" s="54"/>
      <c r="G199" s="54"/>
      <c r="H199" s="54"/>
      <c r="I199" s="52">
        <f t="shared" si="7"/>
        <v>6.2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45</v>
      </c>
      <c r="B200" s="53">
        <v>312</v>
      </c>
      <c r="C200" s="53">
        <v>9</v>
      </c>
      <c r="D200" s="53">
        <v>312</v>
      </c>
      <c r="E200" s="54"/>
      <c r="F200" s="54"/>
      <c r="G200" s="54"/>
      <c r="H200" s="54"/>
      <c r="I200" s="52">
        <f t="shared" si="7"/>
        <v>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sylvestre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Alisier torminal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sycomore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Merisier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Robinier faux-acacia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371.7282125501186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348.82438445524105</v>
      </c>
      <c r="AO3" s="62">
        <f>IF('Données projet'!E10&gt;30,$AM$33-$H$33,LOOKUP('Données projet'!$E$10,$A$3:$A$203,AM3:AM203)-LOOKUP('Données projet'!$E$10,$A$3:$A$203,$H$3:$H$203))</f>
        <v>218.26721063098552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309.71642374647882</v>
      </c>
      <c r="BJ3" s="62">
        <f>IF('Données projet'!E11&gt;30,$BH$33-$H$33,LOOKUP('Données projet'!$E$11,$A$3:$A$203,BH3:BH203)-LOOKUP('Données projet'!$E$11,$A$3:$A$203,$H$3:$H$203))</f>
        <v>266.63880397664315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394.59880827600006</v>
      </c>
      <c r="CE3" s="62">
        <f>IF('Données projet'!E12&gt;30,$CC$33-$H$33,LOOKUP('Données projet'!$E$12,$A$3:$A$203,CC3:CC203)-LOOKUP('Données projet'!$E$12,$A$3:$A$203,$H$3:$H$203))</f>
        <v>244.45149244446094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293.90975929253631</v>
      </c>
      <c r="CZ3" s="62">
        <f>IF('Données projet'!E13&gt;30,$CX$33-$H$33,LOOKUP('Données projet'!$E$13,$A$3:$A$203,CX3:CX203)-LOOKUP('Données projet'!$E$13,$A$3:$A$203,$H$3:$H$203))</f>
        <v>288.30197520356643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288.82868507674738</v>
      </c>
      <c r="DU3" s="62">
        <f>IF('Données projet'!E14&gt;30,$DS$33-$H$33,LOOKUP('Données projet'!$E$14,$A$3:$A$203,DS3:DS203)-LOOKUP('Données projet'!$E$14,$A$3:$A$203,$H$3:$H$203))</f>
        <v>283.48738729114024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366.86025470473652</v>
      </c>
      <c r="EP3" s="62">
        <f>IF('Données projet'!E15&gt;30,$EN$33-$H$33,LOOKUP('Données projet'!$E$15,$A$3:$A$203,EN3:EN203)-LOOKUP('Données projet'!$E$15,$A$3:$A$203,$H$3:$H$203))</f>
        <v>513.80016421153414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260.61041945338798</v>
      </c>
      <c r="S4" s="62">
        <f ca="1">AVERAGE(OFFSET($R$3,0,0,'Données projet'!$E$9+1,1))-AVERAGE(OFFSET($H$3,0,0,'Données projet'!$E$9+1,1))</f>
        <v>371.7282125501186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0.998440708479854</v>
      </c>
      <c r="AK4" s="14">
        <f>EXP(-1.0587+0.8836*LN(AJ4)+0.284)</f>
        <v>0.46020701170092559</v>
      </c>
      <c r="AL4" s="22">
        <f t="shared" ref="AL4:AL67" si="4">(AJ4+AK4)*0.475*44/12</f>
        <v>2.540478112648191</v>
      </c>
      <c r="AM4" s="62">
        <f t="shared" ref="AM4:AM67" si="5">AL4+(AD4+AE4)*44/12</f>
        <v>260.42936700153706</v>
      </c>
      <c r="AN4" s="62">
        <f ca="1">AVERAGE(OFFSET($AM$3,0,0,'Données projet'!$E$10+1,1))-AVERAGE(OFFSET($H$3,0,0,'Données projet'!$E$10+1,1))</f>
        <v>348.82438445524105</v>
      </c>
      <c r="AO4" s="62">
        <f>$AO$3</f>
        <v>218.26721063098552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4.2272727272727275</v>
      </c>
      <c r="BD4" s="13">
        <f>IF('Données projet'!$A$88&gt;35,BD3+BC4-BL3,IF(A4&lt;'Données projet'!$A$88,$BA$205^A4,IF(A4='Données projet'!$A$88,'Données projet'!$B$88,BD3+BC4-BL3)))</f>
        <v>1.2287866875939204</v>
      </c>
      <c r="BE4" s="14">
        <f>BD4*VLOOKUP('Données projet'!$B$11,Paramètres!$A$1:$I$89,3,0)*VLOOKUP('Données projet'!$B$11,Paramètres!$A$1:$I$89,5,0)</f>
        <v>0.70286598530372246</v>
      </c>
      <c r="BF4" s="14">
        <f>EXP(-1.0587+0.8836*LN(BE4)+0.284)</f>
        <v>0.33748045755039374</v>
      </c>
      <c r="BG4" s="22">
        <f t="shared" ref="BG4:BG67" si="7">(BE4+BF4)*0.475*44/12</f>
        <v>1.8119367213042523</v>
      </c>
      <c r="BH4" s="62">
        <f t="shared" ref="BH4:BH67" si="8">BG4+(AY4+AZ4)*44/12</f>
        <v>259.70082561019314</v>
      </c>
      <c r="BI4" s="62">
        <f ca="1">AVERAGE(OFFSET($BH$3,0,0,'Données projet'!$E$11+1,1))-AVERAGE(OFFSET($H$3,0,0,'Données projet'!$E$11+1,1))</f>
        <v>309.71642374647882</v>
      </c>
      <c r="BJ4" s="62">
        <f>$BJ$3</f>
        <v>266.63880397664315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</v>
      </c>
      <c r="BY4" s="13">
        <f>IF('Données projet'!$A$114&gt;35,BY3+BX4-CG3,IF(A4&lt;'Données projet'!$A$114,$BV$205^A4,IF(A4='Données projet'!$A$114,'Données projet'!$B$114,BY3+BX4-CG3)))</f>
        <v>1.1852335095914694</v>
      </c>
      <c r="BZ4" s="14">
        <f>BY4*VLOOKUP('Données projet'!$B$12,Paramètres!$A$1:$I$89,3,0)*VLOOKUP('Données projet'!$B$12,Paramètres!$A$1:$I$89,5,0)</f>
        <v>1.1463578504768692</v>
      </c>
      <c r="CA4" s="14">
        <f>EXP(-1.0587+0.8836*LN(BZ4)+0.284)</f>
        <v>0.51995696720211448</v>
      </c>
      <c r="CB4" s="22">
        <f t="shared" ref="CB4:CB67" si="10">(BZ4+CA4)*0.475*44/12</f>
        <v>2.9021649741242297</v>
      </c>
      <c r="CC4" s="62">
        <f t="shared" ref="CC4:CC67" si="11">CB4+(BT4+BU4)*44/12</f>
        <v>260.79105386301308</v>
      </c>
      <c r="CD4" s="62">
        <f ca="1">AVERAGE(OFFSET($CC$3,0,0,'Données projet'!$E$12+1,1))-AVERAGE(OFFSET($H$3,0,0,'Données projet'!$E$12+1,1))</f>
        <v>394.59880827600006</v>
      </c>
      <c r="CE4" s="62">
        <f>$CE$3</f>
        <v>244.45149244446094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1.0174164937464338</v>
      </c>
      <c r="CV4" s="14">
        <f>EXP(-1.0587+0.8836*LN(CU4)+0.284)</f>
        <v>0.46792686660190508</v>
      </c>
      <c r="CW4" s="22">
        <f t="shared" ref="CW4:CW67" si="13">(CU4+CV4)*0.475*44/12</f>
        <v>2.5869730192733571</v>
      </c>
      <c r="CX4" s="62">
        <f t="shared" ref="CX4:CX67" si="14">CW4+(CO4+CP4)*44/12</f>
        <v>260.47586190816219</v>
      </c>
      <c r="CY4" s="62">
        <f ca="1">AVERAGE(OFFSET($CX$3,0,0,'Données projet'!$E$13+1,1))-AVERAGE(OFFSET($H$3,0,0,'Données projet'!$E$13+1,1))</f>
        <v>293.90975929253631</v>
      </c>
      <c r="CZ4" s="62">
        <f>$CZ$3</f>
        <v>288.30197520356643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0.99746715073179792</v>
      </c>
      <c r="DQ4" s="14">
        <f>EXP(-1.0587+0.8836*LN(DP4)+0.284)</f>
        <v>0.45981048445793882</v>
      </c>
      <c r="DR4" s="22">
        <f t="shared" ref="DR4:DR67" si="16">(DP4+DQ4)*0.475*44/12</f>
        <v>2.5380918812887914</v>
      </c>
      <c r="DS4" s="62">
        <f t="shared" ref="DS4:DS67" si="17">DR4+(DJ4+DK4)*44/12</f>
        <v>260.42698077017764</v>
      </c>
      <c r="DT4" s="62">
        <f ca="1">AVERAGE(OFFSET($DS$3,0,0,'Données projet'!$E$14+1,1))-AVERAGE(OFFSET($H$3,0,0,'Données projet'!$E$14+1,1))</f>
        <v>288.82868507674738</v>
      </c>
      <c r="DU4" s="62">
        <f>$DU$3</f>
        <v>283.48738729114024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6.8</v>
      </c>
      <c r="EJ4" s="13">
        <f>IF('Données projet'!$A$192&gt;35,EJ3+EI4-ER3,IF(A4&lt;'Données projet'!$A$192,$EG$205^A4,IF(A4='Données projet'!$A$192,'Données projet'!$B$192,EJ3+EI4-ER3)))</f>
        <v>2.0243974584998852</v>
      </c>
      <c r="EK4" s="18">
        <f>EJ4*VLOOKUP('Données projet'!$B$15,Paramètres!$A$1:$I$89,3,0)*VLOOKUP('Données projet'!$B$15,Paramètres!$A$1:$I$89,5,0)</f>
        <v>1.8316748204506961</v>
      </c>
      <c r="EL4" s="14">
        <f>EXP(-1.0587+0.8836*LN(EK4)+0.284)</f>
        <v>0.78669228172688432</v>
      </c>
      <c r="EM4" s="22">
        <f t="shared" ref="EM4:EM67" si="19">(EK4+EL4)*0.475*44/12</f>
        <v>4.5603227029592857</v>
      </c>
      <c r="EN4" s="62">
        <f t="shared" ref="EN4:EN67" si="20">EM4+(EE4+EF4)*44/12</f>
        <v>262.44921159184815</v>
      </c>
      <c r="EO4" s="62">
        <f ca="1">AVERAGE(OFFSET($EN$3,0,0,'Données projet'!$E$15+1,1))-AVERAGE(OFFSET($H$3,0,0,'Données projet'!$E$15+1,1))</f>
        <v>366.86025470473652</v>
      </c>
      <c r="EP4" s="62">
        <f>$EP$3</f>
        <v>513.80016421153414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262.31694032477441</v>
      </c>
      <c r="S5" s="62">
        <f ca="1">AVERAGE(OFFSET($R$3,0,0,'Données projet'!$E$9+1,1))-AVERAGE(OFFSET($H$3,0,0,'Données projet'!$E$9+1,1))</f>
        <v>371.7282125501186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1.1833853850305707</v>
      </c>
      <c r="AK5" s="14">
        <f t="shared" ref="AK5:AK68" si="35">EXP(-1.0587+0.8836*LN(AJ5)+0.284)</f>
        <v>0.53476918800917028</v>
      </c>
      <c r="AL5" s="22">
        <f t="shared" si="4"/>
        <v>2.992452548044215</v>
      </c>
      <c r="AM5" s="62">
        <f t="shared" si="5"/>
        <v>262.10356365915538</v>
      </c>
      <c r="AN5" s="62">
        <f ca="1">AVERAGE(OFFSET($AM$3,0,0,'Données projet'!$E$10+1,1))-AVERAGE(OFFSET($H$3,0,0,'Données projet'!$E$10+1,1))</f>
        <v>348.82438445524105</v>
      </c>
      <c r="AO5" s="62">
        <f t="shared" ref="AO5:AO68" si="36">$AO$3</f>
        <v>218.26721063098552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4.2272727272727275</v>
      </c>
      <c r="BD5" s="13">
        <f>IF('Données projet'!$A$88&gt;35,BD4+BC5-BL4,IF(A5&lt;'Données projet'!$A$88,$BA$205^A5,IF(A5='Données projet'!$A$88,'Données projet'!$B$88,BD4+BC5-BL4)))</f>
        <v>1.5099167236080389</v>
      </c>
      <c r="BE5" s="14">
        <f>BD5*VLOOKUP('Données projet'!$B$11,Paramètres!$A$1:$I$89,3,0)*VLOOKUP('Données projet'!$B$11,Paramètres!$A$1:$I$89,5,0)</f>
        <v>0.86367236590379826</v>
      </c>
      <c r="BF5" s="14">
        <f t="shared" ref="BF5:BF68" si="37">EXP(-1.0587+0.8836*LN(BE5)+0.284)</f>
        <v>0.40486483995747546</v>
      </c>
      <c r="BG5" s="22">
        <f t="shared" si="7"/>
        <v>2.2093689668750516</v>
      </c>
      <c r="BH5" s="62">
        <f t="shared" si="8"/>
        <v>261.32048007798619</v>
      </c>
      <c r="BI5" s="62">
        <f ca="1">AVERAGE(OFFSET($BH$3,0,0,'Données projet'!$E$11+1,1))-AVERAGE(OFFSET($H$3,0,0,'Données projet'!$E$11+1,1))</f>
        <v>309.71642374647882</v>
      </c>
      <c r="BJ5" s="62">
        <f t="shared" ref="BJ5:BJ68" si="38">$BJ$3</f>
        <v>266.63880397664315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</v>
      </c>
      <c r="BY5" s="13">
        <f>IF('Données projet'!$A$114&gt;35,BY4+BX5-CG4,IF(A5&lt;'Données projet'!$A$114,$BV$205^A5,IF(A5='Données projet'!$A$114,'Données projet'!$B$114,BY4+BX5-CG4)))</f>
        <v>1.4047784722585119</v>
      </c>
      <c r="BZ5" s="14">
        <f>BY5*VLOOKUP('Données projet'!$B$12,Paramètres!$A$1:$I$89,3,0)*VLOOKUP('Données projet'!$B$12,Paramètres!$A$1:$I$89,5,0)</f>
        <v>1.3587017383684328</v>
      </c>
      <c r="CA5" s="14">
        <f t="shared" ref="CA5:CA68" si="39">EXP(-1.0587+0.8836*LN(BZ5)+0.284)</f>
        <v>0.60419975811034832</v>
      </c>
      <c r="CB5" s="22">
        <f t="shared" si="10"/>
        <v>3.4187201063672106</v>
      </c>
      <c r="CC5" s="62">
        <f t="shared" si="11"/>
        <v>262.52983121747837</v>
      </c>
      <c r="CD5" s="62">
        <f ca="1">AVERAGE(OFFSET($CC$3,0,0,'Données projet'!$E$12+1,1))-AVERAGE(OFFSET($H$3,0,0,'Données projet'!$E$12+1,1))</f>
        <v>394.59880827600006</v>
      </c>
      <c r="CE5" s="62">
        <f t="shared" ref="CE5:CE68" si="40">$CE$3</f>
        <v>244.45149244446094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1.3010763219548607</v>
      </c>
      <c r="CV5" s="14">
        <f t="shared" ref="CV5:CV68" si="41">EXP(-1.0587+0.8836*LN(CU5)+0.284)</f>
        <v>0.58150036993889109</v>
      </c>
      <c r="CW5" s="22">
        <f t="shared" si="13"/>
        <v>3.2788210717149511</v>
      </c>
      <c r="CX5" s="62">
        <f t="shared" si="14"/>
        <v>262.3899321828261</v>
      </c>
      <c r="CY5" s="62">
        <f ca="1">AVERAGE(OFFSET($CX$3,0,0,'Données projet'!$E$13+1,1))-AVERAGE(OFFSET($H$3,0,0,'Données projet'!$E$13+1,1))</f>
        <v>293.90975929253631</v>
      </c>
      <c r="CZ5" s="62">
        <f t="shared" ref="CZ5:CZ68" si="42">$CZ$3</f>
        <v>288.30197520356643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1.2755650215243732</v>
      </c>
      <c r="DQ5" s="14">
        <f t="shared" ref="DQ5:DQ68" si="43">EXP(-1.0587+0.8836*LN(DP5)+0.284)</f>
        <v>0.57141400910743001</v>
      </c>
      <c r="DR5" s="22">
        <f t="shared" si="16"/>
        <v>3.2168218116837237</v>
      </c>
      <c r="DS5" s="62">
        <f t="shared" si="17"/>
        <v>262.32793292279484</v>
      </c>
      <c r="DT5" s="62">
        <f ca="1">AVERAGE(OFFSET($DS$3,0,0,'Données projet'!$E$14+1,1))-AVERAGE(OFFSET($H$3,0,0,'Données projet'!$E$14+1,1))</f>
        <v>288.82868507674738</v>
      </c>
      <c r="DU5" s="62">
        <f t="shared" ref="DU5:DU68" si="44">$DU$3</f>
        <v>283.48738729114024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6.8</v>
      </c>
      <c r="EJ5" s="13">
        <f>IF('Données projet'!$A$192&gt;35,EJ4+EI5-ER4,IF(A5&lt;'Données projet'!$A$192,$EG$205^A5,IF(A5='Données projet'!$A$192,'Données projet'!$B$192,EJ4+EI5-ER4)))</f>
        <v>4.0981850699807945</v>
      </c>
      <c r="EK5" s="18">
        <f>EJ5*VLOOKUP('Données projet'!$B$15,Paramètres!$A$1:$I$89,3,0)*VLOOKUP('Données projet'!$B$15,Paramètres!$A$1:$I$89,5,0)</f>
        <v>3.7080378513186227</v>
      </c>
      <c r="EL5" s="14">
        <f t="shared" ref="EL5:EL68" si="45">EXP(-1.0587+0.8836*LN(EK5)+0.284)</f>
        <v>1.4670598901857457</v>
      </c>
      <c r="EM5" s="22">
        <f t="shared" si="19"/>
        <v>9.0132952331201093</v>
      </c>
      <c r="EN5" s="62">
        <f t="shared" si="20"/>
        <v>268.12440634423126</v>
      </c>
      <c r="EO5" s="62">
        <f ca="1">AVERAGE(OFFSET($EN$3,0,0,'Données projet'!$E$15+1,1))-AVERAGE(OFFSET($H$3,0,0,'Données projet'!$E$15+1,1))</f>
        <v>366.86025470473652</v>
      </c>
      <c r="EP5" s="62">
        <f t="shared" ref="EP5:EP68" si="46">$EP$3</f>
        <v>513.80016421153414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264.10995832109523</v>
      </c>
      <c r="S6" s="62">
        <f ca="1">AVERAGE(OFFSET($R$3,0,0,'Données projet'!$E$9+1,1))-AVERAGE(OFFSET($H$3,0,0,'Données projet'!$E$9+1,1))</f>
        <v>371.7282125501186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1.4025880130990354</v>
      </c>
      <c r="AK6" s="14">
        <f t="shared" si="35"/>
        <v>0.62141183678843126</v>
      </c>
      <c r="AL6" s="22">
        <f t="shared" si="4"/>
        <v>3.5251330718873373</v>
      </c>
      <c r="AM6" s="62">
        <f t="shared" si="5"/>
        <v>263.85846640522067</v>
      </c>
      <c r="AN6" s="62">
        <f ca="1">AVERAGE(OFFSET($AM$3,0,0,'Données projet'!$E$10+1,1))-AVERAGE(OFFSET($H$3,0,0,'Données projet'!$E$10+1,1))</f>
        <v>348.82438445524105</v>
      </c>
      <c r="AO6" s="62">
        <f t="shared" si="36"/>
        <v>218.26721063098552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4.2272727272727275</v>
      </c>
      <c r="BD6" s="13">
        <f>IF('Données projet'!$A$88&gt;35,BD5+BC6-BL5,IF(A6&lt;'Données projet'!$A$88,$BA$205^A6,IF(A6='Données projet'!$A$88,'Données projet'!$B$88,BD5+BC6-BL5)))</f>
        <v>1.8553655693449871</v>
      </c>
      <c r="BE6" s="14">
        <f>BD6*VLOOKUP('Données projet'!$B$11,Paramètres!$A$1:$I$89,3,0)*VLOOKUP('Données projet'!$B$11,Paramètres!$A$1:$I$89,5,0)</f>
        <v>1.0612691056653327</v>
      </c>
      <c r="BF6" s="14">
        <f t="shared" si="37"/>
        <v>0.48570379400210395</v>
      </c>
      <c r="BG6" s="22">
        <f t="shared" si="7"/>
        <v>2.6943111335874517</v>
      </c>
      <c r="BH6" s="62">
        <f t="shared" si="8"/>
        <v>263.02764446692078</v>
      </c>
      <c r="BI6" s="62">
        <f ca="1">AVERAGE(OFFSET($BH$3,0,0,'Données projet'!$E$11+1,1))-AVERAGE(OFFSET($H$3,0,0,'Données projet'!$E$11+1,1))</f>
        <v>309.71642374647882</v>
      </c>
      <c r="BJ6" s="62">
        <f t="shared" si="38"/>
        <v>266.63880397664315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</v>
      </c>
      <c r="BY6" s="13">
        <f>IF('Données projet'!$A$114&gt;35,BY5+BX6-CG5,IF(A6&lt;'Données projet'!$A$114,$BV$205^A6,IF(A6='Données projet'!$A$114,'Données projet'!$B$114,BY5+BX6-CG5)))</f>
        <v>1.6649905188734988</v>
      </c>
      <c r="BZ6" s="14">
        <f>BY6*VLOOKUP('Données projet'!$B$12,Paramètres!$A$1:$I$89,3,0)*VLOOKUP('Données projet'!$B$12,Paramètres!$A$1:$I$89,5,0)</f>
        <v>1.6103788298544481</v>
      </c>
      <c r="CA6" s="14">
        <f t="shared" si="39"/>
        <v>0.70209146280888401</v>
      </c>
      <c r="CB6" s="22">
        <f t="shared" si="10"/>
        <v>4.0275524263886373</v>
      </c>
      <c r="CC6" s="62">
        <f t="shared" si="11"/>
        <v>264.36088575972195</v>
      </c>
      <c r="CD6" s="62">
        <f ca="1">AVERAGE(OFFSET($CC$3,0,0,'Données projet'!$E$12+1,1))-AVERAGE(OFFSET($H$3,0,0,'Données projet'!$E$12+1,1))</f>
        <v>394.59880827600006</v>
      </c>
      <c r="CE6" s="62">
        <f t="shared" si="40"/>
        <v>244.45149244446094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1.6638216560832335</v>
      </c>
      <c r="CV6" s="14">
        <f t="shared" si="41"/>
        <v>0.72264001999856631</v>
      </c>
      <c r="CW6" s="22">
        <f t="shared" si="13"/>
        <v>4.1564207525091357</v>
      </c>
      <c r="CX6" s="62">
        <f t="shared" si="14"/>
        <v>264.48975408584243</v>
      </c>
      <c r="CY6" s="62">
        <f ca="1">AVERAGE(OFFSET($CX$3,0,0,'Données projet'!$E$13+1,1))-AVERAGE(OFFSET($H$3,0,0,'Données projet'!$E$13+1,1))</f>
        <v>293.90975929253631</v>
      </c>
      <c r="CZ6" s="62">
        <f t="shared" si="42"/>
        <v>288.30197520356643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1.6311977020423858</v>
      </c>
      <c r="DQ6" s="14">
        <f t="shared" si="43"/>
        <v>0.71010553443370616</v>
      </c>
      <c r="DR6" s="22">
        <f t="shared" si="16"/>
        <v>4.0777698035291934</v>
      </c>
      <c r="DS6" s="62">
        <f t="shared" si="17"/>
        <v>264.41110313686249</v>
      </c>
      <c r="DT6" s="62">
        <f ca="1">AVERAGE(OFFSET($DS$3,0,0,'Données projet'!$E$14+1,1))-AVERAGE(OFFSET($H$3,0,0,'Données projet'!$E$14+1,1))</f>
        <v>288.82868507674738</v>
      </c>
      <c r="DU6" s="62">
        <f t="shared" si="44"/>
        <v>283.48738729114024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6.8</v>
      </c>
      <c r="EJ6" s="13">
        <f>IF('Données projet'!$A$192&gt;35,EJ5+EI6-ER5,IF(A6&lt;'Données projet'!$A$192,$EG$205^A6,IF(A6='Données projet'!$A$192,'Données projet'!$B$192,EJ5+EI6-ER5)))</f>
        <v>8.2963554401312951</v>
      </c>
      <c r="EK6" s="18">
        <f>EJ6*VLOOKUP('Données projet'!$B$15,Paramètres!$A$1:$I$89,3,0)*VLOOKUP('Données projet'!$B$15,Paramètres!$A$1:$I$89,5,0)</f>
        <v>7.5065424022307949</v>
      </c>
      <c r="EL6" s="14">
        <f t="shared" si="45"/>
        <v>2.7358406474604431</v>
      </c>
      <c r="EM6" s="22">
        <f t="shared" si="19"/>
        <v>17.838817144878906</v>
      </c>
      <c r="EN6" s="62">
        <f t="shared" si="20"/>
        <v>278.17215047821225</v>
      </c>
      <c r="EO6" s="62">
        <f ca="1">AVERAGE(OFFSET($EN$3,0,0,'Données projet'!$E$15+1,1))-AVERAGE(OFFSET($H$3,0,0,'Données projet'!$E$15+1,1))</f>
        <v>366.86025470473652</v>
      </c>
      <c r="EP6" s="62">
        <f t="shared" si="46"/>
        <v>513.80016421153414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266.00497533148734</v>
      </c>
      <c r="S7" s="62">
        <f ca="1">AVERAGE(OFFSET($R$3,0,0,'Données projet'!$E$9+1,1))-AVERAGE(OFFSET($H$3,0,0,'Données projet'!$E$9+1,1))</f>
        <v>371.7282125501186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1.6623943132762959</v>
      </c>
      <c r="AK7" s="14">
        <f t="shared" si="35"/>
        <v>0.72209222139056795</v>
      </c>
      <c r="AL7" s="22">
        <f t="shared" si="4"/>
        <v>4.1529807145447881</v>
      </c>
      <c r="AM7" s="62">
        <f t="shared" si="5"/>
        <v>265.70853627010035</v>
      </c>
      <c r="AN7" s="62">
        <f ca="1">AVERAGE(OFFSET($AM$3,0,0,'Données projet'!$E$10+1,1))-AVERAGE(OFFSET($H$3,0,0,'Données projet'!$E$10+1,1))</f>
        <v>348.82438445524105</v>
      </c>
      <c r="AO7" s="62">
        <f t="shared" si="36"/>
        <v>218.26721063098552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4.2272727272727275</v>
      </c>
      <c r="BD7" s="13">
        <f>IF('Données projet'!$A$88&gt;35,BD6+BC7-BL6,IF(A7&lt;'Données projet'!$A$88,$BA$205^A7,IF(A7='Données projet'!$A$88,'Données projet'!$B$88,BD6+BC7-BL6)))</f>
        <v>2.2798485122312346</v>
      </c>
      <c r="BE7" s="14">
        <f>BD7*VLOOKUP('Données projet'!$B$11,Paramètres!$A$1:$I$89,3,0)*VLOOKUP('Données projet'!$B$11,Paramètres!$A$1:$I$89,5,0)</f>
        <v>1.3040733489962664</v>
      </c>
      <c r="BF7" s="14">
        <f t="shared" si="37"/>
        <v>0.58268378042612079</v>
      </c>
      <c r="BG7" s="22">
        <f t="shared" si="7"/>
        <v>3.2861020004106578</v>
      </c>
      <c r="BH7" s="62">
        <f t="shared" si="8"/>
        <v>264.84165755596621</v>
      </c>
      <c r="BI7" s="62">
        <f ca="1">AVERAGE(OFFSET($BH$3,0,0,'Données projet'!$E$11+1,1))-AVERAGE(OFFSET($H$3,0,0,'Données projet'!$E$11+1,1))</f>
        <v>309.71642374647882</v>
      </c>
      <c r="BJ7" s="62">
        <f t="shared" si="38"/>
        <v>266.63880397664315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</v>
      </c>
      <c r="BY7" s="13">
        <f>IF('Données projet'!$A$114&gt;35,BY6+BX7-CG6,IF(A7&lt;'Données projet'!$A$114,$BV$205^A7,IF(A7='Données projet'!$A$114,'Données projet'!$B$114,BY6+BX7-CG6)))</f>
        <v>1.9734025561209587</v>
      </c>
      <c r="BZ7" s="14">
        <f>BY7*VLOOKUP('Données projet'!$B$12,Paramètres!$A$1:$I$89,3,0)*VLOOKUP('Données projet'!$B$12,Paramètres!$A$1:$I$89,5,0)</f>
        <v>1.9086749522801914</v>
      </c>
      <c r="CA7" s="14">
        <f t="shared" si="39"/>
        <v>0.8158434615908795</v>
      </c>
      <c r="CB7" s="22">
        <f t="shared" si="10"/>
        <v>4.7452029041587815</v>
      </c>
      <c r="CC7" s="62">
        <f t="shared" si="11"/>
        <v>266.3007584597143</v>
      </c>
      <c r="CD7" s="62">
        <f ca="1">AVERAGE(OFFSET($CC$3,0,0,'Données projet'!$E$12+1,1))-AVERAGE(OFFSET($H$3,0,0,'Données projet'!$E$12+1,1))</f>
        <v>394.59880827600006</v>
      </c>
      <c r="CE7" s="62">
        <f t="shared" si="40"/>
        <v>244.45149244446094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2.1277018546400055</v>
      </c>
      <c r="CV7" s="14">
        <f t="shared" si="41"/>
        <v>0.89803657142712812</v>
      </c>
      <c r="CW7" s="22">
        <f t="shared" si="13"/>
        <v>5.26982775873359</v>
      </c>
      <c r="CX7" s="62">
        <f t="shared" si="14"/>
        <v>266.82538331428913</v>
      </c>
      <c r="CY7" s="62">
        <f ca="1">AVERAGE(OFFSET($CX$3,0,0,'Données projet'!$E$13+1,1))-AVERAGE(OFFSET($H$3,0,0,'Données projet'!$E$13+1,1))</f>
        <v>293.90975929253631</v>
      </c>
      <c r="CZ7" s="62">
        <f t="shared" si="42"/>
        <v>288.30197520356643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2.0859822104313781</v>
      </c>
      <c r="DQ7" s="14">
        <f t="shared" si="43"/>
        <v>0.88245976121767966</v>
      </c>
      <c r="DR7" s="22">
        <f t="shared" si="16"/>
        <v>5.1700364339554419</v>
      </c>
      <c r="DS7" s="62">
        <f t="shared" si="17"/>
        <v>266.72559198951097</v>
      </c>
      <c r="DT7" s="62">
        <f ca="1">AVERAGE(OFFSET($DS$3,0,0,'Données projet'!$E$14+1,1))-AVERAGE(OFFSET($H$3,0,0,'Données projet'!$E$14+1,1))</f>
        <v>288.82868507674738</v>
      </c>
      <c r="DU7" s="62">
        <f t="shared" si="44"/>
        <v>283.48738729114024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6.8</v>
      </c>
      <c r="EJ7" s="13">
        <f>IF('Données projet'!$A$192&gt;35,EJ6+EI7-ER6,IF(A7&lt;'Données projet'!$A$192,$EG$205^A7,IF(A7='Données projet'!$A$192,'Données projet'!$B$192,EJ6+EI7-ER6)))</f>
        <v>16.795120867813488</v>
      </c>
      <c r="EK7" s="18">
        <f>EJ7*VLOOKUP('Données projet'!$B$15,Paramètres!$A$1:$I$89,3,0)*VLOOKUP('Données projet'!$B$15,Paramètres!$A$1:$I$89,5,0)</f>
        <v>15.196225361197643</v>
      </c>
      <c r="EL7" s="14">
        <f t="shared" si="45"/>
        <v>5.1019212633160578</v>
      </c>
      <c r="EM7" s="22">
        <f t="shared" si="19"/>
        <v>35.352605371028027</v>
      </c>
      <c r="EN7" s="62">
        <f t="shared" si="20"/>
        <v>296.90816092658355</v>
      </c>
      <c r="EO7" s="62">
        <f ca="1">AVERAGE(OFFSET($EN$3,0,0,'Données projet'!$E$15+1,1))-AVERAGE(OFFSET($H$3,0,0,'Données projet'!$E$15+1,1))</f>
        <v>366.86025470473652</v>
      </c>
      <c r="EP7" s="62">
        <f t="shared" si="46"/>
        <v>513.80016421153414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268.02028041979435</v>
      </c>
      <c r="S8" s="62">
        <f ca="1">AVERAGE(OFFSET($R$3,0,0,'Données projet'!$E$9+1,1))-AVERAGE(OFFSET($H$3,0,0,'Données projet'!$E$9+1,1))</f>
        <v>371.7282125501186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1.9703254462493647</v>
      </c>
      <c r="AK8" s="14">
        <f t="shared" si="35"/>
        <v>0.83908471857817046</v>
      </c>
      <c r="AL8" s="22">
        <f t="shared" si="4"/>
        <v>4.893056037074623</v>
      </c>
      <c r="AM8" s="62">
        <f t="shared" si="5"/>
        <v>267.67083381485241</v>
      </c>
      <c r="AN8" s="62">
        <f ca="1">AVERAGE(OFFSET($AM$3,0,0,'Données projet'!$E$10+1,1))-AVERAGE(OFFSET($H$3,0,0,'Données projet'!$E$10+1,1))</f>
        <v>348.82438445524105</v>
      </c>
      <c r="AO8" s="62">
        <f t="shared" si="36"/>
        <v>218.26721063098552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4.2272727272727275</v>
      </c>
      <c r="BD8" s="13">
        <f>IF('Données projet'!$A$88&gt;35,BD7+BC8-BL7,IF(A8&lt;'Données projet'!$A$88,$BA$205^A8,IF(A8='Données projet'!$A$88,'Données projet'!$B$88,BD7+BC8-BL7)))</f>
        <v>2.8014475015605464</v>
      </c>
      <c r="BE8" s="14">
        <f>BD8*VLOOKUP('Données projet'!$B$11,Paramètres!$A$1:$I$89,3,0)*VLOOKUP('Données projet'!$B$11,Paramètres!$A$1:$I$89,5,0)</f>
        <v>1.6024279708926326</v>
      </c>
      <c r="BF8" s="14">
        <f t="shared" si="37"/>
        <v>0.6990276628767802</v>
      </c>
      <c r="BG8" s="22">
        <f t="shared" si="7"/>
        <v>4.0083685621483935</v>
      </c>
      <c r="BH8" s="62">
        <f t="shared" si="8"/>
        <v>266.78614633992618</v>
      </c>
      <c r="BI8" s="62">
        <f ca="1">AVERAGE(OFFSET($BH$3,0,0,'Données projet'!$E$11+1,1))-AVERAGE(OFFSET($H$3,0,0,'Données projet'!$E$11+1,1))</f>
        <v>309.71642374647882</v>
      </c>
      <c r="BJ8" s="62">
        <f t="shared" si="38"/>
        <v>266.63880397664315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</v>
      </c>
      <c r="BY8" s="13">
        <f>IF('Données projet'!$A$114&gt;35,BY7+BX8-CG7,IF(A8&lt;'Données projet'!$A$114,$BV$205^A8,IF(A8='Données projet'!$A$114,'Données projet'!$B$114,BY7+BX8-CG7)))</f>
        <v>2.3389428374280206</v>
      </c>
      <c r="BZ8" s="14">
        <f>BY8*VLOOKUP('Données projet'!$B$12,Paramètres!$A$1:$I$89,3,0)*VLOOKUP('Données projet'!$B$12,Paramètres!$A$1:$I$89,5,0)</f>
        <v>2.2622255123603816</v>
      </c>
      <c r="CA8" s="14">
        <f t="shared" si="39"/>
        <v>0.94802541987577404</v>
      </c>
      <c r="CB8" s="22">
        <f t="shared" si="10"/>
        <v>5.5911870403113042</v>
      </c>
      <c r="CC8" s="62">
        <f t="shared" si="11"/>
        <v>268.36896481808907</v>
      </c>
      <c r="CD8" s="62">
        <f ca="1">AVERAGE(OFFSET($CC$3,0,0,'Données projet'!$E$12+1,1))-AVERAGE(OFFSET($H$3,0,0,'Données projet'!$E$12+1,1))</f>
        <v>394.59880827600006</v>
      </c>
      <c r="CE8" s="62">
        <f t="shared" si="40"/>
        <v>244.45149244446094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2.7209137263519594</v>
      </c>
      <c r="CV8" s="14">
        <f t="shared" si="41"/>
        <v>1.116004734448822</v>
      </c>
      <c r="CW8" s="22">
        <f t="shared" si="13"/>
        <v>6.6826329858946929</v>
      </c>
      <c r="CX8" s="62">
        <f t="shared" si="14"/>
        <v>269.46041076367248</v>
      </c>
      <c r="CY8" s="62">
        <f ca="1">AVERAGE(OFFSET($CX$3,0,0,'Données projet'!$E$13+1,1))-AVERAGE(OFFSET($H$3,0,0,'Données projet'!$E$13+1,1))</f>
        <v>293.90975929253631</v>
      </c>
      <c r="CZ8" s="62">
        <f t="shared" si="42"/>
        <v>288.30197520356643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2.6675624768156463</v>
      </c>
      <c r="DQ8" s="14">
        <f t="shared" si="43"/>
        <v>1.0966471776471767</v>
      </c>
      <c r="DR8" s="22">
        <f t="shared" si="16"/>
        <v>6.5559984815227494</v>
      </c>
      <c r="DS8" s="62">
        <f t="shared" si="17"/>
        <v>269.33377625930052</v>
      </c>
      <c r="DT8" s="62">
        <f ca="1">AVERAGE(OFFSET($DS$3,0,0,'Données projet'!$E$14+1,1))-AVERAGE(OFFSET($H$3,0,0,'Données projet'!$E$14+1,1))</f>
        <v>288.82868507674738</v>
      </c>
      <c r="DU8" s="62">
        <f t="shared" si="44"/>
        <v>283.48738729114024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>
        <f>VLOOKUP(A8,'Données projet'!$A$191:$I$211,2,0)</f>
        <v>34</v>
      </c>
      <c r="EH8" s="13">
        <f>VLOOKUP(A8,'Données projet'!$A$191:$I$211,9,0)</f>
        <v>6.8</v>
      </c>
      <c r="EI8" s="13">
        <f t="array" ref="EI8">INDEX(EH:EH,MIN(IF(ISNUMBER(EH8:EH204),ROW(EH8:EH204),"")))</f>
        <v>6.8</v>
      </c>
      <c r="EJ8" s="13">
        <f>IF('Données projet'!$A$192&gt;35,EJ7+EI8-ER7,IF(A8&lt;'Données projet'!$A$192,$EG$205^A8,IF(A8='Données projet'!$A$192,'Données projet'!$B$192,EJ7+EI8-ER7)))</f>
        <v>34</v>
      </c>
      <c r="EK8" s="18">
        <f>EJ8*VLOOKUP('Données projet'!$B$15,Paramètres!$A$1:$I$89,3,0)*VLOOKUP('Données projet'!$B$15,Paramètres!$A$1:$I$89,5,0)</f>
        <v>30.763199999999998</v>
      </c>
      <c r="EL8" s="14">
        <f t="shared" si="45"/>
        <v>9.5142970411082253</v>
      </c>
      <c r="EM8" s="22">
        <f t="shared" si="19"/>
        <v>70.149974013263474</v>
      </c>
      <c r="EN8" s="62">
        <f t="shared" si="20"/>
        <v>332.92775179104126</v>
      </c>
      <c r="EO8" s="62">
        <f ca="1">AVERAGE(OFFSET($EN$3,0,0,'Données projet'!$E$15+1,1))-AVERAGE(OFFSET($H$3,0,0,'Données projet'!$E$15+1,1))</f>
        <v>366.86025470473652</v>
      </c>
      <c r="EP8" s="62">
        <f t="shared" si="46"/>
        <v>513.80016421153414</v>
      </c>
      <c r="EQ8" s="16">
        <f>IF(ISNA(VLOOKUP(A8,'Données projet'!$A$191:$I$211,3,0)),0,VLOOKUP(A8,'Données projet'!$A$191:$I$211,3,0))</f>
        <v>1</v>
      </c>
      <c r="ER8" s="16">
        <f>IF(ISNA(VLOOKUP(A8,'Données projet'!$A$191:$I$211,4,0)),0,VLOOKUP(A8,'Données projet'!$A$191:$I$211,4,0))</f>
        <v>6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270.17745244540737</v>
      </c>
      <c r="S9" s="62">
        <f ca="1">AVERAGE(OFFSET($R$3,0,0,'Données projet'!$E$9+1,1))-AVERAGE(OFFSET($H$3,0,0,'Données projet'!$E$9+1,1))</f>
        <v>371.7282125501186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2.3352957436955131</v>
      </c>
      <c r="AK9" s="14">
        <f t="shared" si="35"/>
        <v>0.97503219685092191</v>
      </c>
      <c r="AL9" s="22">
        <f t="shared" si="4"/>
        <v>5.7654878297850409</v>
      </c>
      <c r="AM9" s="62">
        <f t="shared" si="5"/>
        <v>269.76548782978506</v>
      </c>
      <c r="AN9" s="62">
        <f ca="1">AVERAGE(OFFSET($AM$3,0,0,'Données projet'!$E$10+1,1))-AVERAGE(OFFSET($H$3,0,0,'Données projet'!$E$10+1,1))</f>
        <v>348.82438445524105</v>
      </c>
      <c r="AO9" s="62">
        <f t="shared" si="36"/>
        <v>218.26721063098552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4.2272727272727275</v>
      </c>
      <c r="BD9" s="13">
        <f>IF('Données projet'!$A$88&gt;35,BD8+BC9-BL8,IF(A9&lt;'Données projet'!$A$88,$BA$205^A9,IF(A9='Données projet'!$A$88,'Données projet'!$B$88,BD8+BC9-BL8)))</f>
        <v>3.4423813959108478</v>
      </c>
      <c r="BE9" s="14">
        <f>BD9*VLOOKUP('Données projet'!$B$11,Paramètres!$A$1:$I$89,3,0)*VLOOKUP('Données projet'!$B$11,Paramètres!$A$1:$I$89,5,0)</f>
        <v>1.9690421584610052</v>
      </c>
      <c r="BF9" s="14">
        <f t="shared" si="37"/>
        <v>0.8386018109335871</v>
      </c>
      <c r="BG9" s="22">
        <f t="shared" si="7"/>
        <v>4.8899799133622475</v>
      </c>
      <c r="BH9" s="62">
        <f t="shared" si="8"/>
        <v>268.88997991336225</v>
      </c>
      <c r="BI9" s="62">
        <f ca="1">AVERAGE(OFFSET($BH$3,0,0,'Données projet'!$E$11+1,1))-AVERAGE(OFFSET($H$3,0,0,'Données projet'!$E$11+1,1))</f>
        <v>309.71642374647882</v>
      </c>
      <c r="BJ9" s="62">
        <f t="shared" si="38"/>
        <v>266.63880397664315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</v>
      </c>
      <c r="BY9" s="13">
        <f>IF('Données projet'!$A$114&gt;35,BY8+BX9-CG8,IF(A9&lt;'Données projet'!$A$114,$BV$205^A9,IF(A9='Données projet'!$A$114,'Données projet'!$B$114,BY8+BX9-CG8)))</f>
        <v>2.7721934279386429</v>
      </c>
      <c r="BZ9" s="14">
        <f>BY9*VLOOKUP('Données projet'!$B$12,Paramètres!$A$1:$I$89,3,0)*VLOOKUP('Données projet'!$B$12,Paramètres!$A$1:$I$89,5,0)</f>
        <v>2.6812654835022554</v>
      </c>
      <c r="CA9" s="14">
        <f t="shared" si="39"/>
        <v>1.1016233371265707</v>
      </c>
      <c r="CB9" s="22">
        <f t="shared" si="10"/>
        <v>6.5885313625952051</v>
      </c>
      <c r="CC9" s="62">
        <f t="shared" si="11"/>
        <v>270.58853136259518</v>
      </c>
      <c r="CD9" s="62">
        <f ca="1">AVERAGE(OFFSET($CC$3,0,0,'Données projet'!$E$12+1,1))-AVERAGE(OFFSET($H$3,0,0,'Données projet'!$E$12+1,1))</f>
        <v>394.59880827600006</v>
      </c>
      <c r="CE9" s="62">
        <f t="shared" si="40"/>
        <v>244.45149244446094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3.4795154641170867</v>
      </c>
      <c r="CV9" s="14">
        <f t="shared" si="41"/>
        <v>1.386877335444072</v>
      </c>
      <c r="CW9" s="22">
        <f t="shared" si="13"/>
        <v>8.4756341259023511</v>
      </c>
      <c r="CX9" s="62">
        <f t="shared" si="14"/>
        <v>272.47563412590233</v>
      </c>
      <c r="CY9" s="62">
        <f ca="1">AVERAGE(OFFSET($CX$3,0,0,'Données projet'!$E$13+1,1))-AVERAGE(OFFSET($H$3,0,0,'Données projet'!$E$13+1,1))</f>
        <v>293.90975929253631</v>
      </c>
      <c r="CZ9" s="62">
        <f t="shared" si="42"/>
        <v>288.30197520356643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3.4112896707030256</v>
      </c>
      <c r="DQ9" s="14">
        <f t="shared" si="43"/>
        <v>1.3628213830192535</v>
      </c>
      <c r="DR9" s="22">
        <f t="shared" si="16"/>
        <v>8.3149100852329703</v>
      </c>
      <c r="DS9" s="62">
        <f t="shared" si="17"/>
        <v>272.31491008523295</v>
      </c>
      <c r="DT9" s="62">
        <f ca="1">AVERAGE(OFFSET($DS$3,0,0,'Données projet'!$E$14+1,1))-AVERAGE(OFFSET($H$3,0,0,'Données projet'!$E$14+1,1))</f>
        <v>288.82868507674738</v>
      </c>
      <c r="DU9" s="62">
        <f t="shared" si="44"/>
        <v>283.48738729114024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14.2</v>
      </c>
      <c r="EJ9" s="13">
        <f>IF('Données projet'!$A$192&gt;35,EJ8+EI9-ER8,IF(A9&lt;'Données projet'!$A$192,$EG$205^A9,IF(A9='Données projet'!$A$192,'Données projet'!$B$192,EJ8+EI9-ER8)))</f>
        <v>42.2</v>
      </c>
      <c r="EK9" s="18">
        <f>EJ9*VLOOKUP('Données projet'!$B$15,Paramètres!$A$1:$I$89,3,0)*VLOOKUP('Données projet'!$B$15,Paramètres!$A$1:$I$89,5,0)</f>
        <v>38.182560000000002</v>
      </c>
      <c r="EL9" s="14">
        <f t="shared" si="45"/>
        <v>11.515638334288104</v>
      </c>
      <c r="EM9" s="22">
        <f t="shared" si="19"/>
        <v>86.557695432218452</v>
      </c>
      <c r="EN9" s="62">
        <f t="shared" si="20"/>
        <v>350.55769543221845</v>
      </c>
      <c r="EO9" s="62">
        <f ca="1">AVERAGE(OFFSET($EN$3,0,0,'Données projet'!$E$15+1,1))-AVERAGE(OFFSET($H$3,0,0,'Données projet'!$E$15+1,1))</f>
        <v>366.86025470473652</v>
      </c>
      <c r="EP9" s="62">
        <f t="shared" si="46"/>
        <v>513.80016421153414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272.50195357358808</v>
      </c>
      <c r="S10" s="62">
        <f ca="1">AVERAGE(OFFSET($R$3,0,0,'Données projet'!$E$9+1,1))-AVERAGE(OFFSET($H$3,0,0,'Données projet'!$E$9+1,1))</f>
        <v>371.7282125501186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2.7678707702342535</v>
      </c>
      <c r="AK10" s="14">
        <f t="shared" si="35"/>
        <v>1.133005719025459</v>
      </c>
      <c r="AL10" s="22">
        <f t="shared" si="4"/>
        <v>6.794026552127332</v>
      </c>
      <c r="AM10" s="62">
        <f t="shared" si="5"/>
        <v>272.01624877434955</v>
      </c>
      <c r="AN10" s="62">
        <f ca="1">AVERAGE(OFFSET($AM$3,0,0,'Données projet'!$E$10+1,1))-AVERAGE(OFFSET($H$3,0,0,'Données projet'!$E$10+1,1))</f>
        <v>348.82438445524105</v>
      </c>
      <c r="AO10" s="62">
        <f t="shared" si="36"/>
        <v>218.26721063098552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4.2272727272727275</v>
      </c>
      <c r="BD10" s="13">
        <f>IF('Données projet'!$A$88&gt;35,BD9+BC10-BL9,IF(A10&lt;'Données projet'!$A$88,$BA$205^A10,IF(A10='Données projet'!$A$88,'Données projet'!$B$88,BD9+BC10-BL9)))</f>
        <v>4.2299524329162264</v>
      </c>
      <c r="BE10" s="14">
        <f>BD10*VLOOKUP('Données projet'!$B$11,Paramètres!$A$1:$I$89,3,0)*VLOOKUP('Données projet'!$B$11,Paramètres!$A$1:$I$89,5,0)</f>
        <v>2.4195327916280815</v>
      </c>
      <c r="BF10" s="14">
        <f t="shared" si="37"/>
        <v>1.0060445882884268</v>
      </c>
      <c r="BG10" s="22">
        <f t="shared" si="7"/>
        <v>5.966213936687919</v>
      </c>
      <c r="BH10" s="62">
        <f t="shared" si="8"/>
        <v>271.18843615891012</v>
      </c>
      <c r="BI10" s="62">
        <f ca="1">AVERAGE(OFFSET($BH$3,0,0,'Données projet'!$E$11+1,1))-AVERAGE(OFFSET($H$3,0,0,'Données projet'!$E$11+1,1))</f>
        <v>309.71642374647882</v>
      </c>
      <c r="BJ10" s="62">
        <f t="shared" si="38"/>
        <v>266.63880397664315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</v>
      </c>
      <c r="BY10" s="13">
        <f>IF('Données projet'!$A$114&gt;35,BY9+BX10-CG9,IF(A10&lt;'Données projet'!$A$114,$BV$205^A10,IF(A10='Données projet'!$A$114,'Données projet'!$B$114,BY9+BX10-CG9)))</f>
        <v>3.2856965458621241</v>
      </c>
      <c r="BZ10" s="14">
        <f>BY10*VLOOKUP('Données projet'!$B$12,Paramètres!$A$1:$I$89,3,0)*VLOOKUP('Données projet'!$B$12,Paramètres!$A$1:$I$89,5,0)</f>
        <v>3.1779256991578464</v>
      </c>
      <c r="CA10" s="14">
        <f t="shared" si="39"/>
        <v>1.2801070007815871</v>
      </c>
      <c r="CB10" s="22">
        <f t="shared" si="10"/>
        <v>7.7644069523945136</v>
      </c>
      <c r="CC10" s="62">
        <f t="shared" si="11"/>
        <v>272.98662917461672</v>
      </c>
      <c r="CD10" s="62">
        <f ca="1">AVERAGE(OFFSET($CC$3,0,0,'Données projet'!$E$12+1,1))-AVERAGE(OFFSET($H$3,0,0,'Données projet'!$E$12+1,1))</f>
        <v>394.59880827600006</v>
      </c>
      <c r="CE10" s="62">
        <f t="shared" si="40"/>
        <v>244.45149244446094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4.4496184306667947</v>
      </c>
      <c r="CV10" s="14">
        <f t="shared" si="41"/>
        <v>1.7234951467463102</v>
      </c>
      <c r="CW10" s="22">
        <f t="shared" si="13"/>
        <v>10.751506147327824</v>
      </c>
      <c r="CX10" s="62">
        <f t="shared" si="14"/>
        <v>275.97372836955003</v>
      </c>
      <c r="CY10" s="62">
        <f ca="1">AVERAGE(OFFSET($CX$3,0,0,'Données projet'!$E$13+1,1))-AVERAGE(OFFSET($H$3,0,0,'Données projet'!$E$13+1,1))</f>
        <v>293.90975929253631</v>
      </c>
      <c r="CZ10" s="62">
        <f t="shared" si="42"/>
        <v>288.30197520356643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4.3623710104576414</v>
      </c>
      <c r="DQ10" s="14">
        <f t="shared" si="43"/>
        <v>1.6936004212396314</v>
      </c>
      <c r="DR10" s="22">
        <f t="shared" si="16"/>
        <v>10.54748357687275</v>
      </c>
      <c r="DS10" s="62">
        <f t="shared" si="17"/>
        <v>275.76970579909499</v>
      </c>
      <c r="DT10" s="62">
        <f ca="1">AVERAGE(OFFSET($DS$3,0,0,'Données projet'!$E$14+1,1))-AVERAGE(OFFSET($H$3,0,0,'Données projet'!$E$14+1,1))</f>
        <v>288.82868507674738</v>
      </c>
      <c r="DU10" s="62">
        <f t="shared" si="44"/>
        <v>283.48738729114024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14.2</v>
      </c>
      <c r="EJ10" s="13">
        <f>IF('Données projet'!$A$192&gt;35,EJ9+EI10-ER9,IF(A10&lt;'Données projet'!$A$192,$EG$205^A10,IF(A10='Données projet'!$A$192,'Données projet'!$B$192,EJ9+EI10-ER9)))</f>
        <v>56.400000000000006</v>
      </c>
      <c r="EK10" s="18">
        <f>EJ10*VLOOKUP('Données projet'!$B$15,Paramètres!$A$1:$I$89,3,0)*VLOOKUP('Données projet'!$B$15,Paramètres!$A$1:$I$89,5,0)</f>
        <v>51.030720000000009</v>
      </c>
      <c r="EL10" s="14">
        <f t="shared" si="45"/>
        <v>14.879630660597618</v>
      </c>
      <c r="EM10" s="22">
        <f t="shared" si="19"/>
        <v>114.79386073387418</v>
      </c>
      <c r="EN10" s="62">
        <f t="shared" si="20"/>
        <v>380.0160829560964</v>
      </c>
      <c r="EO10" s="62">
        <f ca="1">AVERAGE(OFFSET($EN$3,0,0,'Données projet'!$E$15+1,1))-AVERAGE(OFFSET($H$3,0,0,'Données projet'!$E$15+1,1))</f>
        <v>366.86025470473652</v>
      </c>
      <c r="EP10" s="62">
        <f t="shared" si="46"/>
        <v>513.80016421153414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275.02383015254469</v>
      </c>
      <c r="S11" s="62">
        <f ca="1">AVERAGE(OFFSET($R$3,0,0,'Données projet'!$E$9+1,1))-AVERAGE(OFFSET($H$3,0,0,'Données projet'!$E$9+1,1))</f>
        <v>371.7282125501186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3.280573187100388</v>
      </c>
      <c r="AK11" s="14">
        <f t="shared" si="35"/>
        <v>1.3165739177540918</v>
      </c>
      <c r="AL11" s="22">
        <f t="shared" si="4"/>
        <v>8.0066978742882196</v>
      </c>
      <c r="AM11" s="62">
        <f t="shared" si="5"/>
        <v>274.45114231873265</v>
      </c>
      <c r="AN11" s="62">
        <f ca="1">AVERAGE(OFFSET($AM$3,0,0,'Données projet'!$E$10+1,1))-AVERAGE(OFFSET($H$3,0,0,'Données projet'!$E$10+1,1))</f>
        <v>348.82438445524105</v>
      </c>
      <c r="AO11" s="62">
        <f t="shared" si="36"/>
        <v>218.26721063098552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4.2272727272727275</v>
      </c>
      <c r="BD11" s="13">
        <f>IF('Données projet'!$A$88&gt;35,BD10+BC11-BL10,IF(A11&lt;'Données projet'!$A$88,$BA$205^A11,IF(A11='Données projet'!$A$88,'Données projet'!$B$88,BD10+BC11-BL10)))</f>
        <v>5.1977092387229744</v>
      </c>
      <c r="BE11" s="14">
        <f>BD11*VLOOKUP('Données projet'!$B$11,Paramètres!$A$1:$I$89,3,0)*VLOOKUP('Données projet'!$B$11,Paramètres!$A$1:$I$89,5,0)</f>
        <v>2.9730896845495414</v>
      </c>
      <c r="BF11" s="14">
        <f t="shared" si="37"/>
        <v>1.206920496030965</v>
      </c>
      <c r="BG11" s="22">
        <f t="shared" si="7"/>
        <v>7.2801843978443808</v>
      </c>
      <c r="BH11" s="62">
        <f t="shared" si="8"/>
        <v>273.72462884228884</v>
      </c>
      <c r="BI11" s="62">
        <f ca="1">AVERAGE(OFFSET($BH$3,0,0,'Données projet'!$E$11+1,1))-AVERAGE(OFFSET($H$3,0,0,'Données projet'!$E$11+1,1))</f>
        <v>309.71642374647882</v>
      </c>
      <c r="BJ11" s="62">
        <f t="shared" si="38"/>
        <v>266.63880397664315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</v>
      </c>
      <c r="BY11" s="13">
        <f>IF('Données projet'!$A$114&gt;35,BY10+BX11-CG10,IF(A11&lt;'Données projet'!$A$114,$BV$205^A11,IF(A11='Données projet'!$A$114,'Données projet'!$B$114,BY10+BX11-CG10)))</f>
        <v>3.8943176485047335</v>
      </c>
      <c r="BZ11" s="14">
        <f>BY11*VLOOKUP('Données projet'!$B$12,Paramètres!$A$1:$I$89,3,0)*VLOOKUP('Données projet'!$B$12,Paramètres!$A$1:$I$89,5,0)</f>
        <v>3.7665840296337785</v>
      </c>
      <c r="CA11" s="14">
        <f t="shared" si="39"/>
        <v>1.487508368989604</v>
      </c>
      <c r="CB11" s="22">
        <f t="shared" si="10"/>
        <v>9.1508775942690566</v>
      </c>
      <c r="CC11" s="62">
        <f t="shared" si="11"/>
        <v>275.5953220387135</v>
      </c>
      <c r="CD11" s="62">
        <f ca="1">AVERAGE(OFFSET($CC$3,0,0,'Données projet'!$E$12+1,1))-AVERAGE(OFFSET($H$3,0,0,'Données projet'!$E$12+1,1))</f>
        <v>394.59880827600006</v>
      </c>
      <c r="CE11" s="62">
        <f t="shared" si="40"/>
        <v>244.45149244446094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5.6901900229242317</v>
      </c>
      <c r="CV11" s="14">
        <f t="shared" si="41"/>
        <v>2.1418156061415221</v>
      </c>
      <c r="CW11" s="22">
        <f t="shared" si="13"/>
        <v>13.640743137289521</v>
      </c>
      <c r="CX11" s="62">
        <f t="shared" si="14"/>
        <v>280.08518758173398</v>
      </c>
      <c r="CY11" s="62">
        <f ca="1">AVERAGE(OFFSET($CX$3,0,0,'Données projet'!$E$13+1,1))-AVERAGE(OFFSET($H$3,0,0,'Données projet'!$E$13+1,1))</f>
        <v>293.90975929253631</v>
      </c>
      <c r="CZ11" s="62">
        <f t="shared" si="42"/>
        <v>288.30197520356643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5.5786176695335605</v>
      </c>
      <c r="DQ11" s="14">
        <f t="shared" si="43"/>
        <v>2.1046649418345189</v>
      </c>
      <c r="DR11" s="22">
        <f t="shared" si="16"/>
        <v>13.381717214799407</v>
      </c>
      <c r="DS11" s="62">
        <f t="shared" si="17"/>
        <v>279.82616165924384</v>
      </c>
      <c r="DT11" s="62">
        <f ca="1">AVERAGE(OFFSET($DS$3,0,0,'Données projet'!$E$14+1,1))-AVERAGE(OFFSET($H$3,0,0,'Données projet'!$E$14+1,1))</f>
        <v>288.82868507674738</v>
      </c>
      <c r="DU11" s="62">
        <f t="shared" si="44"/>
        <v>283.48738729114024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14.2</v>
      </c>
      <c r="EJ11" s="13">
        <f>IF('Données projet'!$A$192&gt;35,EJ10+EI11-ER10,IF(A11&lt;'Données projet'!$A$192,$EG$205^A11,IF(A11='Données projet'!$A$192,'Données projet'!$B$192,EJ10+EI11-ER10)))</f>
        <v>70.600000000000009</v>
      </c>
      <c r="EK11" s="18">
        <f>EJ11*VLOOKUP('Données projet'!$B$15,Paramètres!$A$1:$I$89,3,0)*VLOOKUP('Données projet'!$B$15,Paramètres!$A$1:$I$89,5,0)</f>
        <v>63.878880000000002</v>
      </c>
      <c r="EL11" s="14">
        <f t="shared" si="45"/>
        <v>18.145367520913332</v>
      </c>
      <c r="EM11" s="22">
        <f t="shared" si="19"/>
        <v>142.85889776559074</v>
      </c>
      <c r="EN11" s="62">
        <f t="shared" si="20"/>
        <v>409.30334221003523</v>
      </c>
      <c r="EO11" s="62">
        <f ca="1">AVERAGE(OFFSET($EN$3,0,0,'Données projet'!$E$15+1,1))-AVERAGE(OFFSET($H$3,0,0,'Données projet'!$E$15+1,1))</f>
        <v>366.86025470473652</v>
      </c>
      <c r="EP11" s="62">
        <f t="shared" si="46"/>
        <v>513.80016421153414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277.77854042859184</v>
      </c>
      <c r="S12" s="62">
        <f ca="1">AVERAGE(OFFSET($R$3,0,0,'Données projet'!$E$9+1,1))-AVERAGE(OFFSET($H$3,0,0,'Données projet'!$E$9+1,1))</f>
        <v>371.7282125501186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3.8882452720186649</v>
      </c>
      <c r="AK12" s="14">
        <f t="shared" si="35"/>
        <v>1.5298836111800851</v>
      </c>
      <c r="AL12" s="22">
        <f t="shared" si="4"/>
        <v>9.4365744715711575</v>
      </c>
      <c r="AM12" s="62">
        <f t="shared" si="5"/>
        <v>277.10324113823782</v>
      </c>
      <c r="AN12" s="62">
        <f ca="1">AVERAGE(OFFSET($AM$3,0,0,'Données projet'!$E$10+1,1))-AVERAGE(OFFSET($H$3,0,0,'Données projet'!$E$10+1,1))</f>
        <v>348.82438445524105</v>
      </c>
      <c r="AO12" s="62">
        <f t="shared" si="36"/>
        <v>218.26721063098552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4.2272727272727275</v>
      </c>
      <c r="BD12" s="13">
        <f>IF('Données projet'!$A$88&gt;35,BD11+BC12-BL11,IF(A12&lt;'Données projet'!$A$88,$BA$205^A12,IF(A12='Données projet'!$A$88,'Données projet'!$B$88,BD11+BC12-BL11)))</f>
        <v>6.3868759185267212</v>
      </c>
      <c r="BE12" s="14">
        <f>BD12*VLOOKUP('Données projet'!$B$11,Paramètres!$A$1:$I$89,3,0)*VLOOKUP('Données projet'!$B$11,Paramètres!$A$1:$I$89,5,0)</f>
        <v>3.6532930253972848</v>
      </c>
      <c r="BF12" s="14">
        <f t="shared" si="37"/>
        <v>1.4479050935682942</v>
      </c>
      <c r="BG12" s="22">
        <f t="shared" si="7"/>
        <v>8.8845867238650502</v>
      </c>
      <c r="BH12" s="62">
        <f t="shared" si="8"/>
        <v>276.55125339053171</v>
      </c>
      <c r="BI12" s="62">
        <f ca="1">AVERAGE(OFFSET($BH$3,0,0,'Données projet'!$E$11+1,1))-AVERAGE(OFFSET($H$3,0,0,'Données projet'!$E$11+1,1))</f>
        <v>309.71642374647882</v>
      </c>
      <c r="BJ12" s="62">
        <f t="shared" si="38"/>
        <v>266.63880397664315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</v>
      </c>
      <c r="BY12" s="13">
        <f>IF('Données projet'!$A$114&gt;35,BY11+BX12-CG11,IF(A12&lt;'Données projet'!$A$114,$BV$205^A12,IF(A12='Données projet'!$A$114,'Données projet'!$B$114,BY11+BX12-CG11)))</f>
        <v>4.6156757740012635</v>
      </c>
      <c r="BZ12" s="14">
        <f>BY12*VLOOKUP('Données projet'!$B$12,Paramètres!$A$1:$I$89,3,0)*VLOOKUP('Données projet'!$B$12,Paramètres!$A$1:$I$89,5,0)</f>
        <v>4.464281608614022</v>
      </c>
      <c r="CA12" s="14">
        <f t="shared" si="39"/>
        <v>1.7285126528197481</v>
      </c>
      <c r="CB12" s="22">
        <f t="shared" si="10"/>
        <v>10.785783338663817</v>
      </c>
      <c r="CC12" s="62">
        <f t="shared" si="11"/>
        <v>278.45245000533049</v>
      </c>
      <c r="CD12" s="62">
        <f ca="1">AVERAGE(OFFSET($CC$3,0,0,'Données projet'!$E$12+1,1))-AVERAGE(OFFSET($H$3,0,0,'Données projet'!$E$12+1,1))</f>
        <v>394.59880827600006</v>
      </c>
      <c r="CE12" s="62">
        <f t="shared" si="40"/>
        <v>244.45149244446094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7.2766379862676125</v>
      </c>
      <c r="CV12" s="14">
        <f t="shared" si="41"/>
        <v>2.6616692825457759</v>
      </c>
      <c r="CW12" s="22">
        <f t="shared" si="13"/>
        <v>17.30921849318332</v>
      </c>
      <c r="CX12" s="62">
        <f t="shared" si="14"/>
        <v>284.97588515985001</v>
      </c>
      <c r="CY12" s="62">
        <f ca="1">AVERAGE(OFFSET($CX$3,0,0,'Données projet'!$E$13+1,1))-AVERAGE(OFFSET($H$3,0,0,'Données projet'!$E$13+1,1))</f>
        <v>293.90975929253631</v>
      </c>
      <c r="CZ12" s="62">
        <f t="shared" si="42"/>
        <v>288.30197520356643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7.1339588100662858</v>
      </c>
      <c r="DQ12" s="14">
        <f t="shared" si="43"/>
        <v>2.6155015444227643</v>
      </c>
      <c r="DR12" s="22">
        <f t="shared" si="16"/>
        <v>16.980310117401761</v>
      </c>
      <c r="DS12" s="62">
        <f t="shared" si="17"/>
        <v>284.64697678406844</v>
      </c>
      <c r="DT12" s="62">
        <f ca="1">AVERAGE(OFFSET($DS$3,0,0,'Données projet'!$E$14+1,1))-AVERAGE(OFFSET($H$3,0,0,'Données projet'!$E$14+1,1))</f>
        <v>288.82868507674738</v>
      </c>
      <c r="DU12" s="62">
        <f t="shared" si="44"/>
        <v>283.48738729114024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14.2</v>
      </c>
      <c r="EJ12" s="13">
        <f>IF('Données projet'!$A$192&gt;35,EJ11+EI12-ER11,IF(A12&lt;'Données projet'!$A$192,$EG$205^A12,IF(A12='Données projet'!$A$192,'Données projet'!$B$192,EJ11+EI12-ER11)))</f>
        <v>84.800000000000011</v>
      </c>
      <c r="EK12" s="18">
        <f>EJ12*VLOOKUP('Données projet'!$B$15,Paramètres!$A$1:$I$89,3,0)*VLOOKUP('Données projet'!$B$15,Paramètres!$A$1:$I$89,5,0)</f>
        <v>76.727040000000017</v>
      </c>
      <c r="EL12" s="14">
        <f t="shared" si="45"/>
        <v>21.334993267156719</v>
      </c>
      <c r="EM12" s="22">
        <f t="shared" si="19"/>
        <v>170.79137460696464</v>
      </c>
      <c r="EN12" s="62">
        <f t="shared" si="20"/>
        <v>438.45804127363135</v>
      </c>
      <c r="EO12" s="62">
        <f ca="1">AVERAGE(OFFSET($EN$3,0,0,'Données projet'!$E$15+1,1))-AVERAGE(OFFSET($H$3,0,0,'Données projet'!$E$15+1,1))</f>
        <v>366.86025470473652</v>
      </c>
      <c r="EP12" s="62">
        <f t="shared" si="46"/>
        <v>513.80016421153414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280.80793210997274</v>
      </c>
      <c r="S13" s="62">
        <f ca="1">AVERAGE(OFFSET($R$3,0,0,'Données projet'!$E$9+1,1))-AVERAGE(OFFSET($H$3,0,0,'Données projet'!$E$9+1,1))</f>
        <v>371.7282125501186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4.6084785899071203</v>
      </c>
      <c r="AK13" s="14">
        <f t="shared" si="35"/>
        <v>1.777753479842658</v>
      </c>
      <c r="AL13" s="22">
        <f t="shared" si="4"/>
        <v>11.122687521480863</v>
      </c>
      <c r="AM13" s="62">
        <f t="shared" si="5"/>
        <v>280.01157641036974</v>
      </c>
      <c r="AN13" s="62">
        <f ca="1">AVERAGE(OFFSET($AM$3,0,0,'Données projet'!$E$10+1,1))-AVERAGE(OFFSET($H$3,0,0,'Données projet'!$E$10+1,1))</f>
        <v>348.82438445524105</v>
      </c>
      <c r="AO13" s="62">
        <f t="shared" si="36"/>
        <v>218.26721063098552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4.2272727272727275</v>
      </c>
      <c r="BD13" s="13">
        <f>IF('Données projet'!$A$88&gt;35,BD12+BC13-BL12,IF(A13&lt;'Données projet'!$A$88,$BA$205^A13,IF(A13='Données projet'!$A$88,'Données projet'!$B$88,BD12+BC13-BL12)))</f>
        <v>7.8481081039998273</v>
      </c>
      <c r="BE13" s="14">
        <f>BD13*VLOOKUP('Données projet'!$B$11,Paramètres!$A$1:$I$89,3,0)*VLOOKUP('Données projet'!$B$11,Paramètres!$A$1:$I$89,5,0)</f>
        <v>4.4891178354879013</v>
      </c>
      <c r="BF13" s="14">
        <f t="shared" si="37"/>
        <v>1.7370068425180045</v>
      </c>
      <c r="BG13" s="22">
        <f t="shared" si="7"/>
        <v>10.843833814193617</v>
      </c>
      <c r="BH13" s="62">
        <f t="shared" si="8"/>
        <v>279.73272270308246</v>
      </c>
      <c r="BI13" s="62">
        <f ca="1">AVERAGE(OFFSET($BH$3,0,0,'Données projet'!$E$11+1,1))-AVERAGE(OFFSET($H$3,0,0,'Données projet'!$E$11+1,1))</f>
        <v>309.71642374647882</v>
      </c>
      <c r="BJ13" s="62">
        <f t="shared" si="38"/>
        <v>266.63880397664315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</v>
      </c>
      <c r="BY13" s="13">
        <f>IF('Données projet'!$A$114&gt;35,BY12+BX13-CG12,IF(A13&lt;'Données projet'!$A$114,$BV$205^A13,IF(A13='Données projet'!$A$114,'Données projet'!$B$114,BY12+BX13-CG12)))</f>
        <v>5.4706535967558398</v>
      </c>
      <c r="BZ13" s="14">
        <f>BY13*VLOOKUP('Données projet'!$B$12,Paramètres!$A$1:$I$89,3,0)*VLOOKUP('Données projet'!$B$12,Paramètres!$A$1:$I$89,5,0)</f>
        <v>5.2912161587822482</v>
      </c>
      <c r="CA13" s="14">
        <f t="shared" si="39"/>
        <v>2.0085641554994469</v>
      </c>
      <c r="CB13" s="22">
        <f t="shared" si="10"/>
        <v>12.713784047373954</v>
      </c>
      <c r="CC13" s="62">
        <f t="shared" si="11"/>
        <v>281.60267293626282</v>
      </c>
      <c r="CD13" s="62">
        <f ca="1">AVERAGE(OFFSET($CC$3,0,0,'Données projet'!$E$12+1,1))-AVERAGE(OFFSET($H$3,0,0,'Données projet'!$E$12+1,1))</f>
        <v>394.59880827600006</v>
      </c>
      <c r="CE13" s="62">
        <f t="shared" si="40"/>
        <v>244.45149244446094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9.3053940500886192</v>
      </c>
      <c r="CV13" s="14">
        <f t="shared" si="41"/>
        <v>3.3076999482744602</v>
      </c>
      <c r="CW13" s="22">
        <f t="shared" si="13"/>
        <v>21.967805380482361</v>
      </c>
      <c r="CX13" s="62">
        <f t="shared" si="14"/>
        <v>290.85669426937125</v>
      </c>
      <c r="CY13" s="62">
        <f ca="1">AVERAGE(OFFSET($CX$3,0,0,'Données projet'!$E$13+1,1))-AVERAGE(OFFSET($H$3,0,0,'Données projet'!$E$13+1,1))</f>
        <v>293.90975929253631</v>
      </c>
      <c r="CZ13" s="62">
        <f t="shared" si="42"/>
        <v>288.30197520356643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9.1229353432241354</v>
      </c>
      <c r="DQ13" s="14">
        <f t="shared" si="43"/>
        <v>3.2503265450485803</v>
      </c>
      <c r="DR13" s="22">
        <f t="shared" si="16"/>
        <v>21.550097788741649</v>
      </c>
      <c r="DS13" s="62">
        <f t="shared" si="17"/>
        <v>290.43898667763051</v>
      </c>
      <c r="DT13" s="62">
        <f ca="1">AVERAGE(OFFSET($DS$3,0,0,'Données projet'!$E$14+1,1))-AVERAGE(OFFSET($H$3,0,0,'Données projet'!$E$14+1,1))</f>
        <v>288.82868507674738</v>
      </c>
      <c r="DU13" s="62">
        <f t="shared" si="44"/>
        <v>283.48738729114024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99</v>
      </c>
      <c r="EH13" s="13">
        <f>VLOOKUP(A13,'Données projet'!$A$191:$I$211,9,0)</f>
        <v>14.2</v>
      </c>
      <c r="EI13" s="13">
        <f t="array" ref="EI13">INDEX(EH:EH,MIN(IF(ISNUMBER(EH13:EH209),ROW(EH13:EH209),"")))</f>
        <v>14.2</v>
      </c>
      <c r="EJ13" s="13">
        <f>IF('Données projet'!$A$192&gt;35,EJ12+EI13-ER12,IF(A13&lt;'Données projet'!$A$192,$EG$205^A13,IF(A13='Données projet'!$A$192,'Données projet'!$B$192,EJ12+EI13-ER12)))</f>
        <v>99.000000000000014</v>
      </c>
      <c r="EK13" s="18">
        <f>EJ13*VLOOKUP('Données projet'!$B$15,Paramètres!$A$1:$I$89,3,0)*VLOOKUP('Données projet'!$B$15,Paramètres!$A$1:$I$89,5,0)</f>
        <v>89.575200000000009</v>
      </c>
      <c r="EL13" s="14">
        <f t="shared" si="45"/>
        <v>24.462745269668691</v>
      </c>
      <c r="EM13" s="22">
        <f t="shared" si="19"/>
        <v>198.61608801133966</v>
      </c>
      <c r="EN13" s="62">
        <f t="shared" si="20"/>
        <v>467.50497690022848</v>
      </c>
      <c r="EO13" s="62">
        <f ca="1">AVERAGE(OFFSET($EN$3,0,0,'Données projet'!$E$15+1,1))-AVERAGE(OFFSET($H$3,0,0,'Données projet'!$E$15+1,1))</f>
        <v>366.86025470473652</v>
      </c>
      <c r="EP13" s="62">
        <f t="shared" si="46"/>
        <v>513.80016421153414</v>
      </c>
      <c r="EQ13" s="16">
        <f>IF(ISNA(VLOOKUP(A13,'Données projet'!$A$191:$I$211,3,0)),0,VLOOKUP(A13,'Données projet'!$A$191:$I$211,3,0))</f>
        <v>2</v>
      </c>
      <c r="ER13" s="16">
        <f>IF(ISNA(VLOOKUP(A13,'Données projet'!$A$191:$I$211,4,0)),0,VLOOKUP(A13,'Données projet'!$A$191:$I$211,4,0))</f>
        <v>28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284.16139697381971</v>
      </c>
      <c r="S14" s="62">
        <f ca="1">AVERAGE(OFFSET($R$3,0,0,'Données projet'!$E$9+1,1))-AVERAGE(OFFSET($H$3,0,0,'Données projet'!$E$9+1,1))</f>
        <v>371.7282125501186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5.4621232529927619</v>
      </c>
      <c r="AK14" s="14">
        <f t="shared" si="35"/>
        <v>2.0657829209993817</v>
      </c>
      <c r="AL14" s="22">
        <f t="shared" si="4"/>
        <v>13.111103253036314</v>
      </c>
      <c r="AM14" s="62">
        <f t="shared" si="5"/>
        <v>283.22221436414748</v>
      </c>
      <c r="AN14" s="62">
        <f ca="1">AVERAGE(OFFSET($AM$3,0,0,'Données projet'!$E$10+1,1))-AVERAGE(OFFSET($H$3,0,0,'Données projet'!$E$10+1,1))</f>
        <v>348.82438445524105</v>
      </c>
      <c r="AO14" s="62">
        <f t="shared" si="36"/>
        <v>218.26721063098552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4.2272727272727275</v>
      </c>
      <c r="BD14" s="13">
        <f>IF('Données projet'!$A$88&gt;35,BD13+BC14-BL13,IF(A14&lt;'Données projet'!$A$88,$BA$205^A14,IF(A14='Données projet'!$A$88,'Données projet'!$B$88,BD13+BC14-BL13)))</f>
        <v>9.6436507609929514</v>
      </c>
      <c r="BE14" s="14">
        <f>BD14*VLOOKUP('Données projet'!$B$11,Paramètres!$A$1:$I$89,3,0)*VLOOKUP('Données projet'!$B$11,Paramètres!$A$1:$I$89,5,0)</f>
        <v>5.5161682352879682</v>
      </c>
      <c r="BF14" s="14">
        <f t="shared" si="37"/>
        <v>2.0838332459475213</v>
      </c>
      <c r="BG14" s="22">
        <f t="shared" si="7"/>
        <v>13.236669246485144</v>
      </c>
      <c r="BH14" s="62">
        <f t="shared" si="8"/>
        <v>283.34778035759626</v>
      </c>
      <c r="BI14" s="62">
        <f ca="1">AVERAGE(OFFSET($BH$3,0,0,'Données projet'!$E$11+1,1))-AVERAGE(OFFSET($H$3,0,0,'Données projet'!$E$11+1,1))</f>
        <v>309.71642374647882</v>
      </c>
      <c r="BJ14" s="62">
        <f t="shared" si="38"/>
        <v>266.63880397664315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</v>
      </c>
      <c r="BY14" s="13">
        <f>IF('Données projet'!$A$114&gt;35,BY13+BX14-CG13,IF(A14&lt;'Données projet'!$A$114,$BV$205^A14,IF(A14='Données projet'!$A$114,'Données projet'!$B$114,BY13+BX14-CG13)))</f>
        <v>6.4840019622421199</v>
      </c>
      <c r="BZ14" s="14">
        <f>BY14*VLOOKUP('Données projet'!$B$12,Paramètres!$A$1:$I$89,3,0)*VLOOKUP('Données projet'!$B$12,Paramètres!$A$1:$I$89,5,0)</f>
        <v>6.2713266978805784</v>
      </c>
      <c r="CA14" s="14">
        <f t="shared" si="39"/>
        <v>2.3339892595960716</v>
      </c>
      <c r="CB14" s="22">
        <f t="shared" si="10"/>
        <v>14.987591959271832</v>
      </c>
      <c r="CC14" s="62">
        <f t="shared" si="11"/>
        <v>285.09870307038295</v>
      </c>
      <c r="CD14" s="62">
        <f ca="1">AVERAGE(OFFSET($CC$3,0,0,'Données projet'!$E$12+1,1))-AVERAGE(OFFSET($H$3,0,0,'Données projet'!$E$12+1,1))</f>
        <v>394.59880827600006</v>
      </c>
      <c r="CE14" s="62">
        <f t="shared" si="40"/>
        <v>244.45149244446094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11.899775499459638</v>
      </c>
      <c r="CV14" s="14">
        <f t="shared" si="41"/>
        <v>4.1105328222258946</v>
      </c>
      <c r="CW14" s="22">
        <f t="shared" si="13"/>
        <v>27.884620326935632</v>
      </c>
      <c r="CX14" s="62">
        <f t="shared" si="14"/>
        <v>297.99573143804679</v>
      </c>
      <c r="CY14" s="62">
        <f ca="1">AVERAGE(OFFSET($CX$3,0,0,'Données projet'!$E$13+1,1))-AVERAGE(OFFSET($H$3,0,0,'Données projet'!$E$13+1,1))</f>
        <v>293.90975929253631</v>
      </c>
      <c r="CZ14" s="62">
        <f t="shared" si="42"/>
        <v>288.30197520356643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11.666446568097685</v>
      </c>
      <c r="DQ14" s="14">
        <f t="shared" si="43"/>
        <v>4.0392339557111736</v>
      </c>
      <c r="DR14" s="22">
        <f t="shared" si="16"/>
        <v>27.354060245633761</v>
      </c>
      <c r="DS14" s="62">
        <f t="shared" si="17"/>
        <v>297.46517135674492</v>
      </c>
      <c r="DT14" s="62">
        <f ca="1">AVERAGE(OFFSET($DS$3,0,0,'Données projet'!$E$14+1,1))-AVERAGE(OFFSET($H$3,0,0,'Données projet'!$E$14+1,1))</f>
        <v>288.82868507674738</v>
      </c>
      <c r="DU14" s="62">
        <f t="shared" si="44"/>
        <v>283.48738729114024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13.8</v>
      </c>
      <c r="EJ14" s="13">
        <f>IF('Données projet'!$A$192&gt;35,EJ13+EI14-ER13,IF(A14&lt;'Données projet'!$A$192,$EG$205^A14,IF(A14='Données projet'!$A$192,'Données projet'!$B$192,EJ13+EI14-ER13)))</f>
        <v>84.800000000000011</v>
      </c>
      <c r="EK14" s="18">
        <f>EJ14*VLOOKUP('Données projet'!$B$15,Paramètres!$A$1:$I$89,3,0)*VLOOKUP('Données projet'!$B$15,Paramètres!$A$1:$I$89,5,0)</f>
        <v>76.727040000000017</v>
      </c>
      <c r="EL14" s="14">
        <f t="shared" si="45"/>
        <v>21.334993267156719</v>
      </c>
      <c r="EM14" s="22">
        <f t="shared" si="19"/>
        <v>170.79137460696464</v>
      </c>
      <c r="EN14" s="62">
        <f t="shared" si="20"/>
        <v>440.90248571807581</v>
      </c>
      <c r="EO14" s="62">
        <f ca="1">AVERAGE(OFFSET($EN$3,0,0,'Données projet'!$E$15+1,1))-AVERAGE(OFFSET($H$3,0,0,'Données projet'!$E$15+1,1))</f>
        <v>366.86025470473652</v>
      </c>
      <c r="EP14" s="62">
        <f t="shared" si="46"/>
        <v>513.80016421153414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287.89723465691981</v>
      </c>
      <c r="S15" s="62">
        <f ca="1">AVERAGE(OFFSET($R$3,0,0,'Données projet'!$E$9+1,1))-AVERAGE(OFFSET($H$3,0,0,'Données projet'!$E$9+1,1))</f>
        <v>371.7282125501186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6.4738915129657846</v>
      </c>
      <c r="AK15" s="14">
        <f t="shared" si="35"/>
        <v>2.4004785393925574</v>
      </c>
      <c r="AL15" s="22">
        <f t="shared" si="4"/>
        <v>15.456194507857447</v>
      </c>
      <c r="AM15" s="62">
        <f t="shared" si="5"/>
        <v>286.78952784119076</v>
      </c>
      <c r="AN15" s="62">
        <f ca="1">AVERAGE(OFFSET($AM$3,0,0,'Données projet'!$E$10+1,1))-AVERAGE(OFFSET($H$3,0,0,'Données projet'!$E$10+1,1))</f>
        <v>348.82438445524105</v>
      </c>
      <c r="AO15" s="62">
        <f t="shared" si="36"/>
        <v>218.26721063098552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4.2272727272727275</v>
      </c>
      <c r="BD15" s="13">
        <f>IF('Données projet'!$A$88&gt;35,BD14+BC15-BL14,IF(A15&lt;'Données projet'!$A$88,$BA$205^A15,IF(A15='Données projet'!$A$88,'Données projet'!$B$88,BD14+BC15-BL14)))</f>
        <v>11.849989674913116</v>
      </c>
      <c r="BE15" s="14">
        <f>BD15*VLOOKUP('Données projet'!$B$11,Paramètres!$A$1:$I$89,3,0)*VLOOKUP('Données projet'!$B$11,Paramètres!$A$1:$I$89,5,0)</f>
        <v>6.7781940940503027</v>
      </c>
      <c r="BF15" s="14">
        <f t="shared" si="37"/>
        <v>2.499910127366797</v>
      </c>
      <c r="BG15" s="22">
        <f t="shared" si="7"/>
        <v>16.159364852301447</v>
      </c>
      <c r="BH15" s="62">
        <f t="shared" si="8"/>
        <v>287.49269818563477</v>
      </c>
      <c r="BI15" s="62">
        <f ca="1">AVERAGE(OFFSET($BH$3,0,0,'Données projet'!$E$11+1,1))-AVERAGE(OFFSET($H$3,0,0,'Données projet'!$E$11+1,1))</f>
        <v>309.71642374647882</v>
      </c>
      <c r="BJ15" s="62">
        <f t="shared" si="38"/>
        <v>266.63880397664315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</v>
      </c>
      <c r="BY15" s="13">
        <f>IF('Données projet'!$A$114&gt;35,BY14+BX15-CG14,IF(A15&lt;'Données projet'!$A$114,$BV$205^A15,IF(A15='Données projet'!$A$114,'Données projet'!$B$114,BY14+BX15-CG14)))</f>
        <v>7.685056401906202</v>
      </c>
      <c r="BZ15" s="14">
        <f>BY15*VLOOKUP('Données projet'!$B$12,Paramètres!$A$1:$I$89,3,0)*VLOOKUP('Données projet'!$B$12,Paramètres!$A$1:$I$89,5,0)</f>
        <v>7.432986551923678</v>
      </c>
      <c r="CA15" s="14">
        <f t="shared" si="39"/>
        <v>2.7121393404310989</v>
      </c>
      <c r="CB15" s="22">
        <f t="shared" si="10"/>
        <v>17.669427595851236</v>
      </c>
      <c r="CC15" s="62">
        <f t="shared" si="11"/>
        <v>289.00276092918455</v>
      </c>
      <c r="CD15" s="62">
        <f ca="1">AVERAGE(OFFSET($CC$3,0,0,'Données projet'!$E$12+1,1))-AVERAGE(OFFSET($H$3,0,0,'Données projet'!$E$12+1,1))</f>
        <v>394.59880827600006</v>
      </c>
      <c r="CE15" s="62">
        <f t="shared" si="40"/>
        <v>244.45149244446094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15.217480976659054</v>
      </c>
      <c r="CV15" s="14">
        <f t="shared" si="41"/>
        <v>5.1082263647918982</v>
      </c>
      <c r="CW15" s="22">
        <f t="shared" si="13"/>
        <v>35.400606953027072</v>
      </c>
      <c r="CX15" s="62">
        <f t="shared" si="14"/>
        <v>306.73394028636039</v>
      </c>
      <c r="CY15" s="62">
        <f ca="1">AVERAGE(OFFSET($CX$3,0,0,'Données projet'!$E$13+1,1))-AVERAGE(OFFSET($H$3,0,0,'Données projet'!$E$13+1,1))</f>
        <v>293.90975929253631</v>
      </c>
      <c r="CZ15" s="62">
        <f t="shared" si="42"/>
        <v>288.30197520356643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14.919098996724562</v>
      </c>
      <c r="DQ15" s="14">
        <f t="shared" si="43"/>
        <v>5.019622097301081</v>
      </c>
      <c r="DR15" s="22">
        <f t="shared" si="16"/>
        <v>34.726605905427995</v>
      </c>
      <c r="DS15" s="62">
        <f t="shared" si="17"/>
        <v>306.05993923876133</v>
      </c>
      <c r="DT15" s="62">
        <f ca="1">AVERAGE(OFFSET($DS$3,0,0,'Données projet'!$E$14+1,1))-AVERAGE(OFFSET($H$3,0,0,'Données projet'!$E$14+1,1))</f>
        <v>288.82868507674738</v>
      </c>
      <c r="DU15" s="62">
        <f t="shared" si="44"/>
        <v>283.48738729114024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13.8</v>
      </c>
      <c r="EJ15" s="13">
        <f>IF('Données projet'!$A$192&gt;35,EJ14+EI15-ER14,IF(A15&lt;'Données projet'!$A$192,$EG$205^A15,IF(A15='Données projet'!$A$192,'Données projet'!$B$192,EJ14+EI15-ER14)))</f>
        <v>98.600000000000009</v>
      </c>
      <c r="EK15" s="18">
        <f>EJ15*VLOOKUP('Données projet'!$B$15,Paramètres!$A$1:$I$89,3,0)*VLOOKUP('Données projet'!$B$15,Paramètres!$A$1:$I$89,5,0)</f>
        <v>89.213280000000012</v>
      </c>
      <c r="EL15" s="14">
        <f t="shared" si="45"/>
        <v>24.375390230293569</v>
      </c>
      <c r="EM15" s="22">
        <f t="shared" si="19"/>
        <v>197.83360065109466</v>
      </c>
      <c r="EN15" s="62">
        <f t="shared" si="20"/>
        <v>469.16693398442794</v>
      </c>
      <c r="EO15" s="62">
        <f ca="1">AVERAGE(OFFSET($EN$3,0,0,'Données projet'!$E$15+1,1))-AVERAGE(OFFSET($H$3,0,0,'Données projet'!$E$15+1,1))</f>
        <v>366.86025470473652</v>
      </c>
      <c r="EP15" s="62">
        <f t="shared" si="46"/>
        <v>513.80016421153414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292.0842636185788</v>
      </c>
      <c r="S16" s="62">
        <f ca="1">AVERAGE(OFFSET($R$3,0,0,'Données projet'!$E$9+1,1))-AVERAGE(OFFSET($H$3,0,0,'Données projet'!$E$9+1,1))</f>
        <v>371.7282125501186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7.6730731586268659</v>
      </c>
      <c r="AK16" s="14">
        <f t="shared" si="35"/>
        <v>2.7894011318946084</v>
      </c>
      <c r="AL16" s="22">
        <f t="shared" si="4"/>
        <v>18.222142722658234</v>
      </c>
      <c r="AM16" s="62">
        <f t="shared" si="5"/>
        <v>290.77769827821379</v>
      </c>
      <c r="AN16" s="62">
        <f ca="1">AVERAGE(OFFSET($AM$3,0,0,'Données projet'!$E$10+1,1))-AVERAGE(OFFSET($H$3,0,0,'Données projet'!$E$10+1,1))</f>
        <v>348.82438445524105</v>
      </c>
      <c r="AO16" s="62">
        <f t="shared" si="36"/>
        <v>218.26721063098552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4.2272727272727275</v>
      </c>
      <c r="BD16" s="13">
        <f>IF('Données projet'!$A$88&gt;35,BD15+BC16-BL15,IF(A16&lt;'Données projet'!$A$88,$BA$205^A16,IF(A16='Données projet'!$A$88,'Données projet'!$B$88,BD15+BC16-BL15)))</f>
        <v>14.561109560658647</v>
      </c>
      <c r="BE16" s="14">
        <f>BD16*VLOOKUP('Données projet'!$B$11,Paramètres!$A$1:$I$89,3,0)*VLOOKUP('Données projet'!$B$11,Paramètres!$A$1:$I$89,5,0)</f>
        <v>8.3289546686967455</v>
      </c>
      <c r="BF16" s="14">
        <f t="shared" si="37"/>
        <v>2.9990646598352928</v>
      </c>
      <c r="BG16" s="22">
        <f t="shared" si="7"/>
        <v>19.729633663859968</v>
      </c>
      <c r="BH16" s="62">
        <f t="shared" si="8"/>
        <v>292.28518921941549</v>
      </c>
      <c r="BI16" s="62">
        <f ca="1">AVERAGE(OFFSET($BH$3,0,0,'Données projet'!$E$11+1,1))-AVERAGE(OFFSET($H$3,0,0,'Données projet'!$E$11+1,1))</f>
        <v>309.71642374647882</v>
      </c>
      <c r="BJ16" s="62">
        <f t="shared" si="38"/>
        <v>266.63880397664315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</v>
      </c>
      <c r="BY16" s="13">
        <f>IF('Données projet'!$A$114&gt;35,BY15+BX16-CG15,IF(A16&lt;'Données projet'!$A$114,$BV$205^A16,IF(A16='Données projet'!$A$114,'Données projet'!$B$114,BY15+BX16-CG15)))</f>
        <v>9.1085863706396779</v>
      </c>
      <c r="BZ16" s="14">
        <f>BY16*VLOOKUP('Données projet'!$B$12,Paramètres!$A$1:$I$89,3,0)*VLOOKUP('Données projet'!$B$12,Paramètres!$A$1:$I$89,5,0)</f>
        <v>8.8098247376826961</v>
      </c>
      <c r="CA16" s="14">
        <f t="shared" si="39"/>
        <v>3.1515568341505751</v>
      </c>
      <c r="CB16" s="22">
        <f t="shared" si="10"/>
        <v>20.832739570942948</v>
      </c>
      <c r="CC16" s="62">
        <f t="shared" si="11"/>
        <v>293.38829512649852</v>
      </c>
      <c r="CD16" s="62">
        <f ca="1">AVERAGE(OFFSET($CC$3,0,0,'Données projet'!$E$12+1,1))-AVERAGE(OFFSET($H$3,0,0,'Données projet'!$E$12+1,1))</f>
        <v>394.59880827600006</v>
      </c>
      <c r="CE16" s="62">
        <f t="shared" si="40"/>
        <v>244.45149244446094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19.460176142440314</v>
      </c>
      <c r="CV16" s="14">
        <f t="shared" si="41"/>
        <v>6.3480764471368154</v>
      </c>
      <c r="CW16" s="22">
        <f t="shared" si="13"/>
        <v>44.94937326018016</v>
      </c>
      <c r="CX16" s="62">
        <f t="shared" si="14"/>
        <v>317.5049288157357</v>
      </c>
      <c r="CY16" s="62">
        <f ca="1">AVERAGE(OFFSET($CX$3,0,0,'Données projet'!$E$13+1,1))-AVERAGE(OFFSET($H$3,0,0,'Données projet'!$E$13+1,1))</f>
        <v>293.90975929253631</v>
      </c>
      <c r="CZ16" s="62">
        <f t="shared" si="42"/>
        <v>288.30197520356643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19.078604061215994</v>
      </c>
      <c r="DQ16" s="14">
        <f t="shared" si="43"/>
        <v>6.2379664748280286</v>
      </c>
      <c r="DR16" s="22">
        <f t="shared" si="16"/>
        <v>44.093027016943331</v>
      </c>
      <c r="DS16" s="62">
        <f t="shared" si="17"/>
        <v>316.64858257249887</v>
      </c>
      <c r="DT16" s="62">
        <f ca="1">AVERAGE(OFFSET($DS$3,0,0,'Données projet'!$E$14+1,1))-AVERAGE(OFFSET($H$3,0,0,'Données projet'!$E$14+1,1))</f>
        <v>288.82868507674738</v>
      </c>
      <c r="DU16" s="62">
        <f t="shared" si="44"/>
        <v>283.48738729114024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13.8</v>
      </c>
      <c r="EJ16" s="13">
        <f>IF('Données projet'!$A$192&gt;35,EJ15+EI16-ER15,IF(A16&lt;'Données projet'!$A$192,$EG$205^A16,IF(A16='Données projet'!$A$192,'Données projet'!$B$192,EJ15+EI16-ER15)))</f>
        <v>112.4</v>
      </c>
      <c r="EK16" s="18">
        <f>EJ16*VLOOKUP('Données projet'!$B$15,Paramètres!$A$1:$I$89,3,0)*VLOOKUP('Données projet'!$B$15,Paramètres!$A$1:$I$89,5,0)</f>
        <v>101.69951999999999</v>
      </c>
      <c r="EL16" s="14">
        <f t="shared" si="45"/>
        <v>27.366486780557949</v>
      </c>
      <c r="EM16" s="22">
        <f t="shared" si="19"/>
        <v>224.78996180947172</v>
      </c>
      <c r="EN16" s="62">
        <f t="shared" si="20"/>
        <v>497.34551736502726</v>
      </c>
      <c r="EO16" s="62">
        <f ca="1">AVERAGE(OFFSET($EN$3,0,0,'Données projet'!$E$15+1,1))-AVERAGE(OFFSET($H$3,0,0,'Données projet'!$E$15+1,1))</f>
        <v>366.86025470473652</v>
      </c>
      <c r="EP16" s="62">
        <f t="shared" si="46"/>
        <v>513.80016421153414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296.80372417751374</v>
      </c>
      <c r="S17" s="62">
        <f ca="1">AVERAGE(OFFSET($R$3,0,0,'Données projet'!$E$9+1,1))-AVERAGE(OFFSET($H$3,0,0,'Données projet'!$E$9+1,1))</f>
        <v>371.7282125501186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9.0943834291514243</v>
      </c>
      <c r="AK17" s="14">
        <f t="shared" si="35"/>
        <v>3.2413364864256806</v>
      </c>
      <c r="AL17" s="22">
        <f t="shared" si="4"/>
        <v>21.48471218629679</v>
      </c>
      <c r="AM17" s="62">
        <f t="shared" si="5"/>
        <v>295.26248996407458</v>
      </c>
      <c r="AN17" s="62">
        <f ca="1">AVERAGE(OFFSET($AM$3,0,0,'Données projet'!$E$10+1,1))-AVERAGE(OFFSET($H$3,0,0,'Données projet'!$E$10+1,1))</f>
        <v>348.82438445524105</v>
      </c>
      <c r="AO17" s="62">
        <f t="shared" si="36"/>
        <v>218.26721063098552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4.2272727272727275</v>
      </c>
      <c r="BD17" s="13">
        <f>IF('Données projet'!$A$88&gt;35,BD16+BC17-BL16,IF(A17&lt;'Données projet'!$A$88,$BA$205^A17,IF(A17='Données projet'!$A$88,'Données projet'!$B$88,BD16+BC17-BL16)))</f>
        <v>17.892497584733903</v>
      </c>
      <c r="BE17" s="14">
        <f>BD17*VLOOKUP('Données projet'!$B$11,Paramètres!$A$1:$I$89,3,0)*VLOOKUP('Données projet'!$B$11,Paramètres!$A$1:$I$89,5,0)</f>
        <v>10.234508618467792</v>
      </c>
      <c r="BF17" s="14">
        <f t="shared" si="37"/>
        <v>3.5978848741042291</v>
      </c>
      <c r="BG17" s="22">
        <f t="shared" si="7"/>
        <v>24.091418666229604</v>
      </c>
      <c r="BH17" s="62">
        <f t="shared" si="8"/>
        <v>297.8691964440074</v>
      </c>
      <c r="BI17" s="62">
        <f ca="1">AVERAGE(OFFSET($BH$3,0,0,'Données projet'!$E$11+1,1))-AVERAGE(OFFSET($H$3,0,0,'Données projet'!$E$11+1,1))</f>
        <v>309.71642374647882</v>
      </c>
      <c r="BJ17" s="62">
        <f t="shared" si="38"/>
        <v>266.63880397664315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</v>
      </c>
      <c r="BY17" s="13">
        <f>IF('Données projet'!$A$114&gt;35,BY16+BX17-CG16,IF(A17&lt;'Données projet'!$A$114,$BV$205^A17,IF(A17='Données projet'!$A$114,'Données projet'!$B$114,BY16+BX17-CG16)))</f>
        <v>10.795801791490293</v>
      </c>
      <c r="BZ17" s="14">
        <f>BY17*VLOOKUP('Données projet'!$B$12,Paramètres!$A$1:$I$89,3,0)*VLOOKUP('Données projet'!$B$12,Paramètres!$A$1:$I$89,5,0)</f>
        <v>10.441699492729411</v>
      </c>
      <c r="CA17" s="14">
        <f t="shared" si="39"/>
        <v>3.6621682119409238</v>
      </c>
      <c r="CB17" s="22">
        <f t="shared" si="10"/>
        <v>24.564236252300834</v>
      </c>
      <c r="CC17" s="62">
        <f t="shared" si="11"/>
        <v>298.34201403007859</v>
      </c>
      <c r="CD17" s="62">
        <f ca="1">AVERAGE(OFFSET($CC$3,0,0,'Données projet'!$E$12+1,1))-AVERAGE(OFFSET($H$3,0,0,'Données projet'!$E$12+1,1))</f>
        <v>394.59880827600006</v>
      </c>
      <c r="CE17" s="62">
        <f t="shared" si="40"/>
        <v>244.45149244446094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24.885751858383134</v>
      </c>
      <c r="CV17" s="14">
        <f t="shared" si="41"/>
        <v>7.8888584218673072</v>
      </c>
      <c r="CW17" s="22">
        <f t="shared" si="13"/>
        <v>57.082446238102854</v>
      </c>
      <c r="CX17" s="62">
        <f t="shared" si="14"/>
        <v>330.86022401588065</v>
      </c>
      <c r="CY17" s="62">
        <f ca="1">AVERAGE(OFFSET($CX$3,0,0,'Données projet'!$E$13+1,1))-AVERAGE(OFFSET($H$3,0,0,'Données projet'!$E$13+1,1))</f>
        <v>293.90975929253631</v>
      </c>
      <c r="CZ17" s="62">
        <f t="shared" si="42"/>
        <v>288.30197520356643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24.397795939591308</v>
      </c>
      <c r="DQ17" s="14">
        <f t="shared" si="43"/>
        <v>7.75202295846145</v>
      </c>
      <c r="DR17" s="22">
        <f t="shared" si="16"/>
        <v>55.994267914108548</v>
      </c>
      <c r="DS17" s="62">
        <f t="shared" si="17"/>
        <v>329.77204569188632</v>
      </c>
      <c r="DT17" s="62">
        <f ca="1">AVERAGE(OFFSET($DS$3,0,0,'Données projet'!$E$14+1,1))-AVERAGE(OFFSET($H$3,0,0,'Données projet'!$E$14+1,1))</f>
        <v>288.82868507674738</v>
      </c>
      <c r="DU17" s="62">
        <f t="shared" si="44"/>
        <v>283.48738729114024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13.8</v>
      </c>
      <c r="EJ17" s="13">
        <f>IF('Données projet'!$A$192&gt;35,EJ16+EI17-ER16,IF(A17&lt;'Données projet'!$A$192,$EG$205^A17,IF(A17='Données projet'!$A$192,'Données projet'!$B$192,EJ16+EI17-ER16)))</f>
        <v>126.2</v>
      </c>
      <c r="EK17" s="18">
        <f>EJ17*VLOOKUP('Données projet'!$B$15,Paramètres!$A$1:$I$89,3,0)*VLOOKUP('Données projet'!$B$15,Paramètres!$A$1:$I$89,5,0)</f>
        <v>114.18576</v>
      </c>
      <c r="EL17" s="14">
        <f t="shared" si="45"/>
        <v>30.315028515433259</v>
      </c>
      <c r="EM17" s="22">
        <f t="shared" si="19"/>
        <v>251.67220666437959</v>
      </c>
      <c r="EN17" s="62">
        <f t="shared" si="20"/>
        <v>525.4499844421573</v>
      </c>
      <c r="EO17" s="62">
        <f ca="1">AVERAGE(OFFSET($EN$3,0,0,'Données projet'!$E$15+1,1))-AVERAGE(OFFSET($H$3,0,0,'Données projet'!$E$15+1,1))</f>
        <v>366.86025470473652</v>
      </c>
      <c r="EP17" s="62">
        <f t="shared" si="46"/>
        <v>513.80016421153414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302.15152669905046</v>
      </c>
      <c r="S18" s="62">
        <f ca="1">AVERAGE(OFFSET($R$3,0,0,'Données projet'!$E$9+1,1))-AVERAGE(OFFSET($H$3,0,0,'Données projet'!$E$9+1,1))</f>
        <v>371.7282125501186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10.778967989303645</v>
      </c>
      <c r="AK18" s="14">
        <f t="shared" si="35"/>
        <v>3.7664938535026482</v>
      </c>
      <c r="AL18" s="22">
        <f t="shared" si="4"/>
        <v>25.333346042887626</v>
      </c>
      <c r="AM18" s="62">
        <f t="shared" si="5"/>
        <v>300.33334604288763</v>
      </c>
      <c r="AN18" s="62">
        <f ca="1">AVERAGE(OFFSET($AM$3,0,0,'Données projet'!$E$10+1,1))-AVERAGE(OFFSET($H$3,0,0,'Données projet'!$E$10+1,1))</f>
        <v>348.82438445524105</v>
      </c>
      <c r="AO18" s="62">
        <f t="shared" si="36"/>
        <v>218.26721063098552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4.2272727272727275</v>
      </c>
      <c r="BD18" s="13">
        <f>IF('Données projet'!$A$88&gt;35,BD17+BC18-BL17,IF(A18&lt;'Données projet'!$A$88,$BA$205^A18,IF(A18='Données projet'!$A$88,'Données projet'!$B$88,BD17+BC18-BL17)))</f>
        <v>21.986062839927392</v>
      </c>
      <c r="BE18" s="14">
        <f>BD18*VLOOKUP('Données projet'!$B$11,Paramètres!$A$1:$I$89,3,0)*VLOOKUP('Données projet'!$B$11,Paramètres!$A$1:$I$89,5,0)</f>
        <v>12.576027944438469</v>
      </c>
      <c r="BF18" s="14">
        <f t="shared" si="37"/>
        <v>4.316270916285923</v>
      </c>
      <c r="BG18" s="22">
        <f t="shared" si="7"/>
        <v>29.420753849094982</v>
      </c>
      <c r="BH18" s="62">
        <f t="shared" si="8"/>
        <v>304.42075384909498</v>
      </c>
      <c r="BI18" s="62">
        <f ca="1">AVERAGE(OFFSET($BH$3,0,0,'Données projet'!$E$11+1,1))-AVERAGE(OFFSET($H$3,0,0,'Données projet'!$E$11+1,1))</f>
        <v>309.71642374647882</v>
      </c>
      <c r="BJ18" s="62">
        <f t="shared" si="38"/>
        <v>266.63880397664315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</v>
      </c>
      <c r="BY18" s="13">
        <f>IF('Données projet'!$A$114&gt;35,BY17+BX18-CG17,IF(A18&lt;'Données projet'!$A$114,$BV$205^A18,IF(A18='Données projet'!$A$114,'Données projet'!$B$114,BY17+BX18-CG17)))</f>
        <v>12.795546046181913</v>
      </c>
      <c r="BZ18" s="14">
        <f>BY18*VLOOKUP('Données projet'!$B$12,Paramètres!$A$1:$I$89,3,0)*VLOOKUP('Données projet'!$B$12,Paramètres!$A$1:$I$89,5,0)</f>
        <v>12.375852135867147</v>
      </c>
      <c r="CA18" s="14">
        <f t="shared" si="39"/>
        <v>4.2555082196908298</v>
      </c>
      <c r="CB18" s="22">
        <f t="shared" si="10"/>
        <v>28.966285952596809</v>
      </c>
      <c r="CC18" s="62">
        <f t="shared" si="11"/>
        <v>303.96628595259682</v>
      </c>
      <c r="CD18" s="62">
        <f ca="1">AVERAGE(OFFSET($CC$3,0,0,'Données projet'!$E$12+1,1))-AVERAGE(OFFSET($H$3,0,0,'Données projet'!$E$12+1,1))</f>
        <v>394.59880827600006</v>
      </c>
      <c r="CE18" s="62">
        <f t="shared" si="40"/>
        <v>244.45149244446094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31.823999999999998</v>
      </c>
      <c r="CV18" s="14">
        <f t="shared" si="41"/>
        <v>9.8036133809220889</v>
      </c>
      <c r="CW18" s="22">
        <f t="shared" si="13"/>
        <v>72.501426638439298</v>
      </c>
      <c r="CX18" s="62">
        <f t="shared" si="14"/>
        <v>347.50142663843928</v>
      </c>
      <c r="CY18" s="62">
        <f ca="1">AVERAGE(OFFSET($CX$3,0,0,'Données projet'!$E$13+1,1))-AVERAGE(OFFSET($H$3,0,0,'Données projet'!$E$13+1,1))</f>
        <v>293.90975929253631</v>
      </c>
      <c r="CZ18" s="62">
        <f t="shared" si="42"/>
        <v>288.30197520356643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31.200000000000003</v>
      </c>
      <c r="DQ18" s="14">
        <f t="shared" si="43"/>
        <v>9.6335657126419925</v>
      </c>
      <c r="DR18" s="22">
        <f t="shared" si="16"/>
        <v>71.118460282851473</v>
      </c>
      <c r="DS18" s="62">
        <f t="shared" si="17"/>
        <v>346.11846028285146</v>
      </c>
      <c r="DT18" s="62">
        <f ca="1">AVERAGE(OFFSET($DS$3,0,0,'Données projet'!$E$14+1,1))-AVERAGE(OFFSET($H$3,0,0,'Données projet'!$E$14+1,1))</f>
        <v>288.82868507674738</v>
      </c>
      <c r="DU18" s="62">
        <f t="shared" si="44"/>
        <v>283.48738729114024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3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140</v>
      </c>
      <c r="EH18" s="13">
        <f>VLOOKUP(A18,'Données projet'!$A$191:$I$211,9,0)</f>
        <v>13.8</v>
      </c>
      <c r="EI18" s="13">
        <f t="array" ref="EI18">INDEX(EH:EH,MIN(IF(ISNUMBER(EH18:EH214),ROW(EH18:EH214),"")))</f>
        <v>13.8</v>
      </c>
      <c r="EJ18" s="13">
        <f>IF('Données projet'!$A$192&gt;35,EJ17+EI18-ER17,IF(A18&lt;'Données projet'!$A$192,$EG$205^A18,IF(A18='Données projet'!$A$192,'Données projet'!$B$192,EJ17+EI18-ER17)))</f>
        <v>140</v>
      </c>
      <c r="EK18" s="18">
        <f>EJ18*VLOOKUP('Données projet'!$B$15,Paramètres!$A$1:$I$89,3,0)*VLOOKUP('Données projet'!$B$15,Paramètres!$A$1:$I$89,5,0)</f>
        <v>126.67199999999998</v>
      </c>
      <c r="EL18" s="14">
        <f t="shared" si="45"/>
        <v>33.226199426361347</v>
      </c>
      <c r="EM18" s="22">
        <f t="shared" si="19"/>
        <v>278.48936400091264</v>
      </c>
      <c r="EN18" s="62">
        <f t="shared" si="20"/>
        <v>553.4893640009127</v>
      </c>
      <c r="EO18" s="62">
        <f ca="1">AVERAGE(OFFSET($EN$3,0,0,'Données projet'!$E$15+1,1))-AVERAGE(OFFSET($H$3,0,0,'Données projet'!$E$15+1,1))</f>
        <v>366.86025470473652</v>
      </c>
      <c r="EP18" s="62">
        <f t="shared" si="46"/>
        <v>513.80016421153414</v>
      </c>
      <c r="EQ18" s="16">
        <f>IF(ISNA(VLOOKUP(A18,'Données projet'!$A$191:$I$211,3,0)),0,VLOOKUP(A18,'Données projet'!$A$191:$I$211,3,0))</f>
        <v>3</v>
      </c>
      <c r="ER18" s="16">
        <f>IF(ISNA(VLOOKUP(A18,'Données projet'!$A$191:$I$211,4,0)),0,VLOOKUP(A18,'Données projet'!$A$191:$I$211,4,0))</f>
        <v>23</v>
      </c>
      <c r="ES18" s="17">
        <f>IF(ISNA(VLOOKUP(A18,'Données projet'!$A$191:$I$211,5,0)),0%,VLOOKUP(A18,'Données projet'!$A$191:$I$211,5,0)*VLOOKUP('Données projet'!$B$15,Paramètres!$A$1:$I$89,7,0))</f>
        <v>0.06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1.3803168471739502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1.3803168471739502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308.24090767423354</v>
      </c>
      <c r="S19" s="62">
        <f ca="1">AVERAGE(OFFSET($R$3,0,0,'Données projet'!$E$9+1,1))-AVERAGE(OFFSET($H$3,0,0,'Données projet'!$E$9+1,1))</f>
        <v>371.7282125501186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12.775594059736461</v>
      </c>
      <c r="AK19" s="14">
        <f t="shared" si="35"/>
        <v>4.3767365739053794</v>
      </c>
      <c r="AL19" s="22">
        <f t="shared" si="4"/>
        <v>29.873642520259533</v>
      </c>
      <c r="AM19" s="62">
        <f t="shared" si="5"/>
        <v>306.09586474248175</v>
      </c>
      <c r="AN19" s="62">
        <f ca="1">AVERAGE(OFFSET($AM$3,0,0,'Données projet'!$E$10+1,1))-AVERAGE(OFFSET($H$3,0,0,'Données projet'!$E$10+1,1))</f>
        <v>348.82438445524105</v>
      </c>
      <c r="AO19" s="62">
        <f t="shared" si="36"/>
        <v>218.26721063098552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4.2272727272727275</v>
      </c>
      <c r="BD19" s="13">
        <f>IF('Données projet'!$A$88&gt;35,BD18+BC19-BL18,IF(A19&lt;'Données projet'!$A$88,$BA$205^A19,IF(A19='Données projet'!$A$88,'Données projet'!$B$88,BD18+BC19-BL18)))</f>
        <v>27.016181330306161</v>
      </c>
      <c r="BE19" s="14">
        <f>BD19*VLOOKUP('Données projet'!$B$11,Paramètres!$A$1:$I$89,3,0)*VLOOKUP('Données projet'!$B$11,Paramètres!$A$1:$I$89,5,0)</f>
        <v>15.453255720935125</v>
      </c>
      <c r="BF19" s="14">
        <f t="shared" si="37"/>
        <v>5.1780963745856683</v>
      </c>
      <c r="BG19" s="22">
        <f t="shared" si="7"/>
        <v>35.932938233032047</v>
      </c>
      <c r="BH19" s="62">
        <f t="shared" si="8"/>
        <v>312.1551604552543</v>
      </c>
      <c r="BI19" s="62">
        <f ca="1">AVERAGE(OFFSET($BH$3,0,0,'Données projet'!$E$11+1,1))-AVERAGE(OFFSET($H$3,0,0,'Données projet'!$E$11+1,1))</f>
        <v>309.71642374647882</v>
      </c>
      <c r="BJ19" s="62">
        <f t="shared" si="38"/>
        <v>266.63880397664315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</v>
      </c>
      <c r="BY19" s="13">
        <f>IF('Données projet'!$A$114&gt;35,BY18+BX19-CG18,IF(A19&lt;'Données projet'!$A$114,$BV$205^A19,IF(A19='Données projet'!$A$114,'Données projet'!$B$114,BY18+BX19-CG18)))</f>
        <v>15.165709947455436</v>
      </c>
      <c r="BZ19" s="14">
        <f>BY19*VLOOKUP('Données projet'!$B$12,Paramètres!$A$1:$I$89,3,0)*VLOOKUP('Données projet'!$B$12,Paramètres!$A$1:$I$89,5,0)</f>
        <v>14.668274661178899</v>
      </c>
      <c r="CA19" s="14">
        <f t="shared" si="39"/>
        <v>4.944980448688451</v>
      </c>
      <c r="CB19" s="22">
        <f t="shared" si="10"/>
        <v>34.159752649685629</v>
      </c>
      <c r="CC19" s="62">
        <f t="shared" si="11"/>
        <v>310.38197487190786</v>
      </c>
      <c r="CD19" s="62">
        <f ca="1">AVERAGE(OFFSET($CC$3,0,0,'Données projet'!$E$12+1,1))-AVERAGE(OFFSET($H$3,0,0,'Données projet'!$E$12+1,1))</f>
        <v>394.59880827600006</v>
      </c>
      <c r="CE19" s="62">
        <f t="shared" si="40"/>
        <v>244.45149244446094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46.6</v>
      </c>
      <c r="CU19" s="18">
        <f>CT19*VLOOKUP('Données projet'!$B$13,Paramètres!$A$1:$I$89,3,0)*VLOOKUP('Données projet'!$B$13,Paramètres!$A$1:$I$89,5,0)</f>
        <v>37.074960000000004</v>
      </c>
      <c r="CV19" s="14">
        <f t="shared" si="41"/>
        <v>11.219971753147911</v>
      </c>
      <c r="CW19" s="22">
        <f t="shared" si="13"/>
        <v>84.113672803399282</v>
      </c>
      <c r="CX19" s="62">
        <f t="shared" si="14"/>
        <v>360.33589502562154</v>
      </c>
      <c r="CY19" s="62">
        <f ca="1">AVERAGE(OFFSET($CX$3,0,0,'Données projet'!$E$13+1,1))-AVERAGE(OFFSET($H$3,0,0,'Données projet'!$E$13+1,1))</f>
        <v>293.90975929253631</v>
      </c>
      <c r="CZ19" s="62">
        <f t="shared" si="42"/>
        <v>288.30197520356643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46.6</v>
      </c>
      <c r="DP19" s="18">
        <f>DO19*VLOOKUP('Données projet'!$B$14,Paramètres!$A$1:$I$89,3,0)*VLOOKUP('Données projet'!$B$14,Paramètres!$A$1:$I$89,5,0)</f>
        <v>36.347999999999999</v>
      </c>
      <c r="DQ19" s="14">
        <f t="shared" si="43"/>
        <v>11.025356771848859</v>
      </c>
      <c r="DR19" s="22">
        <f t="shared" si="16"/>
        <v>82.508596377636763</v>
      </c>
      <c r="DS19" s="62">
        <f t="shared" si="17"/>
        <v>358.73081859985899</v>
      </c>
      <c r="DT19" s="62">
        <f ca="1">AVERAGE(OFFSET($DS$3,0,0,'Données projet'!$E$14+1,1))-AVERAGE(OFFSET($H$3,0,0,'Données projet'!$E$14+1,1))</f>
        <v>288.82868507674738</v>
      </c>
      <c r="DU19" s="62">
        <f t="shared" si="44"/>
        <v>283.48738729114024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12.6</v>
      </c>
      <c r="EJ19" s="13">
        <f>IF('Données projet'!$A$192&gt;35,EJ18+EI19-ER18,IF(A19&lt;'Données projet'!$A$192,$EG$205^A19,IF(A19='Données projet'!$A$192,'Données projet'!$B$192,EJ18+EI19-ER18)))</f>
        <v>129.6</v>
      </c>
      <c r="EK19" s="18">
        <f>EJ19*VLOOKUP('Données projet'!$B$15,Paramètres!$A$1:$I$89,3,0)*VLOOKUP('Données projet'!$B$15,Paramètres!$A$1:$I$89,5,0)</f>
        <v>117.26208</v>
      </c>
      <c r="EL19" s="14">
        <f t="shared" si="45"/>
        <v>31.035569170075775</v>
      </c>
      <c r="EM19" s="22">
        <f t="shared" si="19"/>
        <v>258.28507230454863</v>
      </c>
      <c r="EN19" s="62">
        <f t="shared" si="20"/>
        <v>534.50729452677092</v>
      </c>
      <c r="EO19" s="62">
        <f ca="1">AVERAGE(OFFSET($EN$3,0,0,'Données projet'!$E$15+1,1))-AVERAGE(OFFSET($H$3,0,0,'Données projet'!$E$15+1,1))</f>
        <v>366.86025470473652</v>
      </c>
      <c r="EP19" s="62">
        <f t="shared" si="46"/>
        <v>513.80016421153414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1.3532496757110142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1.3532496757110142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315.20556786121267</v>
      </c>
      <c r="S20" s="62">
        <f ca="1">AVERAGE(OFFSET($R$3,0,0,'Données projet'!$E$9+1,1))-AVERAGE(OFFSET($H$3,0,0,'Données projet'!$E$9+1,1))</f>
        <v>371.7282125501186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15.142062184537375</v>
      </c>
      <c r="AK20" s="14">
        <f t="shared" si="35"/>
        <v>5.0858500723549716</v>
      </c>
      <c r="AL20" s="22">
        <f t="shared" si="4"/>
        <v>35.230280514087497</v>
      </c>
      <c r="AM20" s="62">
        <f t="shared" si="5"/>
        <v>312.67472495853195</v>
      </c>
      <c r="AN20" s="62">
        <f ca="1">AVERAGE(OFFSET($AM$3,0,0,'Données projet'!$E$10+1,1))-AVERAGE(OFFSET($H$3,0,0,'Données projet'!$E$10+1,1))</f>
        <v>348.82438445524105</v>
      </c>
      <c r="AO20" s="62">
        <f t="shared" si="36"/>
        <v>218.26721063098552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4.2272727272727275</v>
      </c>
      <c r="BD20" s="13">
        <f>IF('Données projet'!$A$88&gt;35,BD19+BC20-BL19,IF(A20&lt;'Données projet'!$A$88,$BA$205^A20,IF(A20='Données projet'!$A$88,'Données projet'!$B$88,BD19+BC20-BL19)))</f>
        <v>33.197123968303622</v>
      </c>
      <c r="BE20" s="14">
        <f>BD20*VLOOKUP('Données projet'!$B$11,Paramètres!$A$1:$I$89,3,0)*VLOOKUP('Données projet'!$B$11,Paramètres!$A$1:$I$89,5,0)</f>
        <v>18.988754909869673</v>
      </c>
      <c r="BF20" s="14">
        <f t="shared" si="37"/>
        <v>6.2120016524748385</v>
      </c>
      <c r="BG20" s="22">
        <f t="shared" si="7"/>
        <v>43.891317679416687</v>
      </c>
      <c r="BH20" s="62">
        <f t="shared" si="8"/>
        <v>321.33576212386117</v>
      </c>
      <c r="BI20" s="62">
        <f ca="1">AVERAGE(OFFSET($BH$3,0,0,'Données projet'!$E$11+1,1))-AVERAGE(OFFSET($H$3,0,0,'Données projet'!$E$11+1,1))</f>
        <v>309.71642374647882</v>
      </c>
      <c r="BJ20" s="62">
        <f t="shared" si="38"/>
        <v>266.63880397664315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</v>
      </c>
      <c r="BY20" s="13">
        <f>IF('Données projet'!$A$114&gt;35,BY19+BX20-CG19,IF(A20&lt;'Données projet'!$A$114,$BV$205^A20,IF(A20='Données projet'!$A$114,'Données projet'!$B$114,BY19+BX20-CG19)))</f>
        <v>17.974907626468866</v>
      </c>
      <c r="BZ20" s="14">
        <f>BY20*VLOOKUP('Données projet'!$B$12,Paramètres!$A$1:$I$89,3,0)*VLOOKUP('Données projet'!$B$12,Paramètres!$A$1:$I$89,5,0)</f>
        <v>17.385330656320686</v>
      </c>
      <c r="CA20" s="14">
        <f t="shared" si="39"/>
        <v>5.7461601236638131</v>
      </c>
      <c r="CB20" s="22">
        <f t="shared" si="10"/>
        <v>40.287346441806335</v>
      </c>
      <c r="CC20" s="62">
        <f t="shared" si="11"/>
        <v>317.73179088625079</v>
      </c>
      <c r="CD20" s="62">
        <f ca="1">AVERAGE(OFFSET($CC$3,0,0,'Données projet'!$E$12+1,1))-AVERAGE(OFFSET($H$3,0,0,'Données projet'!$E$12+1,1))</f>
        <v>394.59880827600006</v>
      </c>
      <c r="CE20" s="62">
        <f t="shared" si="40"/>
        <v>244.45149244446094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56.2</v>
      </c>
      <c r="CU20" s="18">
        <f>CT20*VLOOKUP('Données projet'!$B$13,Paramètres!$A$1:$I$89,3,0)*VLOOKUP('Données projet'!$B$13,Paramètres!$A$1:$I$89,5,0)</f>
        <v>44.712720000000004</v>
      </c>
      <c r="CV20" s="14">
        <f t="shared" si="41"/>
        <v>13.23954243735175</v>
      </c>
      <c r="CW20" s="22">
        <f t="shared" si="13"/>
        <v>100.9335237450543</v>
      </c>
      <c r="CX20" s="62">
        <f t="shared" si="14"/>
        <v>378.37796818949874</v>
      </c>
      <c r="CY20" s="62">
        <f ca="1">AVERAGE(OFFSET($CX$3,0,0,'Données projet'!$E$13+1,1))-AVERAGE(OFFSET($H$3,0,0,'Données projet'!$E$13+1,1))</f>
        <v>293.90975929253631</v>
      </c>
      <c r="CZ20" s="62">
        <f t="shared" si="42"/>
        <v>288.30197520356643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56.2</v>
      </c>
      <c r="DP20" s="18">
        <f>DO20*VLOOKUP('Données projet'!$B$14,Paramètres!$A$1:$I$89,3,0)*VLOOKUP('Données projet'!$B$14,Paramètres!$A$1:$I$89,5,0)</f>
        <v>43.836000000000006</v>
      </c>
      <c r="DQ20" s="14">
        <f t="shared" si="43"/>
        <v>13.009897179721728</v>
      </c>
      <c r="DR20" s="22">
        <f t="shared" si="16"/>
        <v>99.006604254682017</v>
      </c>
      <c r="DS20" s="62">
        <f t="shared" si="17"/>
        <v>376.45104869912649</v>
      </c>
      <c r="DT20" s="62">
        <f ca="1">AVERAGE(OFFSET($DS$3,0,0,'Données projet'!$E$14+1,1))-AVERAGE(OFFSET($H$3,0,0,'Données projet'!$E$14+1,1))</f>
        <v>288.82868507674738</v>
      </c>
      <c r="DU20" s="62">
        <f t="shared" si="44"/>
        <v>283.48738729114024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12.6</v>
      </c>
      <c r="EJ20" s="13">
        <f>IF('Données projet'!$A$192&gt;35,EJ19+EI20-ER19,IF(A20&lt;'Données projet'!$A$192,$EG$205^A20,IF(A20='Données projet'!$A$192,'Données projet'!$B$192,EJ19+EI20-ER19)))</f>
        <v>142.19999999999999</v>
      </c>
      <c r="EK20" s="18">
        <f>EJ20*VLOOKUP('Données projet'!$B$15,Paramètres!$A$1:$I$89,3,0)*VLOOKUP('Données projet'!$B$15,Paramètres!$A$1:$I$89,5,0)</f>
        <v>128.66255999999998</v>
      </c>
      <c r="EL20" s="14">
        <f t="shared" si="45"/>
        <v>33.687130461083775</v>
      </c>
      <c r="EM20" s="22">
        <f t="shared" si="19"/>
        <v>282.75904421972086</v>
      </c>
      <c r="EN20" s="62">
        <f t="shared" si="20"/>
        <v>560.20348866416532</v>
      </c>
      <c r="EO20" s="62">
        <f ca="1">AVERAGE(OFFSET($EN$3,0,0,'Données projet'!$E$15+1,1))-AVERAGE(OFFSET($H$3,0,0,'Données projet'!$E$15+1,1))</f>
        <v>366.86025470473652</v>
      </c>
      <c r="EP20" s="62">
        <f t="shared" si="46"/>
        <v>513.80016421153414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1.3267132749711219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1.3267132749711219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323.20338017372916</v>
      </c>
      <c r="S21" s="62">
        <f ca="1">AVERAGE(OFFSET($R$3,0,0,'Données projet'!$E$9+1,1))-AVERAGE(OFFSET($H$3,0,0,'Données projet'!$E$9+1,1))</f>
        <v>371.7282125501186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17.946879505431507</v>
      </c>
      <c r="AK21" s="14">
        <f t="shared" si="35"/>
        <v>5.9098532711994682</v>
      </c>
      <c r="AL21" s="22">
        <f t="shared" si="4"/>
        <v>41.550476252632279</v>
      </c>
      <c r="AM21" s="62">
        <f t="shared" si="5"/>
        <v>320.21714291929896</v>
      </c>
      <c r="AN21" s="62">
        <f ca="1">AVERAGE(OFFSET($AM$3,0,0,'Données projet'!$E$10+1,1))-AVERAGE(OFFSET($H$3,0,0,'Données projet'!$E$10+1,1))</f>
        <v>348.82438445524105</v>
      </c>
      <c r="AO21" s="62">
        <f t="shared" si="36"/>
        <v>218.26721063098552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4.2272727272727275</v>
      </c>
      <c r="BD21" s="13">
        <f>IF('Données projet'!$A$88&gt;35,BD20+BC21-BL20,IF(A21&lt;'Données projet'!$A$88,$BA$205^A21,IF(A21='Données projet'!$A$88,'Données projet'!$B$88,BD20+BC21-BL20)))</f>
        <v>40.792183998656547</v>
      </c>
      <c r="BE21" s="14">
        <f>BD21*VLOOKUP('Données projet'!$B$11,Paramètres!$A$1:$I$89,3,0)*VLOOKUP('Données projet'!$B$11,Paramètres!$A$1:$I$89,5,0)</f>
        <v>23.333129247231543</v>
      </c>
      <c r="BF21" s="14">
        <f t="shared" si="37"/>
        <v>7.4523457538848614</v>
      </c>
      <c r="BG21" s="22">
        <f t="shared" si="7"/>
        <v>53.618035626944398</v>
      </c>
      <c r="BH21" s="62">
        <f t="shared" si="8"/>
        <v>332.28470229361108</v>
      </c>
      <c r="BI21" s="62">
        <f ca="1">AVERAGE(OFFSET($BH$3,0,0,'Données projet'!$E$11+1,1))-AVERAGE(OFFSET($H$3,0,0,'Données projet'!$E$11+1,1))</f>
        <v>309.71642374647882</v>
      </c>
      <c r="BJ21" s="62">
        <f t="shared" si="38"/>
        <v>266.63880397664315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</v>
      </c>
      <c r="BY21" s="13">
        <f>IF('Données projet'!$A$114&gt;35,BY20+BX21-CG20,IF(A21&lt;'Données projet'!$A$114,$BV$205^A21,IF(A21='Données projet'!$A$114,'Données projet'!$B$114,BY20+BX21-CG20)))</f>
        <v>21.304462850702166</v>
      </c>
      <c r="BZ21" s="14">
        <f>BY21*VLOOKUP('Données projet'!$B$12,Paramètres!$A$1:$I$89,3,0)*VLOOKUP('Données projet'!$B$12,Paramètres!$A$1:$I$89,5,0)</f>
        <v>20.605676469199135</v>
      </c>
      <c r="CA21" s="14">
        <f t="shared" si="39"/>
        <v>6.6771459481789375</v>
      </c>
      <c r="CB21" s="22">
        <f t="shared" si="10"/>
        <v>47.517582376933468</v>
      </c>
      <c r="CC21" s="62">
        <f t="shared" si="11"/>
        <v>326.18424904360018</v>
      </c>
      <c r="CD21" s="62">
        <f ca="1">AVERAGE(OFFSET($CC$3,0,0,'Données projet'!$E$12+1,1))-AVERAGE(OFFSET($H$3,0,0,'Données projet'!$E$12+1,1))</f>
        <v>394.59880827600006</v>
      </c>
      <c r="CE21" s="62">
        <f t="shared" si="40"/>
        <v>244.45149244446094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65.8</v>
      </c>
      <c r="CU21" s="18">
        <f>CT21*VLOOKUP('Données projet'!$B$13,Paramètres!$A$1:$I$89,3,0)*VLOOKUP('Données projet'!$B$13,Paramètres!$A$1:$I$89,5,0)</f>
        <v>52.350480000000005</v>
      </c>
      <c r="CV21" s="14">
        <f t="shared" si="41"/>
        <v>15.219148938422377</v>
      </c>
      <c r="CW21" s="22">
        <f t="shared" si="13"/>
        <v>117.68377040108562</v>
      </c>
      <c r="CX21" s="62">
        <f t="shared" si="14"/>
        <v>396.3504370677523</v>
      </c>
      <c r="CY21" s="62">
        <f ca="1">AVERAGE(OFFSET($CX$3,0,0,'Données projet'!$E$13+1,1))-AVERAGE(OFFSET($H$3,0,0,'Données projet'!$E$13+1,1))</f>
        <v>293.90975929253631</v>
      </c>
      <c r="CZ21" s="62">
        <f t="shared" si="42"/>
        <v>288.30197520356643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65.8</v>
      </c>
      <c r="DP21" s="18">
        <f>DO21*VLOOKUP('Données projet'!$B$14,Paramètres!$A$1:$I$89,3,0)*VLOOKUP('Données projet'!$B$14,Paramètres!$A$1:$I$89,5,0)</f>
        <v>51.323999999999998</v>
      </c>
      <c r="DQ21" s="14">
        <f t="shared" si="43"/>
        <v>14.95516659950003</v>
      </c>
      <c r="DR21" s="22">
        <f t="shared" si="16"/>
        <v>115.43621516079588</v>
      </c>
      <c r="DS21" s="62">
        <f t="shared" si="17"/>
        <v>394.10288182746257</v>
      </c>
      <c r="DT21" s="62">
        <f ca="1">AVERAGE(OFFSET($DS$3,0,0,'Données projet'!$E$14+1,1))-AVERAGE(OFFSET($H$3,0,0,'Données projet'!$E$14+1,1))</f>
        <v>288.82868507674738</v>
      </c>
      <c r="DU21" s="62">
        <f t="shared" si="44"/>
        <v>283.48738729114024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12.6</v>
      </c>
      <c r="EJ21" s="13">
        <f>IF('Données projet'!$A$192&gt;35,EJ20+EI21-ER20,IF(A21&lt;'Données projet'!$A$192,$EG$205^A21,IF(A21='Données projet'!$A$192,'Données projet'!$B$192,EJ20+EI21-ER20)))</f>
        <v>154.79999999999998</v>
      </c>
      <c r="EK21" s="18">
        <f>EJ21*VLOOKUP('Données projet'!$B$15,Paramètres!$A$1:$I$89,3,0)*VLOOKUP('Données projet'!$B$15,Paramètres!$A$1:$I$89,5,0)</f>
        <v>140.06303999999997</v>
      </c>
      <c r="EL21" s="14">
        <f t="shared" si="45"/>
        <v>36.31144669536954</v>
      </c>
      <c r="EM21" s="22">
        <f t="shared" si="19"/>
        <v>307.18556432776853</v>
      </c>
      <c r="EN21" s="62">
        <f t="shared" si="20"/>
        <v>585.85223099443522</v>
      </c>
      <c r="EO21" s="62">
        <f ca="1">AVERAGE(OFFSET($EN$3,0,0,'Données projet'!$E$15+1,1))-AVERAGE(OFFSET($H$3,0,0,'Données projet'!$E$15+1,1))</f>
        <v>366.86025470473652</v>
      </c>
      <c r="EP21" s="62">
        <f t="shared" si="46"/>
        <v>513.80016421153414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1.3006972368641325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1.3006972368641325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332.42077098296102</v>
      </c>
      <c r="S22" s="62">
        <f ca="1">AVERAGE(OFFSET($R$3,0,0,'Données projet'!$E$9+1,1))-AVERAGE(OFFSET($H$3,0,0,'Données projet'!$E$9+1,1))</f>
        <v>371.7282125501186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21.271242982437798</v>
      </c>
      <c r="AK22" s="14">
        <f t="shared" si="35"/>
        <v>6.8673604589634802</v>
      </c>
      <c r="AL22" s="22">
        <f t="shared" si="4"/>
        <v>49.00806766044056</v>
      </c>
      <c r="AM22" s="62">
        <f t="shared" si="5"/>
        <v>328.89695654932939</v>
      </c>
      <c r="AN22" s="62">
        <f ca="1">AVERAGE(OFFSET($AM$3,0,0,'Données projet'!$E$10+1,1))-AVERAGE(OFFSET($H$3,0,0,'Données projet'!$E$10+1,1))</f>
        <v>348.82438445524105</v>
      </c>
      <c r="AO22" s="62">
        <f t="shared" si="36"/>
        <v>218.26721063098552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4.2272727272727275</v>
      </c>
      <c r="BD22" s="13">
        <f>IF('Données projet'!$A$88&gt;35,BD21+BC22-BL21,IF(A22&lt;'Données projet'!$A$88,$BA$205^A22,IF(A22='Données projet'!$A$88,'Données projet'!$B$88,BD21+BC22-BL21)))</f>
        <v>50.124892655430898</v>
      </c>
      <c r="BE22" s="14">
        <f>BD22*VLOOKUP('Données projet'!$B$11,Paramètres!$A$1:$I$89,3,0)*VLOOKUP('Données projet'!$B$11,Paramètres!$A$1:$I$89,5,0)</f>
        <v>28.671438598906473</v>
      </c>
      <c r="BF22" s="14">
        <f t="shared" si="37"/>
        <v>8.9403481103904472</v>
      </c>
      <c r="BG22" s="22">
        <f t="shared" si="7"/>
        <v>65.50719518535881</v>
      </c>
      <c r="BH22" s="62">
        <f t="shared" si="8"/>
        <v>345.39608407424765</v>
      </c>
      <c r="BI22" s="62">
        <f ca="1">AVERAGE(OFFSET($BH$3,0,0,'Données projet'!$E$11+1,1))-AVERAGE(OFFSET($H$3,0,0,'Données projet'!$E$11+1,1))</f>
        <v>309.71642374647882</v>
      </c>
      <c r="BJ22" s="62">
        <f t="shared" si="38"/>
        <v>266.63880397664315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</v>
      </c>
      <c r="BY22" s="13">
        <f>IF('Données projet'!$A$114&gt;35,BY21+BX22-CG21,IF(A22&lt;'Données projet'!$A$114,$BV$205^A22,IF(A22='Données projet'!$A$114,'Données projet'!$B$114,BY21+BX22-CG21)))</f>
        <v>25.250763274498809</v>
      </c>
      <c r="BZ22" s="14">
        <f>BY22*VLOOKUP('Données projet'!$B$12,Paramètres!$A$1:$I$89,3,0)*VLOOKUP('Données projet'!$B$12,Paramètres!$A$1:$I$89,5,0)</f>
        <v>24.42253823909525</v>
      </c>
      <c r="CA22" s="14">
        <f t="shared" si="39"/>
        <v>7.7589689555770613</v>
      </c>
      <c r="CB22" s="22">
        <f t="shared" si="10"/>
        <v>56.049458364054281</v>
      </c>
      <c r="CC22" s="62">
        <f t="shared" si="11"/>
        <v>335.93834725294312</v>
      </c>
      <c r="CD22" s="62">
        <f ca="1">AVERAGE(OFFSET($CC$3,0,0,'Données projet'!$E$12+1,1))-AVERAGE(OFFSET($H$3,0,0,'Données projet'!$E$12+1,1))</f>
        <v>394.59880827600006</v>
      </c>
      <c r="CE22" s="62">
        <f t="shared" si="40"/>
        <v>244.45149244446094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75.399999999999991</v>
      </c>
      <c r="CU22" s="18">
        <f>CT22*VLOOKUP('Données projet'!$B$13,Paramètres!$A$1:$I$89,3,0)*VLOOKUP('Données projet'!$B$13,Paramètres!$A$1:$I$89,5,0)</f>
        <v>59.98823999999999</v>
      </c>
      <c r="CV22" s="14">
        <f t="shared" si="41"/>
        <v>17.165295681607951</v>
      </c>
      <c r="CW22" s="22">
        <f t="shared" si="13"/>
        <v>134.37574131213381</v>
      </c>
      <c r="CX22" s="62">
        <f t="shared" si="14"/>
        <v>414.26463020102267</v>
      </c>
      <c r="CY22" s="62">
        <f ca="1">AVERAGE(OFFSET($CX$3,0,0,'Données projet'!$E$13+1,1))-AVERAGE(OFFSET($H$3,0,0,'Données projet'!$E$13+1,1))</f>
        <v>293.90975929253631</v>
      </c>
      <c r="CZ22" s="62">
        <f t="shared" si="42"/>
        <v>288.30197520356643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75.399999999999991</v>
      </c>
      <c r="DP22" s="18">
        <f>DO22*VLOOKUP('Données projet'!$B$14,Paramètres!$A$1:$I$89,3,0)*VLOOKUP('Données projet'!$B$14,Paramètres!$A$1:$I$89,5,0)</f>
        <v>58.811999999999998</v>
      </c>
      <c r="DQ22" s="14">
        <f t="shared" si="43"/>
        <v>16.86755663452599</v>
      </c>
      <c r="DR22" s="22">
        <f t="shared" si="16"/>
        <v>131.8085611384661</v>
      </c>
      <c r="DS22" s="62">
        <f t="shared" si="17"/>
        <v>411.69745002735499</v>
      </c>
      <c r="DT22" s="62">
        <f ca="1">AVERAGE(OFFSET($DS$3,0,0,'Données projet'!$E$14+1,1))-AVERAGE(OFFSET($H$3,0,0,'Données projet'!$E$14+1,1))</f>
        <v>288.82868507674738</v>
      </c>
      <c r="DU22" s="62">
        <f t="shared" si="44"/>
        <v>283.48738729114024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12.6</v>
      </c>
      <c r="EJ22" s="13">
        <f>IF('Données projet'!$A$192&gt;35,EJ21+EI22-ER21,IF(A22&lt;'Données projet'!$A$192,$EG$205^A22,IF(A22='Données projet'!$A$192,'Données projet'!$B$192,EJ21+EI22-ER21)))</f>
        <v>167.39999999999998</v>
      </c>
      <c r="EK22" s="18">
        <f>EJ22*VLOOKUP('Données projet'!$B$15,Paramètres!$A$1:$I$89,3,0)*VLOOKUP('Données projet'!$B$15,Paramètres!$A$1:$I$89,5,0)</f>
        <v>151.46351999999999</v>
      </c>
      <c r="EL22" s="14">
        <f t="shared" si="45"/>
        <v>38.910987614777085</v>
      </c>
      <c r="EM22" s="22">
        <f t="shared" si="19"/>
        <v>331.56893409573678</v>
      </c>
      <c r="EN22" s="62">
        <f t="shared" si="20"/>
        <v>611.45782298462564</v>
      </c>
      <c r="EO22" s="62">
        <f ca="1">AVERAGE(OFFSET($EN$3,0,0,'Données projet'!$E$15+1,1))-AVERAGE(OFFSET($H$3,0,0,'Données projet'!$E$15+1,1))</f>
        <v>366.86025470473652</v>
      </c>
      <c r="EP22" s="62">
        <f t="shared" si="46"/>
        <v>513.80016421153414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1.2751913573962048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1.2751913573962048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343.07789739847863</v>
      </c>
      <c r="S23" s="62">
        <f ca="1">AVERAGE(OFFSET($R$3,0,0,'Données projet'!$E$9+1,1))-AVERAGE(OFFSET($H$3,0,0,'Données projet'!$E$9+1,1))</f>
        <v>371.7282125501186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25.211389973447666</v>
      </c>
      <c r="AK23" s="14">
        <f t="shared" si="35"/>
        <v>7.9800017883969039</v>
      </c>
      <c r="AL23" s="22">
        <f t="shared" si="4"/>
        <v>57.808340651879291</v>
      </c>
      <c r="AM23" s="62">
        <f t="shared" si="5"/>
        <v>338.91945176299043</v>
      </c>
      <c r="AN23" s="62">
        <f ca="1">AVERAGE(OFFSET($AM$3,0,0,'Données projet'!$E$10+1,1))-AVERAGE(OFFSET($H$3,0,0,'Données projet'!$E$10+1,1))</f>
        <v>348.82438445524105</v>
      </c>
      <c r="AO23" s="62">
        <f t="shared" si="36"/>
        <v>218.26721063098552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4.2272727272727275</v>
      </c>
      <c r="BD23" s="13">
        <f>IF('Données projet'!$A$88&gt;35,BD22+BC23-BL22,IF(A23&lt;'Données projet'!$A$88,$BA$205^A23,IF(A23='Données projet'!$A$88,'Données projet'!$B$88,BD22+BC23-BL22)))</f>
        <v>61.592800812067757</v>
      </c>
      <c r="BE23" s="14">
        <f>BD23*VLOOKUP('Données projet'!$B$11,Paramètres!$A$1:$I$89,3,0)*VLOOKUP('Données projet'!$B$11,Paramètres!$A$1:$I$89,5,0)</f>
        <v>35.231082064502758</v>
      </c>
      <c r="BF23" s="14">
        <f t="shared" si="37"/>
        <v>10.725458395874229</v>
      </c>
      <c r="BG23" s="22">
        <f t="shared" si="7"/>
        <v>80.040974635156573</v>
      </c>
      <c r="BH23" s="62">
        <f t="shared" si="8"/>
        <v>361.15208574626774</v>
      </c>
      <c r="BI23" s="62">
        <f ca="1">AVERAGE(OFFSET($BH$3,0,0,'Données projet'!$E$11+1,1))-AVERAGE(OFFSET($H$3,0,0,'Données projet'!$E$11+1,1))</f>
        <v>309.71642374647882</v>
      </c>
      <c r="BJ23" s="62">
        <f t="shared" si="38"/>
        <v>266.63880397664315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</v>
      </c>
      <c r="BY23" s="13">
        <f>IF('Données projet'!$A$114&gt;35,BY22+BX23-CG22,IF(A23&lt;'Données projet'!$A$114,$BV$205^A23,IF(A23='Données projet'!$A$114,'Données projet'!$B$114,BY22+BX23-CG22)))</f>
        <v>29.92805077569761</v>
      </c>
      <c r="BZ23" s="14">
        <f>BY23*VLOOKUP('Données projet'!$B$12,Paramètres!$A$1:$I$89,3,0)*VLOOKUP('Données projet'!$B$12,Paramètres!$A$1:$I$89,5,0)</f>
        <v>28.946410710254728</v>
      </c>
      <c r="CA23" s="14">
        <f t="shared" si="39"/>
        <v>9.0160676014618808</v>
      </c>
      <c r="CB23" s="22">
        <f t="shared" si="10"/>
        <v>66.117983059573092</v>
      </c>
      <c r="CC23" s="62">
        <f t="shared" si="11"/>
        <v>347.22909417068422</v>
      </c>
      <c r="CD23" s="62">
        <f ca="1">AVERAGE(OFFSET($CC$3,0,0,'Données projet'!$E$12+1,1))-AVERAGE(OFFSET($H$3,0,0,'Données projet'!$E$12+1,1))</f>
        <v>394.59880827600006</v>
      </c>
      <c r="CE23" s="62">
        <f t="shared" si="40"/>
        <v>244.45149244446094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85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84.999999999999986</v>
      </c>
      <c r="CU23" s="18">
        <f>CT23*VLOOKUP('Données projet'!$B$13,Paramètres!$A$1:$I$89,3,0)*VLOOKUP('Données projet'!$B$13,Paramètres!$A$1:$I$89,5,0)</f>
        <v>67.625999999999991</v>
      </c>
      <c r="CV23" s="14">
        <f t="shared" si="41"/>
        <v>19.082731089464875</v>
      </c>
      <c r="CW23" s="22">
        <f t="shared" si="13"/>
        <v>151.01770664748463</v>
      </c>
      <c r="CX23" s="62">
        <f t="shared" si="14"/>
        <v>432.1288177585958</v>
      </c>
      <c r="CY23" s="62">
        <f ca="1">AVERAGE(OFFSET($CX$3,0,0,'Données projet'!$E$13+1,1))-AVERAGE(OFFSET($H$3,0,0,'Données projet'!$E$13+1,1))</f>
        <v>293.90975929253631</v>
      </c>
      <c r="CZ23" s="62">
        <f t="shared" si="42"/>
        <v>288.30197520356643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25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85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84.999999999999986</v>
      </c>
      <c r="DP23" s="18">
        <f>DO23*VLOOKUP('Données projet'!$B$14,Paramètres!$A$1:$I$89,3,0)*VLOOKUP('Données projet'!$B$14,Paramètres!$A$1:$I$89,5,0)</f>
        <v>66.3</v>
      </c>
      <c r="DQ23" s="14">
        <f t="shared" si="43"/>
        <v>18.751733344032118</v>
      </c>
      <c r="DR23" s="22">
        <f t="shared" si="16"/>
        <v>148.13176890752257</v>
      </c>
      <c r="DS23" s="62">
        <f t="shared" si="17"/>
        <v>429.24288001863374</v>
      </c>
      <c r="DT23" s="62">
        <f ca="1">AVERAGE(OFFSET($DS$3,0,0,'Données projet'!$E$14+1,1))-AVERAGE(OFFSET($H$3,0,0,'Données projet'!$E$14+1,1))</f>
        <v>288.82868507674738</v>
      </c>
      <c r="DU23" s="62">
        <f t="shared" si="44"/>
        <v>283.48738729114024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25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180</v>
      </c>
      <c r="EH23" s="13">
        <f>VLOOKUP(A23,'Données projet'!$A$191:$I$211,9,0)</f>
        <v>12.6</v>
      </c>
      <c r="EI23" s="13">
        <f t="array" ref="EI23">INDEX(EH:EH,MIN(IF(ISNUMBER(EH23:EH219),ROW(EH23:EH219),"")))</f>
        <v>12.6</v>
      </c>
      <c r="EJ23" s="13">
        <f>IF('Données projet'!$A$192&gt;35,EJ22+EI23-ER22,IF(A23&lt;'Données projet'!$A$192,$EG$205^A23,IF(A23='Données projet'!$A$192,'Données projet'!$B$192,EJ22+EI23-ER22)))</f>
        <v>179.99999999999997</v>
      </c>
      <c r="EK23" s="18">
        <f>EJ23*VLOOKUP('Données projet'!$B$15,Paramètres!$A$1:$I$89,3,0)*VLOOKUP('Données projet'!$B$15,Paramètres!$A$1:$I$89,5,0)</f>
        <v>162.86399999999998</v>
      </c>
      <c r="EL23" s="14">
        <f t="shared" si="45"/>
        <v>41.487830069509123</v>
      </c>
      <c r="EM23" s="22">
        <f t="shared" si="19"/>
        <v>355.91277070439497</v>
      </c>
      <c r="EN23" s="62">
        <f t="shared" si="20"/>
        <v>637.02388181550612</v>
      </c>
      <c r="EO23" s="62">
        <f ca="1">AVERAGE(OFFSET($EN$3,0,0,'Données projet'!$E$15+1,1))-AVERAGE(OFFSET($H$3,0,0,'Données projet'!$E$15+1,1))</f>
        <v>366.86025470473652</v>
      </c>
      <c r="EP23" s="62">
        <f t="shared" si="46"/>
        <v>513.80016421153414</v>
      </c>
      <c r="EQ23" s="16">
        <f>IF(ISNA(VLOOKUP(A23,'Données projet'!$A$191:$I$211,3,0)),0,VLOOKUP(A23,'Données projet'!$A$191:$I$211,3,0))</f>
        <v>4</v>
      </c>
      <c r="ER23" s="16">
        <f>IF(ISNA(VLOOKUP(A23,'Données projet'!$A$191:$I$211,4,0)),0,VLOOKUP(A23,'Données projet'!$A$191:$I$211,4,0))</f>
        <v>18</v>
      </c>
      <c r="ES23" s="17">
        <f>IF(ISNA(VLOOKUP(A23,'Données projet'!$A$191:$I$211,5,0)),0%,VLOOKUP(A23,'Données projet'!$A$191:$I$211,5,0)*VLOOKUP('Données projet'!$B$15,Paramètres!$A$1:$I$89,7,0))</f>
        <v>0.24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5.5711775020816985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5.5711775020816985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355.4347654452813</v>
      </c>
      <c r="S24" s="62">
        <f ca="1">AVERAGE(OFFSET($R$3,0,0,'Données projet'!$E$9+1,1))-AVERAGE(OFFSET($H$3,0,0,'Données projet'!$E$9+1,1))</f>
        <v>371.7282125501186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29.881384219908558</v>
      </c>
      <c r="AK24" s="14">
        <f t="shared" si="35"/>
        <v>9.272911903102484</v>
      </c>
      <c r="AL24" s="22">
        <f t="shared" si="4"/>
        <v>68.193732414244224</v>
      </c>
      <c r="AM24" s="62">
        <f t="shared" si="5"/>
        <v>350.52706574757752</v>
      </c>
      <c r="AN24" s="62">
        <f ca="1">AVERAGE(OFFSET($AM$3,0,0,'Données projet'!$E$10+1,1))-AVERAGE(OFFSET($H$3,0,0,'Données projet'!$E$10+1,1))</f>
        <v>348.82438445524105</v>
      </c>
      <c r="AO24" s="62">
        <f t="shared" si="36"/>
        <v>218.26721063098552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4.2272727272727275</v>
      </c>
      <c r="BD24" s="13">
        <f>IF('Données projet'!$A$88&gt;35,BD23+BC24-BL23,IF(A24&lt;'Données projet'!$A$88,$BA$205^A24,IF(A24='Données projet'!$A$88,'Données projet'!$B$88,BD23+BC24-BL23)))</f>
        <v>75.684413689492871</v>
      </c>
      <c r="BE24" s="14">
        <f>BD24*VLOOKUP('Données projet'!$B$11,Paramètres!$A$1:$I$89,3,0)*VLOOKUP('Données projet'!$B$11,Paramètres!$A$1:$I$89,5,0)</f>
        <v>43.291484630389924</v>
      </c>
      <c r="BF24" s="14">
        <f t="shared" si="37"/>
        <v>12.866999850703252</v>
      </c>
      <c r="BG24" s="22">
        <f t="shared" si="7"/>
        <v>97.80936047123727</v>
      </c>
      <c r="BH24" s="62">
        <f t="shared" si="8"/>
        <v>380.14269380457057</v>
      </c>
      <c r="BI24" s="62">
        <f ca="1">AVERAGE(OFFSET($BH$3,0,0,'Données projet'!$E$11+1,1))-AVERAGE(OFFSET($H$3,0,0,'Données projet'!$E$11+1,1))</f>
        <v>309.71642374647882</v>
      </c>
      <c r="BJ24" s="62">
        <f t="shared" si="38"/>
        <v>266.63880397664315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</v>
      </c>
      <c r="BY24" s="13">
        <f>IF('Données projet'!$A$114&gt;35,BY23+BX24-CG23,IF(A24&lt;'Données projet'!$A$114,$BV$205^A24,IF(A24='Données projet'!$A$114,'Données projet'!$B$114,BY23+BX24-CG23)))</f>
        <v>35.471728656111772</v>
      </c>
      <c r="BZ24" s="14">
        <f>BY24*VLOOKUP('Données projet'!$B$12,Paramètres!$A$1:$I$89,3,0)*VLOOKUP('Données projet'!$B$12,Paramètres!$A$1:$I$89,5,0)</f>
        <v>34.308255956191303</v>
      </c>
      <c r="CA24" s="14">
        <f t="shared" si="39"/>
        <v>10.476839830078278</v>
      </c>
      <c r="CB24" s="22">
        <f t="shared" si="10"/>
        <v>78.000708494419527</v>
      </c>
      <c r="CC24" s="62">
        <f t="shared" si="11"/>
        <v>360.33404182775286</v>
      </c>
      <c r="CD24" s="62">
        <f ca="1">AVERAGE(OFFSET($CC$3,0,0,'Données projet'!$E$12+1,1))-AVERAGE(OFFSET($H$3,0,0,'Données projet'!$E$12+1,1))</f>
        <v>394.59880827600006</v>
      </c>
      <c r="CE24" s="62">
        <f t="shared" si="40"/>
        <v>244.45149244446094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56.16935999999999</v>
      </c>
      <c r="CV24" s="14">
        <f t="shared" si="41"/>
        <v>16.196075828429539</v>
      </c>
      <c r="CW24" s="22">
        <f t="shared" si="13"/>
        <v>126.03646740118143</v>
      </c>
      <c r="CX24" s="62">
        <f t="shared" si="14"/>
        <v>408.36980073451474</v>
      </c>
      <c r="CY24" s="62">
        <f ca="1">AVERAGE(OFFSET($CX$3,0,0,'Données projet'!$E$13+1,1))-AVERAGE(OFFSET($H$3,0,0,'Données projet'!$E$13+1,1))</f>
        <v>293.90975929253631</v>
      </c>
      <c r="CZ24" s="62">
        <f t="shared" si="42"/>
        <v>288.30197520356643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70.59999999999998</v>
      </c>
      <c r="DP24" s="18">
        <f>DO24*VLOOKUP('Données projet'!$B$14,Paramètres!$A$1:$I$89,3,0)*VLOOKUP('Données projet'!$B$14,Paramètres!$A$1:$I$89,5,0)</f>
        <v>55.067999999999984</v>
      </c>
      <c r="DQ24" s="14">
        <f t="shared" si="43"/>
        <v>15.915148294580479</v>
      </c>
      <c r="DR24" s="22">
        <f t="shared" si="16"/>
        <v>123.62898327972762</v>
      </c>
      <c r="DS24" s="62">
        <f t="shared" si="17"/>
        <v>405.96231661306092</v>
      </c>
      <c r="DT24" s="62">
        <f ca="1">AVERAGE(OFFSET($DS$3,0,0,'Données projet'!$E$14+1,1))-AVERAGE(OFFSET($H$3,0,0,'Données projet'!$E$14+1,1))</f>
        <v>288.82868507674738</v>
      </c>
      <c r="DU24" s="62">
        <f t="shared" si="44"/>
        <v>283.48738729114024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10.4</v>
      </c>
      <c r="EJ24" s="13">
        <f>IF('Données projet'!$A$192&gt;35,EJ23+EI24-ER23,IF(A24&lt;'Données projet'!$A$192,$EG$205^A24,IF(A24='Données projet'!$A$192,'Données projet'!$B$192,EJ23+EI24-ER23)))</f>
        <v>172.39999999999998</v>
      </c>
      <c r="EK24" s="18">
        <f>EJ24*VLOOKUP('Données projet'!$B$15,Paramètres!$A$1:$I$89,3,0)*VLOOKUP('Données projet'!$B$15,Paramètres!$A$1:$I$89,5,0)</f>
        <v>155.98751999999996</v>
      </c>
      <c r="EL24" s="14">
        <f t="shared" si="45"/>
        <v>39.936155927663087</v>
      </c>
      <c r="EM24" s="22">
        <f t="shared" si="19"/>
        <v>341.23373557401311</v>
      </c>
      <c r="EN24" s="62">
        <f t="shared" si="20"/>
        <v>623.56706890734642</v>
      </c>
      <c r="EO24" s="62">
        <f ca="1">AVERAGE(OFFSET($EN$3,0,0,'Données projet'!$E$15+1,1))-AVERAGE(OFFSET($H$3,0,0,'Données projet'!$E$15+1,1))</f>
        <v>366.86025470473652</v>
      </c>
      <c r="EP24" s="62">
        <f t="shared" si="46"/>
        <v>513.80016421153414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5.4619301093486197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5.4619301093486197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369.7984604882671</v>
      </c>
      <c r="S25" s="62">
        <f ca="1">AVERAGE(OFFSET($R$3,0,0,'Données projet'!$E$9+1,1))-AVERAGE(OFFSET($H$3,0,0,'Données projet'!$E$9+1,1))</f>
        <v>371.7282125501186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35.416417890413385</v>
      </c>
      <c r="AK25" s="14">
        <f t="shared" si="35"/>
        <v>10.775297730850967</v>
      </c>
      <c r="AL25" s="22">
        <f t="shared" si="4"/>
        <v>80.450571373702076</v>
      </c>
      <c r="AM25" s="62">
        <f t="shared" si="5"/>
        <v>364.00612692925762</v>
      </c>
      <c r="AN25" s="62">
        <f ca="1">AVERAGE(OFFSET($AM$3,0,0,'Données projet'!$E$10+1,1))-AVERAGE(OFFSET($H$3,0,0,'Données projet'!$E$10+1,1))</f>
        <v>348.82438445524105</v>
      </c>
      <c r="AO25" s="62">
        <f t="shared" si="36"/>
        <v>218.26721063098552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93</v>
      </c>
      <c r="BB25" s="13">
        <f>VLOOKUP(A25,'Données projet'!$A$87:$I$107,9,0)</f>
        <v>4.2272727272727275</v>
      </c>
      <c r="BC25" s="13">
        <f t="array" ref="BC25">INDEX(BB:BB,MIN(IF(ISNUMBER(BB25:BB221),ROW(BB25:BB221),"")))</f>
        <v>4.2272727272727275</v>
      </c>
      <c r="BD25" s="13">
        <f>IF('Données projet'!$A$88&gt;35,BD24+BC25-BL24,IF(A25&lt;'Données projet'!$A$88,$BA$205^A25,IF(A25='Données projet'!$A$88,'Données projet'!$B$88,BD24+BC25-BL24)))</f>
        <v>93</v>
      </c>
      <c r="BE25" s="14">
        <f>BD25*VLOOKUP('Données projet'!$B$11,Paramètres!$A$1:$I$89,3,0)*VLOOKUP('Données projet'!$B$11,Paramètres!$A$1:$I$89,5,0)</f>
        <v>53.196000000000005</v>
      </c>
      <c r="BF25" s="14">
        <f t="shared" si="37"/>
        <v>15.436140726785499</v>
      </c>
      <c r="BG25" s="22">
        <f t="shared" si="7"/>
        <v>119.53431176581809</v>
      </c>
      <c r="BH25" s="62">
        <f t="shared" si="8"/>
        <v>403.08986732137362</v>
      </c>
      <c r="BI25" s="62">
        <f ca="1">AVERAGE(OFFSET($BH$3,0,0,'Données projet'!$E$11+1,1))-AVERAGE(OFFSET($H$3,0,0,'Données projet'!$E$11+1,1))</f>
        <v>309.71642374647882</v>
      </c>
      <c r="BJ25" s="62">
        <f t="shared" si="38"/>
        <v>266.63880397664315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9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</v>
      </c>
      <c r="BY25" s="13">
        <f>IF('Données projet'!$A$114&gt;35,BY24+BX25-CG24,IF(A25&lt;'Données projet'!$A$114,$BV$205^A25,IF(A25='Données projet'!$A$114,'Données projet'!$B$114,BY24+BX25-CG24)))</f>
        <v>42.042281446359659</v>
      </c>
      <c r="BZ25" s="14">
        <f>BY25*VLOOKUP('Données projet'!$B$12,Paramètres!$A$1:$I$89,3,0)*VLOOKUP('Données projet'!$B$12,Paramètres!$A$1:$I$89,5,0)</f>
        <v>40.663294614919067</v>
      </c>
      <c r="CA25" s="14">
        <f t="shared" si="39"/>
        <v>12.174284585811812</v>
      </c>
      <c r="CB25" s="22">
        <f t="shared" si="10"/>
        <v>92.025450441272952</v>
      </c>
      <c r="CC25" s="62">
        <f t="shared" si="11"/>
        <v>375.58100599682848</v>
      </c>
      <c r="CD25" s="62">
        <f ca="1">AVERAGE(OFFSET($CC$3,0,0,'Données projet'!$E$12+1,1))-AVERAGE(OFFSET($H$3,0,0,'Données projet'!$E$12+1,1))</f>
        <v>394.59880827600006</v>
      </c>
      <c r="CE25" s="62">
        <f t="shared" si="40"/>
        <v>244.45149244446094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64.602719999999977</v>
      </c>
      <c r="CV25" s="14">
        <f t="shared" si="41"/>
        <v>18.326928056848985</v>
      </c>
      <c r="CW25" s="22">
        <f t="shared" si="13"/>
        <v>144.43580369901193</v>
      </c>
      <c r="CX25" s="62">
        <f t="shared" si="14"/>
        <v>427.99135925456744</v>
      </c>
      <c r="CY25" s="62">
        <f ca="1">AVERAGE(OFFSET($CX$3,0,0,'Données projet'!$E$13+1,1))-AVERAGE(OFFSET($H$3,0,0,'Données projet'!$E$13+1,1))</f>
        <v>293.90975929253631</v>
      </c>
      <c r="CZ25" s="62">
        <f t="shared" si="42"/>
        <v>288.30197520356643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81.199999999999974</v>
      </c>
      <c r="DP25" s="18">
        <f>DO25*VLOOKUP('Données projet'!$B$14,Paramètres!$A$1:$I$89,3,0)*VLOOKUP('Données projet'!$B$14,Paramètres!$A$1:$I$89,5,0)</f>
        <v>63.335999999999984</v>
      </c>
      <c r="DQ25" s="14">
        <f t="shared" si="43"/>
        <v>18.009040022946227</v>
      </c>
      <c r="DR25" s="22">
        <f t="shared" si="16"/>
        <v>141.67594470663133</v>
      </c>
      <c r="DS25" s="62">
        <f t="shared" si="17"/>
        <v>425.23150026218684</v>
      </c>
      <c r="DT25" s="62">
        <f ca="1">AVERAGE(OFFSET($DS$3,0,0,'Données projet'!$E$14+1,1))-AVERAGE(OFFSET($H$3,0,0,'Données projet'!$E$14+1,1))</f>
        <v>288.82868507674738</v>
      </c>
      <c r="DU25" s="62">
        <f t="shared" si="44"/>
        <v>283.48738729114024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10.4</v>
      </c>
      <c r="EJ25" s="13">
        <f>IF('Données projet'!$A$192&gt;35,EJ24+EI25-ER24,IF(A25&lt;'Données projet'!$A$192,$EG$205^A25,IF(A25='Données projet'!$A$192,'Données projet'!$B$192,EJ24+EI25-ER24)))</f>
        <v>182.79999999999998</v>
      </c>
      <c r="EK25" s="18">
        <f>EJ25*VLOOKUP('Données projet'!$B$15,Paramètres!$A$1:$I$89,3,0)*VLOOKUP('Données projet'!$B$15,Paramètres!$A$1:$I$89,5,0)</f>
        <v>165.39743999999999</v>
      </c>
      <c r="EL25" s="14">
        <f t="shared" si="45"/>
        <v>42.057562385840804</v>
      </c>
      <c r="EM25" s="22">
        <f t="shared" si="19"/>
        <v>361.31746248867267</v>
      </c>
      <c r="EN25" s="62">
        <f t="shared" si="20"/>
        <v>644.87301804422827</v>
      </c>
      <c r="EO25" s="62">
        <f ca="1">AVERAGE(OFFSET($EN$3,0,0,'Données projet'!$E$15+1,1))-AVERAGE(OFFSET($H$3,0,0,'Données projet'!$E$15+1,1))</f>
        <v>366.86025470473652</v>
      </c>
      <c r="EP25" s="62">
        <f t="shared" si="46"/>
        <v>513.80016421153414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5.3548249913527064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5.3548249913527064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386.53169252010935</v>
      </c>
      <c r="S26" s="62">
        <f ca="1">AVERAGE(OFFSET($R$3,0,0,'Données projet'!$E$9+1,1))-AVERAGE(OFFSET($H$3,0,0,'Données projet'!$E$9+1,1))</f>
        <v>371.7282125501186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41.976725273412761</v>
      </c>
      <c r="AK26" s="14">
        <f t="shared" si="35"/>
        <v>12.521098270073658</v>
      </c>
      <c r="AL26" s="22">
        <f t="shared" si="4"/>
        <v>94.917042671572176</v>
      </c>
      <c r="AM26" s="62">
        <f t="shared" si="5"/>
        <v>379.69482044934995</v>
      </c>
      <c r="AN26" s="62">
        <f ca="1">AVERAGE(OFFSET($AM$3,0,0,'Données projet'!$E$10+1,1))-AVERAGE(OFFSET($H$3,0,0,'Données projet'!$E$10+1,1))</f>
        <v>348.82438445524105</v>
      </c>
      <c r="AO26" s="62">
        <f t="shared" si="36"/>
        <v>218.26721063098552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15.666666666666666</v>
      </c>
      <c r="BD26" s="13">
        <f>IF('Données projet'!$A$88&gt;35,BD25+BC26-BL25,IF(A26&lt;'Données projet'!$A$88,$BA$205^A26,IF(A26='Données projet'!$A$88,'Données projet'!$B$88,BD25+BC26-BL25)))</f>
        <v>99.666666666666671</v>
      </c>
      <c r="BE26" s="14">
        <f>BD26*VLOOKUP('Données projet'!$B$11,Paramètres!$A$1:$I$89,3,0)*VLOOKUP('Données projet'!$B$11,Paramètres!$A$1:$I$89,5,0)</f>
        <v>57.009333333333345</v>
      </c>
      <c r="BF26" s="14">
        <f t="shared" si="37"/>
        <v>16.409899347168675</v>
      </c>
      <c r="BG26" s="22">
        <f t="shared" si="7"/>
        <v>127.87183025187436</v>
      </c>
      <c r="BH26" s="62">
        <f t="shared" si="8"/>
        <v>412.64960802965214</v>
      </c>
      <c r="BI26" s="62">
        <f ca="1">AVERAGE(OFFSET($BH$3,0,0,'Données projet'!$E$11+1,1))-AVERAGE(OFFSET($H$3,0,0,'Données projet'!$E$11+1,1))</f>
        <v>309.71642374647882</v>
      </c>
      <c r="BJ26" s="62">
        <f t="shared" si="38"/>
        <v>266.63880397664315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</v>
      </c>
      <c r="BY26" s="13">
        <f>IF('Données projet'!$A$114&gt;35,BY25+BX26-CG25,IF(A26&lt;'Données projet'!$A$114,$BV$205^A26,IF(A26='Données projet'!$A$114,'Données projet'!$B$114,BY25+BX26-CG25)))</f>
        <v>49.82992078990118</v>
      </c>
      <c r="BZ26" s="14">
        <f>BY26*VLOOKUP('Données projet'!$B$12,Paramètres!$A$1:$I$89,3,0)*VLOOKUP('Données projet'!$B$12,Paramètres!$A$1:$I$89,5,0)</f>
        <v>48.19549938799242</v>
      </c>
      <c r="CA26" s="14">
        <f t="shared" si="39"/>
        <v>14.146747261595545</v>
      </c>
      <c r="CB26" s="22">
        <f t="shared" si="10"/>
        <v>108.57941291469903</v>
      </c>
      <c r="CC26" s="62">
        <f t="shared" si="11"/>
        <v>393.35719069247682</v>
      </c>
      <c r="CD26" s="62">
        <f ca="1">AVERAGE(OFFSET($CC$3,0,0,'Données projet'!$E$12+1,1))-AVERAGE(OFFSET($H$3,0,0,'Données projet'!$E$12+1,1))</f>
        <v>394.59880827600006</v>
      </c>
      <c r="CE26" s="62">
        <f t="shared" si="40"/>
        <v>244.45149244446094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73.03607999999997</v>
      </c>
      <c r="CV26" s="14">
        <f t="shared" si="41"/>
        <v>20.425550049376284</v>
      </c>
      <c r="CW26" s="22">
        <f t="shared" si="13"/>
        <v>162.7790056693303</v>
      </c>
      <c r="CX26" s="62">
        <f t="shared" si="14"/>
        <v>447.55678344710805</v>
      </c>
      <c r="CY26" s="62">
        <f ca="1">AVERAGE(OFFSET($CX$3,0,0,'Données projet'!$E$13+1,1))-AVERAGE(OFFSET($H$3,0,0,'Données projet'!$E$13+1,1))</f>
        <v>293.90975929253631</v>
      </c>
      <c r="CZ26" s="62">
        <f t="shared" si="42"/>
        <v>288.30197520356643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91.799999999999969</v>
      </c>
      <c r="DP26" s="18">
        <f>DO26*VLOOKUP('Données projet'!$B$14,Paramètres!$A$1:$I$89,3,0)*VLOOKUP('Données projet'!$B$14,Paramètres!$A$1:$I$89,5,0)</f>
        <v>71.603999999999985</v>
      </c>
      <c r="DQ26" s="14">
        <f t="shared" si="43"/>
        <v>20.071260561992585</v>
      </c>
      <c r="DR26" s="22">
        <f t="shared" si="16"/>
        <v>159.66774547880371</v>
      </c>
      <c r="DS26" s="62">
        <f t="shared" si="17"/>
        <v>444.44552325658151</v>
      </c>
      <c r="DT26" s="62">
        <f ca="1">AVERAGE(OFFSET($DS$3,0,0,'Données projet'!$E$14+1,1))-AVERAGE(OFFSET($H$3,0,0,'Données projet'!$E$14+1,1))</f>
        <v>288.82868507674738</v>
      </c>
      <c r="DU26" s="62">
        <f t="shared" si="44"/>
        <v>283.48738729114024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10.4</v>
      </c>
      <c r="EJ26" s="13">
        <f>IF('Données projet'!$A$192&gt;35,EJ25+EI26-ER25,IF(A26&lt;'Données projet'!$A$192,$EG$205^A26,IF(A26='Données projet'!$A$192,'Données projet'!$B$192,EJ25+EI26-ER25)))</f>
        <v>193.2</v>
      </c>
      <c r="EK26" s="18">
        <f>EJ26*VLOOKUP('Données projet'!$B$15,Paramètres!$A$1:$I$89,3,0)*VLOOKUP('Données projet'!$B$15,Paramètres!$A$1:$I$89,5,0)</f>
        <v>174.80735999999999</v>
      </c>
      <c r="EL26" s="14">
        <f t="shared" si="45"/>
        <v>44.164958649772579</v>
      </c>
      <c r="EM26" s="22">
        <f t="shared" si="19"/>
        <v>381.37678831502052</v>
      </c>
      <c r="EN26" s="62">
        <f t="shared" si="20"/>
        <v>666.15456609279829</v>
      </c>
      <c r="EO26" s="62">
        <f ca="1">AVERAGE(OFFSET($EN$3,0,0,'Données projet'!$E$15+1,1))-AVERAGE(OFFSET($H$3,0,0,'Données projet'!$E$15+1,1))</f>
        <v>366.86025470473652</v>
      </c>
      <c r="EP26" s="62">
        <f t="shared" si="46"/>
        <v>513.80016421153414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5.2498201393930222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5.2498201393930222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406.06289590738135</v>
      </c>
      <c r="S27" s="62">
        <f ca="1">AVERAGE(OFFSET($R$3,0,0,'Données projet'!$E$9+1,1))-AVERAGE(OFFSET($H$3,0,0,'Données projet'!$E$9+1,1))</f>
        <v>371.7282125501186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49.752221416963934</v>
      </c>
      <c r="AK27" s="14">
        <f t="shared" si="35"/>
        <v>14.549751274154364</v>
      </c>
      <c r="AL27" s="22">
        <f t="shared" si="4"/>
        <v>111.99260243703104</v>
      </c>
      <c r="AM27" s="62">
        <f t="shared" si="5"/>
        <v>397.99260243703105</v>
      </c>
      <c r="AN27" s="62">
        <f ca="1">AVERAGE(OFFSET($AM$3,0,0,'Données projet'!$E$10+1,1))-AVERAGE(OFFSET($H$3,0,0,'Données projet'!$E$10+1,1))</f>
        <v>348.82438445524105</v>
      </c>
      <c r="AO27" s="62">
        <f t="shared" si="36"/>
        <v>218.26721063098552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15.666666666666666</v>
      </c>
      <c r="BD27" s="13">
        <f>IF('Données projet'!$A$88&gt;35,BD26+BC27-BL26,IF(A27&lt;'Données projet'!$A$88,$BA$205^A27,IF(A27='Données projet'!$A$88,'Données projet'!$B$88,BD26+BC27-BL26)))</f>
        <v>115.33333333333334</v>
      </c>
      <c r="BE27" s="14">
        <f>BD27*VLOOKUP('Données projet'!$B$11,Paramètres!$A$1:$I$89,3,0)*VLOOKUP('Données projet'!$B$11,Paramètres!$A$1:$I$89,5,0)</f>
        <v>65.970666666666673</v>
      </c>
      <c r="BF27" s="14">
        <f t="shared" si="37"/>
        <v>18.669405819805228</v>
      </c>
      <c r="BG27" s="22">
        <f t="shared" si="7"/>
        <v>147.41479291393856</v>
      </c>
      <c r="BH27" s="62">
        <f t="shared" si="8"/>
        <v>433.41479291393853</v>
      </c>
      <c r="BI27" s="62">
        <f ca="1">AVERAGE(OFFSET($BH$3,0,0,'Données projet'!$E$11+1,1))-AVERAGE(OFFSET($H$3,0,0,'Données projet'!$E$11+1,1))</f>
        <v>309.71642374647882</v>
      </c>
      <c r="BJ27" s="62">
        <f t="shared" si="38"/>
        <v>266.63880397664315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</v>
      </c>
      <c r="BY27" s="13">
        <f>IF('Données projet'!$A$114&gt;35,BY26+BX27-CG26,IF(A27&lt;'Données projet'!$A$114,$BV$205^A27,IF(A27='Données projet'!$A$114,'Données projet'!$B$114,BY26+BX27-CG26)))</f>
        <v>59.060091900479499</v>
      </c>
      <c r="BZ27" s="14">
        <f>BY27*VLOOKUP('Données projet'!$B$12,Paramètres!$A$1:$I$89,3,0)*VLOOKUP('Données projet'!$B$12,Paramètres!$A$1:$I$89,5,0)</f>
        <v>57.122920886143774</v>
      </c>
      <c r="CA27" s="14">
        <f t="shared" si="39"/>
        <v>16.43878592395464</v>
      </c>
      <c r="CB27" s="22">
        <f t="shared" si="10"/>
        <v>128.11997269425476</v>
      </c>
      <c r="CC27" s="62">
        <f t="shared" si="11"/>
        <v>414.11997269425478</v>
      </c>
      <c r="CD27" s="62">
        <f ca="1">AVERAGE(OFFSET($CC$3,0,0,'Données projet'!$E$12+1,1))-AVERAGE(OFFSET($H$3,0,0,'Données projet'!$E$12+1,1))</f>
        <v>394.59880827600006</v>
      </c>
      <c r="CE27" s="62">
        <f t="shared" si="40"/>
        <v>244.45149244446094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81.469439999999977</v>
      </c>
      <c r="CV27" s="14">
        <f t="shared" si="41"/>
        <v>22.496088365195671</v>
      </c>
      <c r="CW27" s="22">
        <f t="shared" si="13"/>
        <v>181.07329523604912</v>
      </c>
      <c r="CX27" s="62">
        <f t="shared" si="14"/>
        <v>467.07329523604915</v>
      </c>
      <c r="CY27" s="62">
        <f ca="1">AVERAGE(OFFSET($CX$3,0,0,'Données projet'!$E$13+1,1))-AVERAGE(OFFSET($H$3,0,0,'Données projet'!$E$13+1,1))</f>
        <v>293.90975929253631</v>
      </c>
      <c r="CZ27" s="62">
        <f t="shared" si="42"/>
        <v>288.30197520356643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79.871999999999971</v>
      </c>
      <c r="DQ27" s="14">
        <f t="shared" si="43"/>
        <v>22.105884547145401</v>
      </c>
      <c r="DR27" s="22">
        <f t="shared" si="16"/>
        <v>177.61148225294485</v>
      </c>
      <c r="DS27" s="62">
        <f t="shared" si="17"/>
        <v>463.61148225294482</v>
      </c>
      <c r="DT27" s="62">
        <f ca="1">AVERAGE(OFFSET($DS$3,0,0,'Données projet'!$E$14+1,1))-AVERAGE(OFFSET($H$3,0,0,'Données projet'!$E$14+1,1))</f>
        <v>288.82868507674738</v>
      </c>
      <c r="DU27" s="62">
        <f t="shared" si="44"/>
        <v>283.48738729114024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10.4</v>
      </c>
      <c r="EJ27" s="13">
        <f>IF('Données projet'!$A$192&gt;35,EJ26+EI27-ER26,IF(A27&lt;'Données projet'!$A$192,$EG$205^A27,IF(A27='Données projet'!$A$192,'Données projet'!$B$192,EJ26+EI27-ER26)))</f>
        <v>203.6</v>
      </c>
      <c r="EK27" s="18">
        <f>EJ27*VLOOKUP('Données projet'!$B$15,Paramètres!$A$1:$I$89,3,0)*VLOOKUP('Données projet'!$B$15,Paramètres!$A$1:$I$89,5,0)</f>
        <v>184.21727999999999</v>
      </c>
      <c r="EL27" s="14">
        <f t="shared" si="45"/>
        <v>46.25918487744358</v>
      </c>
      <c r="EM27" s="22">
        <f t="shared" si="19"/>
        <v>401.41317632821421</v>
      </c>
      <c r="EN27" s="62">
        <f t="shared" si="20"/>
        <v>687.41317632821415</v>
      </c>
      <c r="EO27" s="62">
        <f ca="1">AVERAGE(OFFSET($EN$3,0,0,'Données projet'!$E$15+1,1))-AVERAGE(OFFSET($H$3,0,0,'Données projet'!$E$15+1,1))</f>
        <v>366.86025470473652</v>
      </c>
      <c r="EP27" s="62">
        <f t="shared" si="46"/>
        <v>513.80016421153414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5.1468743685336316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5.1468743685336316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371.7282125501186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58.968000000000011</v>
      </c>
      <c r="AK28" s="14">
        <f t="shared" si="35"/>
        <v>16.907084152971134</v>
      </c>
      <c r="AL28" s="22">
        <f t="shared" si="4"/>
        <v>132.14910489975807</v>
      </c>
      <c r="AM28" s="62">
        <f t="shared" si="5"/>
        <v>419.3713271219803</v>
      </c>
      <c r="AN28" s="62">
        <f ca="1">AVERAGE(OFFSET($AM$3,0,0,'Données projet'!$E$10+1,1))-AVERAGE(OFFSET($H$3,0,0,'Données projet'!$E$10+1,1))</f>
        <v>348.82438445524105</v>
      </c>
      <c r="AO28" s="62">
        <f t="shared" si="36"/>
        <v>218.26721063098552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131</v>
      </c>
      <c r="BB28" s="13">
        <f>VLOOKUP(A28,'Données projet'!$A$87:$I$107,9,0)</f>
        <v>15.666666666666666</v>
      </c>
      <c r="BC28" s="13">
        <f t="array" ref="BC28">INDEX(BB:BB,MIN(IF(ISNUMBER(BB28:BB224),ROW(BB28:BB224),"")))</f>
        <v>15.666666666666666</v>
      </c>
      <c r="BD28" s="13">
        <f>IF('Données projet'!$A$88&gt;35,BD27+BC28-BL27,IF(A28&lt;'Données projet'!$A$88,$BA$205^A28,IF(A28='Données projet'!$A$88,'Données projet'!$B$88,BD27+BC28-BL27)))</f>
        <v>131</v>
      </c>
      <c r="BE28" s="14">
        <f>BD28*VLOOKUP('Données projet'!$B$11,Paramètres!$A$1:$I$89,3,0)*VLOOKUP('Données projet'!$B$11,Paramètres!$A$1:$I$89,5,0)</f>
        <v>74.932000000000002</v>
      </c>
      <c r="BF28" s="14">
        <f t="shared" si="37"/>
        <v>20.89335159903294</v>
      </c>
      <c r="BG28" s="22">
        <f t="shared" si="7"/>
        <v>166.89582070164903</v>
      </c>
      <c r="BH28" s="62">
        <f t="shared" si="8"/>
        <v>454.11804292387126</v>
      </c>
      <c r="BI28" s="62">
        <f ca="1">AVERAGE(OFFSET($BH$3,0,0,'Données projet'!$E$11+1,1))-AVERAGE(OFFSET($H$3,0,0,'Données projet'!$E$11+1,1))</f>
        <v>309.71642374647882</v>
      </c>
      <c r="BJ28" s="62">
        <f t="shared" si="38"/>
        <v>266.63880397664315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9.0000000000000011E-2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1.4284756155421883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1.4284756155421883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2.8</v>
      </c>
      <c r="BX28" s="13">
        <f t="array" ref="BX28">INDEX(BW:BW,MIN(IF(ISNUMBER(BW28:BW224),ROW(BW28:BW224),"")))</f>
        <v>2.8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67.703999999999994</v>
      </c>
      <c r="CA28" s="14">
        <f t="shared" si="39"/>
        <v>19.102177882771514</v>
      </c>
      <c r="CB28" s="22">
        <f t="shared" si="10"/>
        <v>151.18742647916039</v>
      </c>
      <c r="CC28" s="62">
        <f t="shared" si="11"/>
        <v>438.40964870138259</v>
      </c>
      <c r="CD28" s="62">
        <f ca="1">AVERAGE(OFFSET($CC$3,0,0,'Données projet'!$E$12+1,1))-AVERAGE(OFFSET($H$3,0,0,'Données projet'!$E$12+1,1))</f>
        <v>394.59880827600006</v>
      </c>
      <c r="CE28" s="62">
        <f t="shared" si="40"/>
        <v>244.45149244446094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89.902799999999971</v>
      </c>
      <c r="CV28" s="14">
        <f t="shared" si="41"/>
        <v>24.541781220398729</v>
      </c>
      <c r="CW28" s="22">
        <f t="shared" si="13"/>
        <v>199.32431229219438</v>
      </c>
      <c r="CX28" s="62">
        <f t="shared" si="14"/>
        <v>486.54653451441663</v>
      </c>
      <c r="CY28" s="62">
        <f ca="1">AVERAGE(OFFSET($CX$3,0,0,'Données projet'!$E$13+1,1))-AVERAGE(OFFSET($H$3,0,0,'Données projet'!$E$13+1,1))</f>
        <v>293.90975929253631</v>
      </c>
      <c r="CZ28" s="62">
        <f t="shared" si="42"/>
        <v>288.30197520356643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0.159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3.7757460203748896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3.7757460203748896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113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112.99999999999996</v>
      </c>
      <c r="DP28" s="18">
        <f>DO28*VLOOKUP('Données projet'!$B$14,Paramètres!$A$1:$I$89,3,0)*VLOOKUP('Données projet'!$B$14,Paramètres!$A$1:$I$89,5,0)</f>
        <v>88.139999999999972</v>
      </c>
      <c r="DQ28" s="14">
        <f t="shared" si="43"/>
        <v>24.116094026318823</v>
      </c>
      <c r="DR28" s="22">
        <f t="shared" si="16"/>
        <v>195.51269709583855</v>
      </c>
      <c r="DS28" s="62">
        <f t="shared" si="17"/>
        <v>482.73491931806075</v>
      </c>
      <c r="DT28" s="62">
        <f ca="1">AVERAGE(OFFSET($DS$3,0,0,'Données projet'!$E$14+1,1))-AVERAGE(OFFSET($H$3,0,0,'Données projet'!$E$14+1,1))</f>
        <v>288.82868507674738</v>
      </c>
      <c r="DU28" s="62">
        <f t="shared" si="44"/>
        <v>283.48738729114024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27</v>
      </c>
      <c r="DX28" s="17">
        <f>IF(ISNA(VLOOKUP(A28,'Données projet'!$A$165:$I$185,5,0)),0%,VLOOKUP(A28,'Données projet'!$A$165:$I$185,5,0)*VLOOKUP('Données projet'!$B$14,Paramètres!$A$1:$I$89,7,0))</f>
        <v>0.129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3.0032755988923472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3.0032755988923472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214</v>
      </c>
      <c r="EH28" s="13">
        <f>VLOOKUP(A28,'Données projet'!$A$191:$I$211,9,0)</f>
        <v>10.4</v>
      </c>
      <c r="EI28" s="13">
        <f t="array" ref="EI28">INDEX(EH:EH,MIN(IF(ISNUMBER(EH28:EH224),ROW(EH28:EH224),"")))</f>
        <v>10.4</v>
      </c>
      <c r="EJ28" s="13">
        <f>IF('Données projet'!$A$192&gt;35,EJ27+EI28-ER27,IF(A28&lt;'Données projet'!$A$192,$EG$205^A28,IF(A28='Données projet'!$A$192,'Données projet'!$B$192,EJ27+EI28-ER27)))</f>
        <v>214</v>
      </c>
      <c r="EK28" s="18">
        <f>EJ28*VLOOKUP('Données projet'!$B$15,Paramètres!$A$1:$I$89,3,0)*VLOOKUP('Données projet'!$B$15,Paramètres!$A$1:$I$89,5,0)</f>
        <v>193.62719999999999</v>
      </c>
      <c r="EL28" s="14">
        <f t="shared" si="45"/>
        <v>48.340990547231193</v>
      </c>
      <c r="EM28" s="22">
        <f t="shared" si="19"/>
        <v>421.42793186976093</v>
      </c>
      <c r="EN28" s="62">
        <f t="shared" si="20"/>
        <v>708.65015409198315</v>
      </c>
      <c r="EO28" s="62">
        <f ca="1">AVERAGE(OFFSET($EN$3,0,0,'Données projet'!$E$15+1,1))-AVERAGE(OFFSET($H$3,0,0,'Données projet'!$E$15+1,1))</f>
        <v>366.86025470473652</v>
      </c>
      <c r="EP28" s="62">
        <f t="shared" si="46"/>
        <v>513.80016421153414</v>
      </c>
      <c r="EQ28" s="16">
        <f>IF(ISNA(VLOOKUP(A28,'Données projet'!$A$191:$I$211,3,0)),0,VLOOKUP(A28,'Données projet'!$A$191:$I$211,3,0))</f>
        <v>5</v>
      </c>
      <c r="ER28" s="16">
        <f>IF(ISNA(VLOOKUP(A28,'Données projet'!$A$191:$I$211,4,0)),0,VLOOKUP(A28,'Données projet'!$A$191:$I$211,4,0))</f>
        <v>14</v>
      </c>
      <c r="ES28" s="17">
        <f>IF(ISNA(VLOOKUP(A28,'Données projet'!$A$191:$I$211,5,0)),0%,VLOOKUP(A28,'Données projet'!$A$191:$I$211,5,0)*VLOOKUP('Données projet'!$B$15,Paramètres!$A$1:$I$89,7,0))</f>
        <v>0.24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8.4067187554388223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8.4067187554388223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371.7282125501186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58.125600000000013</v>
      </c>
      <c r="AK29" s="14">
        <f t="shared" si="35"/>
        <v>16.693490054590175</v>
      </c>
      <c r="AL29" s="22">
        <f t="shared" si="4"/>
        <v>130.30991517841125</v>
      </c>
      <c r="AM29" s="62">
        <f t="shared" si="5"/>
        <v>418.7543596228557</v>
      </c>
      <c r="AN29" s="62">
        <f ca="1">AVERAGE(OFFSET($AM$3,0,0,'Données projet'!$E$10+1,1))-AVERAGE(OFFSET($H$3,0,0,'Données projet'!$E$10+1,1))</f>
        <v>348.82438445524105</v>
      </c>
      <c r="AO29" s="62">
        <f t="shared" si="36"/>
        <v>218.26721063098552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14.4</v>
      </c>
      <c r="BD29" s="13">
        <f>IF('Données projet'!$A$88&gt;35,BD28+BC29-BL28,IF(A29&lt;'Données projet'!$A$88,$BA$205^A29,IF(A29='Données projet'!$A$88,'Données projet'!$B$88,BD28+BC29-BL28)))</f>
        <v>124.4</v>
      </c>
      <c r="BE29" s="14">
        <f>BD29*VLOOKUP('Données projet'!$B$11,Paramètres!$A$1:$I$89,3,0)*VLOOKUP('Données projet'!$B$11,Paramètres!$A$1:$I$89,5,0)</f>
        <v>71.156800000000004</v>
      </c>
      <c r="BF29" s="14">
        <f t="shared" si="37"/>
        <v>19.960457167255548</v>
      </c>
      <c r="BG29" s="22">
        <f t="shared" si="7"/>
        <v>158.69588956630341</v>
      </c>
      <c r="BH29" s="62">
        <f t="shared" si="8"/>
        <v>447.14033401074789</v>
      </c>
      <c r="BI29" s="62">
        <f ca="1">AVERAGE(OFFSET($BH$3,0,0,'Données projet'!$E$11+1,1))-AVERAGE(OFFSET($H$3,0,0,'Données projet'!$E$11+1,1))</f>
        <v>309.71642374647882</v>
      </c>
      <c r="BJ29" s="62">
        <f t="shared" si="38"/>
        <v>266.63880397664315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1.3894138747149194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1.3894138747149194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66.736800000000002</v>
      </c>
      <c r="CA29" s="14">
        <f t="shared" si="39"/>
        <v>18.860852268900601</v>
      </c>
      <c r="CB29" s="22">
        <f t="shared" si="10"/>
        <v>149.08257770166853</v>
      </c>
      <c r="CC29" s="62">
        <f t="shared" si="11"/>
        <v>437.52702214611298</v>
      </c>
      <c r="CD29" s="62">
        <f ca="1">AVERAGE(OFFSET($CC$3,0,0,'Données projet'!$E$12+1,1))-AVERAGE(OFFSET($H$3,0,0,'Données projet'!$E$12+1,1))</f>
        <v>394.59880827600006</v>
      </c>
      <c r="CE29" s="62">
        <f t="shared" si="40"/>
        <v>244.45149244446094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77.57099999999997</v>
      </c>
      <c r="CV29" s="14">
        <f t="shared" si="41"/>
        <v>21.542219464084507</v>
      </c>
      <c r="CW29" s="22">
        <f t="shared" si="13"/>
        <v>172.6221905666138</v>
      </c>
      <c r="CX29" s="62">
        <f t="shared" si="14"/>
        <v>461.06663501105822</v>
      </c>
      <c r="CY29" s="62">
        <f ca="1">AVERAGE(OFFSET($CX$3,0,0,'Données projet'!$E$13+1,1))-AVERAGE(OFFSET($H$3,0,0,'Données projet'!$E$13+1,1))</f>
        <v>293.90975929253631</v>
      </c>
      <c r="CZ29" s="62">
        <f t="shared" si="42"/>
        <v>288.30197520356643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3.7017059438930104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3.7017059438930104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97.499999999999957</v>
      </c>
      <c r="DP29" s="18">
        <f>DO29*VLOOKUP('Données projet'!$B$14,Paramètres!$A$1:$I$89,3,0)*VLOOKUP('Données projet'!$B$14,Paramètres!$A$1:$I$89,5,0)</f>
        <v>76.049999999999969</v>
      </c>
      <c r="DQ29" s="14">
        <f t="shared" si="43"/>
        <v>21.168560890749262</v>
      </c>
      <c r="DR29" s="22">
        <f t="shared" si="16"/>
        <v>169.32232688472158</v>
      </c>
      <c r="DS29" s="62">
        <f t="shared" si="17"/>
        <v>457.76677132916603</v>
      </c>
      <c r="DT29" s="62">
        <f ca="1">AVERAGE(OFFSET($DS$3,0,0,'Données projet'!$E$14+1,1))-AVERAGE(OFFSET($H$3,0,0,'Données projet'!$E$14+1,1))</f>
        <v>288.82868507674738</v>
      </c>
      <c r="DU29" s="62">
        <f t="shared" si="44"/>
        <v>283.48738729114024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2.9443831962153069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2.9443831962153069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8.6</v>
      </c>
      <c r="EJ29" s="13">
        <f>IF('Données projet'!$A$192&gt;35,EJ28+EI29-ER28,IF(A29&lt;'Données projet'!$A$192,$EG$205^A29,IF(A29='Données projet'!$A$192,'Données projet'!$B$192,EJ28+EI29-ER28)))</f>
        <v>208.6</v>
      </c>
      <c r="EK29" s="18">
        <f>EJ29*VLOOKUP('Données projet'!$B$15,Paramètres!$A$1:$I$89,3,0)*VLOOKUP('Données projet'!$B$15,Paramètres!$A$1:$I$89,5,0)</f>
        <v>188.74127999999999</v>
      </c>
      <c r="EL29" s="14">
        <f t="shared" si="45"/>
        <v>47.261560168122358</v>
      </c>
      <c r="EM29" s="22">
        <f t="shared" si="19"/>
        <v>411.03827995947972</v>
      </c>
      <c r="EN29" s="62">
        <f t="shared" si="20"/>
        <v>699.48272440392418</v>
      </c>
      <c r="EO29" s="62">
        <f ca="1">AVERAGE(OFFSET($EN$3,0,0,'Données projet'!$E$15+1,1))-AVERAGE(OFFSET($H$3,0,0,'Données projet'!$E$15+1,1))</f>
        <v>366.86025470473652</v>
      </c>
      <c r="EP29" s="62">
        <f t="shared" si="46"/>
        <v>513.80016421153414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8.2418681282368009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8.2418681282368009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371.7282125501186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64.022400000000019</v>
      </c>
      <c r="AK30" s="14">
        <f t="shared" si="35"/>
        <v>18.181385543312242</v>
      </c>
      <c r="AL30" s="22">
        <f t="shared" si="4"/>
        <v>143.17159315460219</v>
      </c>
      <c r="AM30" s="62">
        <f t="shared" si="5"/>
        <v>432.83825982126888</v>
      </c>
      <c r="AN30" s="62">
        <f ca="1">AVERAGE(OFFSET($AM$3,0,0,'Données projet'!$E$10+1,1))-AVERAGE(OFFSET($H$3,0,0,'Données projet'!$E$10+1,1))</f>
        <v>348.82438445524105</v>
      </c>
      <c r="AO30" s="62">
        <f t="shared" si="36"/>
        <v>218.26721063098552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14.4</v>
      </c>
      <c r="BD30" s="13">
        <f>IF('Données projet'!$A$88&gt;35,BD29+BC30-BL29,IF(A30&lt;'Données projet'!$A$88,$BA$205^A30,IF(A30='Données projet'!$A$88,'Données projet'!$B$88,BD29+BC30-BL29)))</f>
        <v>138.80000000000001</v>
      </c>
      <c r="BE30" s="14">
        <f>BD30*VLOOKUP('Données projet'!$B$11,Paramètres!$A$1:$I$89,3,0)*VLOOKUP('Données projet'!$B$11,Paramètres!$A$1:$I$89,5,0)</f>
        <v>79.393600000000006</v>
      </c>
      <c r="BF30" s="14">
        <f t="shared" si="37"/>
        <v>21.988850581624067</v>
      </c>
      <c r="BG30" s="22">
        <f t="shared" si="7"/>
        <v>176.57443476299522</v>
      </c>
      <c r="BH30" s="62">
        <f t="shared" si="8"/>
        <v>466.24110142966191</v>
      </c>
      <c r="BI30" s="62">
        <f ca="1">AVERAGE(OFFSET($BH$3,0,0,'Données projet'!$E$11+1,1))-AVERAGE(OFFSET($H$3,0,0,'Données projet'!$E$11+1,1))</f>
        <v>309.71642374647882</v>
      </c>
      <c r="BJ30" s="62">
        <f t="shared" si="38"/>
        <v>266.63880397664315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1.3514202792447398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1.3514202792447398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76</v>
      </c>
      <c r="BZ30" s="14">
        <f>BY30*VLOOKUP('Données projet'!$B$12,Paramètres!$A$1:$I$89,3,0)*VLOOKUP('Données projet'!$B$12,Paramètres!$A$1:$I$89,5,0)</f>
        <v>73.507199999999997</v>
      </c>
      <c r="CA30" s="14">
        <f t="shared" si="39"/>
        <v>20.541925364615185</v>
      </c>
      <c r="CB30" s="22">
        <f t="shared" si="10"/>
        <v>163.80222667670475</v>
      </c>
      <c r="CC30" s="62">
        <f t="shared" si="11"/>
        <v>453.46889334337141</v>
      </c>
      <c r="CD30" s="62">
        <f ca="1">AVERAGE(OFFSET($CC$3,0,0,'Données projet'!$E$12+1,1))-AVERAGE(OFFSET($H$3,0,0,'Données projet'!$E$12+1,1))</f>
        <v>394.59880827600006</v>
      </c>
      <c r="CE30" s="62">
        <f t="shared" si="40"/>
        <v>244.45149244446094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86.72039999999997</v>
      </c>
      <c r="CV30" s="14">
        <f t="shared" si="41"/>
        <v>23.772563774784263</v>
      </c>
      <c r="CW30" s="22">
        <f t="shared" si="13"/>
        <v>192.44191190774919</v>
      </c>
      <c r="CX30" s="62">
        <f t="shared" si="14"/>
        <v>482.1085785744159</v>
      </c>
      <c r="CY30" s="62">
        <f ca="1">AVERAGE(OFFSET($CX$3,0,0,'Données projet'!$E$13+1,1))-AVERAGE(OFFSET($H$3,0,0,'Données projet'!$E$13+1,1))</f>
        <v>293.90975929253631</v>
      </c>
      <c r="CZ30" s="62">
        <f t="shared" si="42"/>
        <v>288.30197520356643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3.6291177481509531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3.6291177481509531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108.99999999999996</v>
      </c>
      <c r="DP30" s="18">
        <f>DO30*VLOOKUP('Données projet'!$B$14,Paramètres!$A$1:$I$89,3,0)*VLOOKUP('Données projet'!$B$14,Paramètres!$A$1:$I$89,5,0)</f>
        <v>85.019999999999968</v>
      </c>
      <c r="DQ30" s="14">
        <f t="shared" si="43"/>
        <v>23.360218970693097</v>
      </c>
      <c r="DR30" s="22">
        <f t="shared" si="16"/>
        <v>188.76221470729038</v>
      </c>
      <c r="DS30" s="62">
        <f t="shared" si="17"/>
        <v>478.4288813739571</v>
      </c>
      <c r="DT30" s="62">
        <f ca="1">AVERAGE(OFFSET($DS$3,0,0,'Données projet'!$E$14+1,1))-AVERAGE(OFFSET($H$3,0,0,'Données projet'!$E$14+1,1))</f>
        <v>288.82868507674738</v>
      </c>
      <c r="DU30" s="62">
        <f t="shared" si="44"/>
        <v>283.48738729114024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2.8866456376339444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2.8866456376339444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8.6</v>
      </c>
      <c r="EJ30" s="13">
        <f>IF('Données projet'!$A$192&gt;35,EJ29+EI30-ER29,IF(A30&lt;'Données projet'!$A$192,$EG$205^A30,IF(A30='Données projet'!$A$192,'Données projet'!$B$192,EJ29+EI30-ER29)))</f>
        <v>217.2</v>
      </c>
      <c r="EK30" s="18">
        <f>EJ30*VLOOKUP('Données projet'!$B$15,Paramètres!$A$1:$I$89,3,0)*VLOOKUP('Données projet'!$B$15,Paramètres!$A$1:$I$89,5,0)</f>
        <v>196.52255999999997</v>
      </c>
      <c r="EL30" s="14">
        <f t="shared" si="45"/>
        <v>48.979153257338155</v>
      </c>
      <c r="EM30" s="22">
        <f t="shared" si="19"/>
        <v>427.58215058986383</v>
      </c>
      <c r="EN30" s="62">
        <f t="shared" si="20"/>
        <v>717.24881725653051</v>
      </c>
      <c r="EO30" s="62">
        <f ca="1">AVERAGE(OFFSET($EN$3,0,0,'Données projet'!$E$15+1,1))-AVERAGE(OFFSET($H$3,0,0,'Données projet'!$E$15+1,1))</f>
        <v>366.86025470473652</v>
      </c>
      <c r="EP30" s="62">
        <f t="shared" si="46"/>
        <v>513.80016421153414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8.0802501212852569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8.0802501212852569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371.7282125501186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69.919200000000004</v>
      </c>
      <c r="AK31" s="14">
        <f t="shared" si="35"/>
        <v>19.653390735061731</v>
      </c>
      <c r="AL31" s="22">
        <f t="shared" si="4"/>
        <v>156.00559553023251</v>
      </c>
      <c r="AM31" s="62">
        <f t="shared" si="5"/>
        <v>446.89448441912134</v>
      </c>
      <c r="AN31" s="62">
        <f ca="1">AVERAGE(OFFSET($AM$3,0,0,'Données projet'!$E$10+1,1))-AVERAGE(OFFSET($H$3,0,0,'Données projet'!$E$10+1,1))</f>
        <v>348.82438445524105</v>
      </c>
      <c r="AO31" s="62">
        <f t="shared" si="36"/>
        <v>218.26721063098552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14.4</v>
      </c>
      <c r="BD31" s="13">
        <f>IF('Données projet'!$A$88&gt;35,BD30+BC31-BL30,IF(A31&lt;'Données projet'!$A$88,$BA$205^A31,IF(A31='Données projet'!$A$88,'Données projet'!$B$88,BD30+BC31-BL30)))</f>
        <v>153.20000000000002</v>
      </c>
      <c r="BE31" s="14">
        <f>BD31*VLOOKUP('Données projet'!$B$11,Paramètres!$A$1:$I$89,3,0)*VLOOKUP('Données projet'!$B$11,Paramètres!$A$1:$I$89,5,0)</f>
        <v>87.630400000000009</v>
      </c>
      <c r="BF31" s="14">
        <f t="shared" si="37"/>
        <v>23.992850113613226</v>
      </c>
      <c r="BG31" s="22">
        <f t="shared" si="7"/>
        <v>194.41049394787638</v>
      </c>
      <c r="BH31" s="62">
        <f t="shared" si="8"/>
        <v>485.29938283676523</v>
      </c>
      <c r="BI31" s="62">
        <f ca="1">AVERAGE(OFFSET($BH$3,0,0,'Données projet'!$E$11+1,1))-AVERAGE(OFFSET($H$3,0,0,'Données projet'!$E$11+1,1))</f>
        <v>309.71642374647882</v>
      </c>
      <c r="BJ31" s="62">
        <f t="shared" si="38"/>
        <v>266.63880397664315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1.3144656206406886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1.3144656206406886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83</v>
      </c>
      <c r="BZ31" s="14">
        <f>BY31*VLOOKUP('Données projet'!$B$12,Paramètres!$A$1:$I$89,3,0)*VLOOKUP('Données projet'!$B$12,Paramètres!$A$1:$I$89,5,0)</f>
        <v>80.277600000000007</v>
      </c>
      <c r="CA31" s="14">
        <f t="shared" si="39"/>
        <v>22.205045081933264</v>
      </c>
      <c r="CB31" s="22">
        <f t="shared" si="10"/>
        <v>178.49060685103379</v>
      </c>
      <c r="CC31" s="62">
        <f t="shared" si="11"/>
        <v>469.37949573992262</v>
      </c>
      <c r="CD31" s="62">
        <f ca="1">AVERAGE(OFFSET($CC$3,0,0,'Données projet'!$E$12+1,1))-AVERAGE(OFFSET($H$3,0,0,'Données projet'!$E$12+1,1))</f>
        <v>394.59880827600006</v>
      </c>
      <c r="CE31" s="62">
        <f t="shared" si="40"/>
        <v>244.45149244446094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95.869799999999969</v>
      </c>
      <c r="CV31" s="14">
        <f t="shared" si="41"/>
        <v>25.975631956242626</v>
      </c>
      <c r="CW31" s="22">
        <f t="shared" si="13"/>
        <v>212.21412732378917</v>
      </c>
      <c r="CX31" s="62">
        <f t="shared" si="14"/>
        <v>503.10301621267803</v>
      </c>
      <c r="CY31" s="62">
        <f ca="1">AVERAGE(OFFSET($CX$3,0,0,'Données projet'!$E$13+1,1))-AVERAGE(OFFSET($H$3,0,0,'Données projet'!$E$13+1,1))</f>
        <v>293.90975929253631</v>
      </c>
      <c r="CZ31" s="62">
        <f t="shared" si="42"/>
        <v>288.30197520356643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3.55795296265297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3.55795296265297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120.49999999999996</v>
      </c>
      <c r="DP31" s="18">
        <f>DO31*VLOOKUP('Données projet'!$B$14,Paramètres!$A$1:$I$89,3,0)*VLOOKUP('Données projet'!$B$14,Paramètres!$A$1:$I$89,5,0)</f>
        <v>93.989999999999966</v>
      </c>
      <c r="DQ31" s="14">
        <f t="shared" si="43"/>
        <v>25.525074036970054</v>
      </c>
      <c r="DR31" s="22">
        <f t="shared" si="16"/>
        <v>208.15542061438944</v>
      </c>
      <c r="DS31" s="62">
        <f t="shared" si="17"/>
        <v>499.04430950327833</v>
      </c>
      <c r="DT31" s="62">
        <f ca="1">AVERAGE(OFFSET($DS$3,0,0,'Données projet'!$E$14+1,1))-AVERAGE(OFFSET($H$3,0,0,'Données projet'!$E$14+1,1))</f>
        <v>288.82868507674738</v>
      </c>
      <c r="DU31" s="62">
        <f t="shared" si="44"/>
        <v>283.48738729114024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2.8300402773599291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2.8300402773599291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8.6</v>
      </c>
      <c r="EJ31" s="13">
        <f>IF('Données projet'!$A$192&gt;35,EJ30+EI31-ER30,IF(A31&lt;'Données projet'!$A$192,$EG$205^A31,IF(A31='Données projet'!$A$192,'Données projet'!$B$192,EJ30+EI31-ER30)))</f>
        <v>225.79999999999998</v>
      </c>
      <c r="EK31" s="18">
        <f>EJ31*VLOOKUP('Données projet'!$B$15,Paramètres!$A$1:$I$89,3,0)*VLOOKUP('Données projet'!$B$15,Paramètres!$A$1:$I$89,5,0)</f>
        <v>204.30383999999995</v>
      </c>
      <c r="EL31" s="14">
        <f t="shared" si="45"/>
        <v>50.688846269088558</v>
      </c>
      <c r="EM31" s="22">
        <f t="shared" si="19"/>
        <v>444.11226191866245</v>
      </c>
      <c r="EN31" s="62">
        <f t="shared" si="20"/>
        <v>735.00115080755131</v>
      </c>
      <c r="EO31" s="62">
        <f ca="1">AVERAGE(OFFSET($EN$3,0,0,'Données projet'!$E$15+1,1))-AVERAGE(OFFSET($H$3,0,0,'Données projet'!$E$15+1,1))</f>
        <v>366.86025470473652</v>
      </c>
      <c r="EP31" s="62">
        <f t="shared" si="46"/>
        <v>513.80016421153414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7.9218013448727813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7.9218013448727813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371.7282125501186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75.816000000000003</v>
      </c>
      <c r="AK32" s="14">
        <f t="shared" si="35"/>
        <v>21.110998140607162</v>
      </c>
      <c r="AL32" s="22">
        <f t="shared" si="4"/>
        <v>168.81452176155747</v>
      </c>
      <c r="AM32" s="62">
        <f t="shared" si="5"/>
        <v>460.92563287266864</v>
      </c>
      <c r="AN32" s="62">
        <f ca="1">AVERAGE(OFFSET($AM$3,0,0,'Données projet'!$E$10+1,1))-AVERAGE(OFFSET($H$3,0,0,'Données projet'!$E$10+1,1))</f>
        <v>348.82438445524105</v>
      </c>
      <c r="AO32" s="62">
        <f t="shared" si="36"/>
        <v>218.26721063098552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14.4</v>
      </c>
      <c r="BD32" s="13">
        <f>IF('Données projet'!$A$88&gt;35,BD31+BC32-BL31,IF(A32&lt;'Données projet'!$A$88,$BA$205^A32,IF(A32='Données projet'!$A$88,'Données projet'!$B$88,BD31+BC32-BL31)))</f>
        <v>167.60000000000002</v>
      </c>
      <c r="BE32" s="14">
        <f>BD32*VLOOKUP('Données projet'!$B$11,Paramètres!$A$1:$I$89,3,0)*VLOOKUP('Données projet'!$B$11,Paramètres!$A$1:$I$89,5,0)</f>
        <v>95.867200000000025</v>
      </c>
      <c r="BF32" s="14">
        <f t="shared" si="37"/>
        <v>25.975009492526002</v>
      </c>
      <c r="BG32" s="22">
        <f t="shared" si="7"/>
        <v>212.20851486614947</v>
      </c>
      <c r="BH32" s="62">
        <f t="shared" si="8"/>
        <v>504.31962597726061</v>
      </c>
      <c r="BI32" s="62">
        <f ca="1">AVERAGE(OFFSET($BH$3,0,0,'Données projet'!$E$11+1,1))-AVERAGE(OFFSET($H$3,0,0,'Données projet'!$E$11+1,1))</f>
        <v>309.71642374647882</v>
      </c>
      <c r="BJ32" s="62">
        <f t="shared" si="38"/>
        <v>266.63880397664315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1.2785214891195262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1.2785214891195262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90</v>
      </c>
      <c r="BZ32" s="14">
        <f>BY32*VLOOKUP('Données projet'!$B$12,Paramètres!$A$1:$I$89,3,0)*VLOOKUP('Données projet'!$B$12,Paramètres!$A$1:$I$89,5,0)</f>
        <v>87.048000000000002</v>
      </c>
      <c r="CA32" s="14">
        <f t="shared" si="39"/>
        <v>23.851897708444891</v>
      </c>
      <c r="CB32" s="22">
        <f t="shared" si="10"/>
        <v>193.15065517554152</v>
      </c>
      <c r="CC32" s="62">
        <f t="shared" si="11"/>
        <v>485.26176628665269</v>
      </c>
      <c r="CD32" s="62">
        <f ca="1">AVERAGE(OFFSET($CC$3,0,0,'Données projet'!$E$12+1,1))-AVERAGE(OFFSET($H$3,0,0,'Données projet'!$E$12+1,1))</f>
        <v>394.59880827600006</v>
      </c>
      <c r="CE32" s="62">
        <f t="shared" si="40"/>
        <v>244.45149244446094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105.01919999999997</v>
      </c>
      <c r="CV32" s="14">
        <f t="shared" si="41"/>
        <v>28.154323288446648</v>
      </c>
      <c r="CW32" s="22">
        <f t="shared" si="13"/>
        <v>231.94388639404454</v>
      </c>
      <c r="CX32" s="62">
        <f t="shared" si="14"/>
        <v>524.05499750515571</v>
      </c>
      <c r="CY32" s="62">
        <f ca="1">AVERAGE(OFFSET($CX$3,0,0,'Données projet'!$E$13+1,1))-AVERAGE(OFFSET($H$3,0,0,'Données projet'!$E$13+1,1))</f>
        <v>293.90975929253631</v>
      </c>
      <c r="CZ32" s="62">
        <f t="shared" si="42"/>
        <v>288.30197520356643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3.4881836751923694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3.4881836751923694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131.99999999999994</v>
      </c>
      <c r="DP32" s="18">
        <f>DO32*VLOOKUP('Données projet'!$B$14,Paramètres!$A$1:$I$89,3,0)*VLOOKUP('Données projet'!$B$14,Paramètres!$A$1:$I$89,5,0)</f>
        <v>102.95999999999997</v>
      </c>
      <c r="DQ32" s="14">
        <f t="shared" si="43"/>
        <v>27.665975080374633</v>
      </c>
      <c r="DR32" s="22">
        <f t="shared" si="16"/>
        <v>227.50690659831903</v>
      </c>
      <c r="DS32" s="62">
        <f t="shared" si="17"/>
        <v>519.61801770943021</v>
      </c>
      <c r="DT32" s="62">
        <f ca="1">AVERAGE(OFFSET($DS$3,0,0,'Données projet'!$E$14+1,1))-AVERAGE(OFFSET($H$3,0,0,'Données projet'!$E$14+1,1))</f>
        <v>288.82868507674738</v>
      </c>
      <c r="DU32" s="62">
        <f t="shared" si="44"/>
        <v>283.48738729114024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2.7745449136750264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2.7745449136750264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8.6</v>
      </c>
      <c r="EJ32" s="13">
        <f>IF('Données projet'!$A$192&gt;35,EJ31+EI32-ER31,IF(A32&lt;'Données projet'!$A$192,$EG$205^A32,IF(A32='Données projet'!$A$192,'Données projet'!$B$192,EJ31+EI32-ER31)))</f>
        <v>234.39999999999998</v>
      </c>
      <c r="EK32" s="18">
        <f>EJ32*VLOOKUP('Données projet'!$B$15,Paramètres!$A$1:$I$89,3,0)*VLOOKUP('Données projet'!$B$15,Paramètres!$A$1:$I$89,5,0)</f>
        <v>212.08511999999996</v>
      </c>
      <c r="EL32" s="14">
        <f t="shared" si="45"/>
        <v>52.390974537063087</v>
      </c>
      <c r="EM32" s="22">
        <f t="shared" si="19"/>
        <v>460.62919798538474</v>
      </c>
      <c r="EN32" s="62">
        <f t="shared" si="20"/>
        <v>752.74030909649582</v>
      </c>
      <c r="EO32" s="62">
        <f ca="1">AVERAGE(OFFSET($EN$3,0,0,'Données projet'!$E$15+1,1))-AVERAGE(OFFSET($H$3,0,0,'Données projet'!$E$15+1,1))</f>
        <v>366.86025470473652</v>
      </c>
      <c r="EP32" s="62">
        <f t="shared" si="46"/>
        <v>513.80016421153414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7.7664596523215437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7.7664596523215437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371.7282125501186</v>
      </c>
      <c r="T33" s="62">
        <f t="shared" si="34"/>
        <v>231.36959598460686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8.6000000000000007E-2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1.7993021137182914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1.7993021137182914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81.712800000000001</v>
      </c>
      <c r="AK33" s="14">
        <f t="shared" si="35"/>
        <v>22.55545490774292</v>
      </c>
      <c r="AL33" s="22">
        <f t="shared" si="4"/>
        <v>181.60054396431892</v>
      </c>
      <c r="AM33" s="62">
        <f t="shared" si="5"/>
        <v>474.9338772976522</v>
      </c>
      <c r="AN33" s="62">
        <f ca="1">AVERAGE(OFFSET($AM$3,0,0,'Données projet'!$E$10+1,1))-AVERAGE(OFFSET($H$3,0,0,'Données projet'!$E$10+1,1))</f>
        <v>348.82438445524105</v>
      </c>
      <c r="AO33" s="62">
        <f t="shared" si="36"/>
        <v>218.26721063098552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1.6752123127722027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1.6752123127722027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182</v>
      </c>
      <c r="BB33" s="13">
        <f>VLOOKUP(A33,'Données projet'!$A$87:$I$107,9,0)</f>
        <v>14.4</v>
      </c>
      <c r="BC33" s="13">
        <f t="array" ref="BC33">INDEX(BB:BB,MIN(IF(ISNUMBER(BB33:BB229),ROW(BB33:BB229),"")))</f>
        <v>14.4</v>
      </c>
      <c r="BD33" s="13">
        <f>IF('Données projet'!$A$88&gt;35,BD32+BC33-BL32,IF(A33&lt;'Données projet'!$A$88,$BA$205^A33,IF(A33='Données projet'!$A$88,'Données projet'!$B$88,BD32+BC33-BL32)))</f>
        <v>182.00000000000003</v>
      </c>
      <c r="BE33" s="14">
        <f>BD33*VLOOKUP('Données projet'!$B$11,Paramètres!$A$1:$I$89,3,0)*VLOOKUP('Données projet'!$B$11,Paramètres!$A$1:$I$89,5,0)</f>
        <v>104.10400000000001</v>
      </c>
      <c r="BF33" s="14">
        <f t="shared" si="37"/>
        <v>27.937418551182677</v>
      </c>
      <c r="BG33" s="22">
        <f t="shared" si="7"/>
        <v>229.97213730997649</v>
      </c>
      <c r="BH33" s="62">
        <f t="shared" si="8"/>
        <v>523.30547064330983</v>
      </c>
      <c r="BI33" s="62">
        <f ca="1">AVERAGE(OFFSET($BH$3,0,0,'Données projet'!$E$11+1,1))-AVERAGE(OFFSET($H$3,0,0,'Données projet'!$E$11+1,1))</f>
        <v>309.71642374647882</v>
      </c>
      <c r="BJ33" s="62">
        <f t="shared" si="38"/>
        <v>266.63880397664315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36</v>
      </c>
      <c r="BM33" s="17">
        <f>IF(ISNA(VLOOKUP(A33,'Données projet'!$A$87:$I$107,5,0)),0%,VLOOKUP(A33,'Données projet'!$A$87:$I$107,5,0)*VLOOKUP('Données projet'!$B$11,Paramètres!$A$1:$I$89,7,0))</f>
        <v>0.27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7.3754861219309724</v>
      </c>
      <c r="BQ33" s="23">
        <f>EXP(-LN(2)/25)*BQ32+(1-EXP(-LN(2)/25))/(LN(2)/25)*Calculateur!BL33*Calculateur!BN33*VLOOKUP('Données projet'!$B$11,Paramètres!$A$1:$I$89,3,0)*0.475*44/12</f>
        <v>6.1411909336239621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13.516677055554934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97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97</v>
      </c>
      <c r="BZ33" s="14">
        <f>BY33*VLOOKUP('Données projet'!$B$12,Paramètres!$A$1:$I$89,3,0)*VLOOKUP('Données projet'!$B$12,Paramètres!$A$1:$I$89,5,0)</f>
        <v>93.818400000000011</v>
      </c>
      <c r="CA33" s="14">
        <f t="shared" si="39"/>
        <v>25.483892312609182</v>
      </c>
      <c r="CB33" s="22">
        <f t="shared" si="10"/>
        <v>207.78482577779434</v>
      </c>
      <c r="CC33" s="62">
        <f t="shared" si="11"/>
        <v>501.11815911112762</v>
      </c>
      <c r="CD33" s="62">
        <f ca="1">AVERAGE(OFFSET($CC$3,0,0,'Données projet'!$E$12+1,1))-AVERAGE(OFFSET($H$3,0,0,'Données projet'!$E$12+1,1))</f>
        <v>394.59880827600006</v>
      </c>
      <c r="CE33" s="62">
        <f t="shared" si="40"/>
        <v>244.45149244446094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8.6000000000000007E-2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1.923391914664381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1.923391914664381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114.16859999999997</v>
      </c>
      <c r="CV33" s="14">
        <f t="shared" si="41"/>
        <v>30.311002987693719</v>
      </c>
      <c r="CW33" s="22">
        <f t="shared" si="13"/>
        <v>251.63530853689983</v>
      </c>
      <c r="CX33" s="62">
        <f t="shared" si="14"/>
        <v>544.96864187023311</v>
      </c>
      <c r="CY33" s="62">
        <f ca="1">AVERAGE(OFFSET($CX$3,0,0,'Données projet'!$E$13+1,1))-AVERAGE(OFFSET($H$3,0,0,'Données projet'!$E$13+1,1))</f>
        <v>293.90975929253631</v>
      </c>
      <c r="CZ33" s="62">
        <f t="shared" si="42"/>
        <v>288.30197520356643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3.4197825209038077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3.4197825209038077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143.49999999999994</v>
      </c>
      <c r="DP33" s="18">
        <f>DO33*VLOOKUP('Données projet'!$B$14,Paramètres!$A$1:$I$89,3,0)*VLOOKUP('Données projet'!$B$14,Paramètres!$A$1:$I$89,5,0)</f>
        <v>111.92999999999996</v>
      </c>
      <c r="DQ33" s="14">
        <f t="shared" si="43"/>
        <v>29.785246291563833</v>
      </c>
      <c r="DR33" s="22">
        <f t="shared" si="16"/>
        <v>246.82072062447358</v>
      </c>
      <c r="DS33" s="62">
        <f t="shared" si="17"/>
        <v>540.15405395780692</v>
      </c>
      <c r="DT33" s="62">
        <f ca="1">AVERAGE(OFFSET($DS$3,0,0,'Données projet'!$E$14+1,1))-AVERAGE(OFFSET($H$3,0,0,'Données projet'!$E$14+1,1))</f>
        <v>288.82868507674738</v>
      </c>
      <c r="DU33" s="62">
        <f t="shared" si="44"/>
        <v>283.48738729114024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2.7201377802231552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2.7201377802231552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243</v>
      </c>
      <c r="EH33" s="13">
        <f>VLOOKUP(A33,'Données projet'!$A$191:$I$211,9,0)</f>
        <v>8.6</v>
      </c>
      <c r="EI33" s="13">
        <f t="array" ref="EI33">INDEX(EH:EH,MIN(IF(ISNUMBER(EH33:EH229),ROW(EH33:EH229),"")))</f>
        <v>8.6</v>
      </c>
      <c r="EJ33" s="13">
        <f>IF('Données projet'!$A$192&gt;35,EJ32+EI33-ER32,IF(A33&lt;'Données projet'!$A$192,$EG$205^A33,IF(A33='Données projet'!$A$192,'Données projet'!$B$192,EJ32+EI33-ER32)))</f>
        <v>242.99999999999997</v>
      </c>
      <c r="EK33" s="18">
        <f>EJ33*VLOOKUP('Données projet'!$B$15,Paramètres!$A$1:$I$89,3,0)*VLOOKUP('Données projet'!$B$15,Paramètres!$A$1:$I$89,5,0)</f>
        <v>219.86639999999997</v>
      </c>
      <c r="EL33" s="14">
        <f t="shared" si="45"/>
        <v>54.085847394182416</v>
      </c>
      <c r="EM33" s="22">
        <f t="shared" si="19"/>
        <v>477.13349754486762</v>
      </c>
      <c r="EN33" s="62">
        <f t="shared" si="20"/>
        <v>770.46683087820088</v>
      </c>
      <c r="EO33" s="62">
        <f ca="1">AVERAGE(OFFSET($EN$3,0,0,'Données projet'!$E$15+1,1))-AVERAGE(OFFSET($H$3,0,0,'Données projet'!$E$15+1,1))</f>
        <v>366.86025470473652</v>
      </c>
      <c r="EP33" s="62">
        <f t="shared" si="46"/>
        <v>513.80016421153414</v>
      </c>
      <c r="EQ33" s="16">
        <f>IF(ISNA(VLOOKUP(A33,'Données projet'!$A$191:$I$211,3,0)),0,VLOOKUP(A33,'Données projet'!$A$191:$I$211,3,0))</f>
        <v>6</v>
      </c>
      <c r="ER33" s="16">
        <f>IF(ISNA(VLOOKUP(A33,'Données projet'!$A$191:$I$211,4,0)),0,VLOOKUP(A33,'Données projet'!$A$191:$I$211,4,0))</f>
        <v>11</v>
      </c>
      <c r="ES33" s="17">
        <f>IF(ISNA(VLOOKUP(A33,'Données projet'!$A$191:$I$211,5,0)),0%,VLOOKUP(A33,'Données projet'!$A$191:$I$211,5,0)*VLOOKUP('Données projet'!$B$15,Paramètres!$A$1:$I$89,7,0))</f>
        <v>0.27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10.584846025834356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10.584846025834356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371.7282125501186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1.750100102797479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1.750100102797479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70.761600000000001</v>
      </c>
      <c r="AK34" s="14">
        <f t="shared" si="35"/>
        <v>19.862470414169767</v>
      </c>
      <c r="AL34" s="22">
        <f t="shared" si="4"/>
        <v>157.83692263801234</v>
      </c>
      <c r="AM34" s="62">
        <f t="shared" si="5"/>
        <v>451.17025597134568</v>
      </c>
      <c r="AN34" s="62">
        <f ca="1">AVERAGE(OFFSET($AM$3,0,0,'Données projet'!$E$10+1,1))-AVERAGE(OFFSET($H$3,0,0,'Données projet'!$E$10+1,1))</f>
        <v>348.82438445524105</v>
      </c>
      <c r="AO34" s="62">
        <f t="shared" si="36"/>
        <v>218.26721063098552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1.6294035439838601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1.6294035439838601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16.600000000000001</v>
      </c>
      <c r="BD34" s="13">
        <f>IF('Données projet'!$A$88&gt;35,BD33+BC34-BL33,IF(A34&lt;'Données projet'!$A$88,$BA$205^A34,IF(A34='Données projet'!$A$88,'Données projet'!$B$88,BD33+BC34-BL33)))</f>
        <v>162.60000000000002</v>
      </c>
      <c r="BE34" s="14">
        <f>BD34*VLOOKUP('Données projet'!$B$11,Paramètres!$A$1:$I$89,3,0)*VLOOKUP('Données projet'!$B$11,Paramètres!$A$1:$I$89,5,0)</f>
        <v>93.007200000000012</v>
      </c>
      <c r="BF34" s="14">
        <f t="shared" si="37"/>
        <v>25.289096064617418</v>
      </c>
      <c r="BG34" s="22">
        <f t="shared" si="7"/>
        <v>206.03271564587533</v>
      </c>
      <c r="BH34" s="62">
        <f t="shared" si="8"/>
        <v>499.36604897920864</v>
      </c>
      <c r="BI34" s="62">
        <f ca="1">AVERAGE(OFFSET($BH$3,0,0,'Données projet'!$E$11+1,1))-AVERAGE(OFFSET($H$3,0,0,'Données projet'!$E$11+1,1))</f>
        <v>309.71642374647882</v>
      </c>
      <c r="BJ34" s="62">
        <f t="shared" si="38"/>
        <v>266.63880397664315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7.2308573376822407</v>
      </c>
      <c r="BQ34" s="23">
        <f>EXP(-LN(2)/25)*BQ33+(1-EXP(-LN(2)/25))/(LN(2)/25)*Calculateur!BL34*Calculateur!BN34*VLOOKUP('Données projet'!$B$11,Paramètres!$A$1:$I$89,3,0)*0.475*44/12</f>
        <v>5.9732597445928199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13.204117082275062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81.244799999999998</v>
      </c>
      <c r="CA34" s="14">
        <f t="shared" si="39"/>
        <v>22.441270156928962</v>
      </c>
      <c r="CB34" s="22">
        <f t="shared" si="10"/>
        <v>180.58657218998462</v>
      </c>
      <c r="CC34" s="62">
        <f t="shared" si="11"/>
        <v>473.91990552331794</v>
      </c>
      <c r="CD34" s="62">
        <f ca="1">AVERAGE(OFFSET($CC$3,0,0,'Données projet'!$E$12+1,1))-AVERAGE(OFFSET($H$3,0,0,'Données projet'!$E$12+1,1))</f>
        <v>394.59880827600006</v>
      </c>
      <c r="CE34" s="62">
        <f t="shared" si="40"/>
        <v>244.45149244446094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1.8707966616110987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1.8707966616110987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123.31799999999996</v>
      </c>
      <c r="CV34" s="14">
        <f t="shared" si="41"/>
        <v>32.44763560269552</v>
      </c>
      <c r="CW34" s="22">
        <f t="shared" si="13"/>
        <v>271.29181534136131</v>
      </c>
      <c r="CX34" s="62">
        <f t="shared" si="14"/>
        <v>564.62514867469463</v>
      </c>
      <c r="CY34" s="62">
        <f ca="1">AVERAGE(OFFSET($CX$3,0,0,'Données projet'!$E$13+1,1))-AVERAGE(OFFSET($H$3,0,0,'Données projet'!$E$13+1,1))</f>
        <v>293.90975929253631</v>
      </c>
      <c r="CZ34" s="62">
        <f t="shared" si="42"/>
        <v>288.30197520356643</v>
      </c>
      <c r="DA34" s="16">
        <f>IF(ISNA(VLOOKUP(A34,'Données projet'!$A$139:$I$159,3,0)),0,VLOOKUP(A34,'Données projet'!$A$139:$I$159,3,0))</f>
        <v>4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0.29150000000000004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12.582324054668881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12.582324054668881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154.99999999999994</v>
      </c>
      <c r="DP34" s="18">
        <f>DO34*VLOOKUP('Données projet'!$B$14,Paramètres!$A$1:$I$89,3,0)*VLOOKUP('Données projet'!$B$14,Paramètres!$A$1:$I$89,5,0)</f>
        <v>120.89999999999996</v>
      </c>
      <c r="DQ34" s="14">
        <f t="shared" si="43"/>
        <v>31.884818143351602</v>
      </c>
      <c r="DR34" s="22">
        <f t="shared" si="16"/>
        <v>266.10022493300397</v>
      </c>
      <c r="DS34" s="62">
        <f t="shared" si="17"/>
        <v>559.43355826633729</v>
      </c>
      <c r="DT34" s="62">
        <f ca="1">AVERAGE(OFFSET($DS$3,0,0,'Données projet'!$E$14+1,1))-AVERAGE(OFFSET($H$3,0,0,'Données projet'!$E$14+1,1))</f>
        <v>288.82868507674738</v>
      </c>
      <c r="DU34" s="62">
        <f t="shared" si="44"/>
        <v>283.48738729114024</v>
      </c>
      <c r="DV34" s="16">
        <f>IF(ISNA(VLOOKUP(A34,'Données projet'!$A$165:$I$185,3,0)),0,VLOOKUP(A34,'Données projet'!$A$165:$I$185,3,0))</f>
        <v>4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0.23650000000000002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10.00813789032116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10.00813789032116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</v>
      </c>
      <c r="EJ34" s="13">
        <f>IF('Données projet'!$A$192&gt;35,EJ33+EI34-ER33,IF(A34&lt;'Données projet'!$A$192,$EG$205^A34,IF(A34='Données projet'!$A$192,'Données projet'!$B$192,EJ33+EI34-ER33)))</f>
        <v>238.99999999999997</v>
      </c>
      <c r="EK34" s="18">
        <f>EJ34*VLOOKUP('Données projet'!$B$15,Paramètres!$A$1:$I$89,3,0)*VLOOKUP('Données projet'!$B$15,Paramètres!$A$1:$I$89,5,0)</f>
        <v>216.24719999999996</v>
      </c>
      <c r="EL34" s="14">
        <f t="shared" si="45"/>
        <v>53.298418226645332</v>
      </c>
      <c r="EM34" s="22">
        <f t="shared" si="19"/>
        <v>469.45861841140714</v>
      </c>
      <c r="EN34" s="62">
        <f t="shared" si="20"/>
        <v>762.79195174474046</v>
      </c>
      <c r="EO34" s="62">
        <f ca="1">AVERAGE(OFFSET($EN$3,0,0,'Données projet'!$E$15+1,1))-AVERAGE(OFFSET($H$3,0,0,'Données projet'!$E$15+1,1))</f>
        <v>366.86025470473652</v>
      </c>
      <c r="EP34" s="62">
        <f t="shared" si="46"/>
        <v>513.80016421153414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10.377283651386332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10.377283651386332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371.7282125501186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1.7022435234527173</v>
      </c>
      <c r="AB35" s="23">
        <f>EXP(-LN(2)/2)*AB34+(1-EXP(-LN(2)/2))/(LN(2)/2)*V35*Y35*VLOOKUP('Données projet'!$B$9,Paramètres!$A$1:$I$89,3,0)*0.475*44/12</f>
        <v>0</v>
      </c>
      <c r="AC35" s="24">
        <f t="shared" si="3"/>
        <v>1.7022435234527173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77.500800000000012</v>
      </c>
      <c r="AK35" s="14">
        <f t="shared" si="35"/>
        <v>21.524992579009275</v>
      </c>
      <c r="AL35" s="22">
        <f t="shared" si="4"/>
        <v>172.46992207510786</v>
      </c>
      <c r="AM35" s="62">
        <f t="shared" si="5"/>
        <v>465.80325540844115</v>
      </c>
      <c r="AN35" s="62">
        <f ca="1">AVERAGE(OFFSET($AM$3,0,0,'Données projet'!$E$10+1,1))-AVERAGE(OFFSET($H$3,0,0,'Données projet'!$E$10+1,1))</f>
        <v>348.82438445524105</v>
      </c>
      <c r="AO35" s="62">
        <f t="shared" si="36"/>
        <v>218.26721063098552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1.5848474183870132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1.5848474183870132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16.600000000000001</v>
      </c>
      <c r="BD35" s="13">
        <f>IF('Données projet'!$A$88&gt;35,BD34+BC35-BL34,IF(A35&lt;'Données projet'!$A$88,$BA$205^A35,IF(A35='Données projet'!$A$88,'Données projet'!$B$88,BD34+BC35-BL34)))</f>
        <v>179.20000000000002</v>
      </c>
      <c r="BE35" s="14">
        <f>BD35*VLOOKUP('Données projet'!$B$11,Paramètres!$A$1:$I$89,3,0)*VLOOKUP('Données projet'!$B$11,Paramètres!$A$1:$I$89,5,0)</f>
        <v>102.50240000000002</v>
      </c>
      <c r="BF35" s="14">
        <f t="shared" si="37"/>
        <v>27.557299572196182</v>
      </c>
      <c r="BG35" s="22">
        <f t="shared" si="7"/>
        <v>226.52064342157504</v>
      </c>
      <c r="BH35" s="62">
        <f t="shared" si="8"/>
        <v>519.85397675490833</v>
      </c>
      <c r="BI35" s="62">
        <f ca="1">AVERAGE(OFFSET($BH$3,0,0,'Données projet'!$E$11+1,1))-AVERAGE(OFFSET($H$3,0,0,'Données projet'!$E$11+1,1))</f>
        <v>309.71642374647882</v>
      </c>
      <c r="BJ35" s="62">
        <f t="shared" si="38"/>
        <v>266.63880397664315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7.0890646356777784</v>
      </c>
      <c r="BQ35" s="23">
        <f>EXP(-LN(2)/25)*BQ34+(1-EXP(-LN(2)/25))/(LN(2)/25)*Calculateur!BL35*Calculateur!BN35*VLOOKUP('Données projet'!$B$11,Paramètres!$A$1:$I$89,3,0)*0.475*44/12</f>
        <v>5.8099206427568513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12.89898527843463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88.982399999999998</v>
      </c>
      <c r="CA35" s="14">
        <f t="shared" si="39"/>
        <v>24.31964219550628</v>
      </c>
      <c r="CB35" s="22">
        <f t="shared" si="10"/>
        <v>197.3343901571734</v>
      </c>
      <c r="CC35" s="62">
        <f t="shared" si="11"/>
        <v>490.66772349050672</v>
      </c>
      <c r="CD35" s="62">
        <f ca="1">AVERAGE(OFFSET($CC$3,0,0,'Données projet'!$E$12+1,1))-AVERAGE(OFFSET($H$3,0,0,'Données projet'!$E$12+1,1))</f>
        <v>394.59880827600006</v>
      </c>
      <c r="CE35" s="62">
        <f t="shared" si="40"/>
        <v>244.45149244446094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1.8196396285184224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1.8196396285184224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103.82579999999997</v>
      </c>
      <c r="CV35" s="14">
        <f t="shared" si="41"/>
        <v>27.871440528178173</v>
      </c>
      <c r="CW35" s="22">
        <f t="shared" si="13"/>
        <v>229.37269391991026</v>
      </c>
      <c r="CX35" s="62">
        <f t="shared" si="14"/>
        <v>522.70602725324352</v>
      </c>
      <c r="CY35" s="62">
        <f ca="1">AVERAGE(OFFSET($CX$3,0,0,'Données projet'!$E$13+1,1))-AVERAGE(OFFSET($H$3,0,0,'Données projet'!$E$13+1,1))</f>
        <v>293.90975929253631</v>
      </c>
      <c r="CZ35" s="62">
        <f t="shared" si="42"/>
        <v>288.30197520356643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12.335592354416708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12.335592354416708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130.49999999999994</v>
      </c>
      <c r="DP35" s="18">
        <f>DO35*VLOOKUP('Données projet'!$B$14,Paramètres!$A$1:$I$89,3,0)*VLOOKUP('Données projet'!$B$14,Paramètres!$A$1:$I$89,5,0)</f>
        <v>101.78999999999996</v>
      </c>
      <c r="DQ35" s="14">
        <f t="shared" si="43"/>
        <v>27.38799903683508</v>
      </c>
      <c r="DR35" s="22">
        <f t="shared" si="16"/>
        <v>224.98501498915437</v>
      </c>
      <c r="DS35" s="62">
        <f t="shared" si="17"/>
        <v>518.31834832248774</v>
      </c>
      <c r="DT35" s="62">
        <f ca="1">AVERAGE(OFFSET($DS$3,0,0,'Données projet'!$E$14+1,1))-AVERAGE(OFFSET($H$3,0,0,'Données projet'!$E$14+1,1))</f>
        <v>288.82868507674738</v>
      </c>
      <c r="DU35" s="62">
        <f t="shared" si="44"/>
        <v>283.48738729114024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9.8118844106533203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9.8118844106533203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</v>
      </c>
      <c r="EJ35" s="13">
        <f>IF('Données projet'!$A$192&gt;35,EJ34+EI35-ER34,IF(A35&lt;'Données projet'!$A$192,$EG$205^A35,IF(A35='Données projet'!$A$192,'Données projet'!$B$192,EJ34+EI35-ER34)))</f>
        <v>245.99999999999997</v>
      </c>
      <c r="EK35" s="18">
        <f>EJ35*VLOOKUP('Données projet'!$B$15,Paramètres!$A$1:$I$89,3,0)*VLOOKUP('Données projet'!$B$15,Paramètres!$A$1:$I$89,5,0)</f>
        <v>222.58079999999998</v>
      </c>
      <c r="EL35" s="14">
        <f t="shared" si="45"/>
        <v>54.675428546153199</v>
      </c>
      <c r="EM35" s="22">
        <f t="shared" si="19"/>
        <v>482.88793138455003</v>
      </c>
      <c r="EN35" s="62">
        <f t="shared" si="20"/>
        <v>776.22126471788329</v>
      </c>
      <c r="EO35" s="62">
        <f ca="1">AVERAGE(OFFSET($EN$3,0,0,'Données projet'!$E$15+1,1))-AVERAGE(OFFSET($H$3,0,0,'Données projet'!$E$15+1,1))</f>
        <v>366.86025470473652</v>
      </c>
      <c r="EP35" s="62">
        <f t="shared" si="46"/>
        <v>513.80016421153414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10.173791448500685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10.173791448500685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371.7282125501186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1.6556955847868065</v>
      </c>
      <c r="AB36" s="23">
        <f>EXP(-LN(2)/2)*AB35+(1-EXP(-LN(2)/2))/(LN(2)/2)*V36*Y36*VLOOKUP('Données projet'!$B$9,Paramètres!$A$1:$I$89,3,0)*0.475*44/12</f>
        <v>0</v>
      </c>
      <c r="AC36" s="24">
        <f t="shared" si="3"/>
        <v>1.6556955847868065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84.240000000000009</v>
      </c>
      <c r="AK36" s="14">
        <f t="shared" si="35"/>
        <v>23.170749718409468</v>
      </c>
      <c r="AL36" s="22">
        <f t="shared" si="4"/>
        <v>187.07372242622981</v>
      </c>
      <c r="AM36" s="62">
        <f t="shared" si="5"/>
        <v>480.40705575956315</v>
      </c>
      <c r="AN36" s="62">
        <f ca="1">AVERAGE(OFFSET($AM$3,0,0,'Données projet'!$E$10+1,1))-AVERAGE(OFFSET($H$3,0,0,'Données projet'!$E$10+1,1))</f>
        <v>348.82438445524105</v>
      </c>
      <c r="AO36" s="62">
        <f t="shared" si="36"/>
        <v>218.26721063098552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1.5415096823877168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1.5415096823877168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16.600000000000001</v>
      </c>
      <c r="BD36" s="13">
        <f>IF('Données projet'!$A$88&gt;35,BD35+BC36-BL35,IF(A36&lt;'Données projet'!$A$88,$BA$205^A36,IF(A36='Données projet'!$A$88,'Données projet'!$B$88,BD35+BC36-BL35)))</f>
        <v>195.8</v>
      </c>
      <c r="BE36" s="14">
        <f>BD36*VLOOKUP('Données projet'!$B$11,Paramètres!$A$1:$I$89,3,0)*VLOOKUP('Données projet'!$B$11,Paramètres!$A$1:$I$89,5,0)</f>
        <v>111.99760000000001</v>
      </c>
      <c r="BF36" s="14">
        <f t="shared" si="37"/>
        <v>29.801140607184838</v>
      </c>
      <c r="BG36" s="22">
        <f t="shared" si="7"/>
        <v>246.96613989084696</v>
      </c>
      <c r="BH36" s="62">
        <f t="shared" si="8"/>
        <v>540.29947322418025</v>
      </c>
      <c r="BI36" s="62">
        <f ca="1">AVERAGE(OFFSET($BH$3,0,0,'Données projet'!$E$11+1,1))-AVERAGE(OFFSET($H$3,0,0,'Données projet'!$E$11+1,1))</f>
        <v>309.71642374647882</v>
      </c>
      <c r="BJ36" s="62">
        <f t="shared" si="38"/>
        <v>266.63880397664315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6.9500524020746148</v>
      </c>
      <c r="BQ36" s="23">
        <f>EXP(-LN(2)/25)*BQ35+(1-EXP(-LN(2)/25))/(LN(2)/25)*Calculateur!BL36*Calculateur!BN36*VLOOKUP('Données projet'!$B$11,Paramètres!$A$1:$I$89,3,0)*0.475*44/12</f>
        <v>5.6510480572502173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12.601100459324833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96.72</v>
      </c>
      <c r="CA36" s="14">
        <f t="shared" si="39"/>
        <v>26.179072558792139</v>
      </c>
      <c r="CB36" s="22">
        <f t="shared" si="10"/>
        <v>214.04921803989632</v>
      </c>
      <c r="CC36" s="62">
        <f t="shared" si="11"/>
        <v>507.3825513732296</v>
      </c>
      <c r="CD36" s="62">
        <f ca="1">AVERAGE(OFFSET($CC$3,0,0,'Données projet'!$E$12+1,1))-AVERAGE(OFFSET($H$3,0,0,'Données projet'!$E$12+1,1))</f>
        <v>394.59880827600006</v>
      </c>
      <c r="CE36" s="62">
        <f t="shared" si="40"/>
        <v>244.45149244446094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1.769881487185897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1.769881487185897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112.97519999999996</v>
      </c>
      <c r="CV36" s="14">
        <f t="shared" si="41"/>
        <v>30.030872399306435</v>
      </c>
      <c r="CW36" s="22">
        <f t="shared" si="13"/>
        <v>249.06890942879195</v>
      </c>
      <c r="CX36" s="62">
        <f t="shared" si="14"/>
        <v>542.4022427621253</v>
      </c>
      <c r="CY36" s="62">
        <f ca="1">AVERAGE(OFFSET($CX$3,0,0,'Données projet'!$E$13+1,1))-AVERAGE(OFFSET($H$3,0,0,'Données projet'!$E$13+1,1))</f>
        <v>293.90975929253631</v>
      </c>
      <c r="CZ36" s="62">
        <f t="shared" si="42"/>
        <v>288.30197520356643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12.093698912315002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12.093698912315002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141.99999999999994</v>
      </c>
      <c r="DP36" s="18">
        <f>DO36*VLOOKUP('Données projet'!$B$14,Paramètres!$A$1:$I$89,3,0)*VLOOKUP('Données projet'!$B$14,Paramètres!$A$1:$I$89,5,0)</f>
        <v>110.75999999999996</v>
      </c>
      <c r="DQ36" s="14">
        <f t="shared" si="43"/>
        <v>29.509974682362923</v>
      </c>
      <c r="DR36" s="22">
        <f t="shared" si="16"/>
        <v>244.30353923844871</v>
      </c>
      <c r="DS36" s="62">
        <f t="shared" si="17"/>
        <v>537.63687257178208</v>
      </c>
      <c r="DT36" s="62">
        <f ca="1">AVERAGE(OFFSET($DS$3,0,0,'Données projet'!$E$14+1,1))-AVERAGE(OFFSET($H$3,0,0,'Données projet'!$E$14+1,1))</f>
        <v>288.82868507674738</v>
      </c>
      <c r="DU36" s="62">
        <f t="shared" si="44"/>
        <v>283.48738729114024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9.6194793420189626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9.6194793420189626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</v>
      </c>
      <c r="EJ36" s="13">
        <f>IF('Données projet'!$A$192&gt;35,EJ35+EI36-ER35,IF(A36&lt;'Données projet'!$A$192,$EG$205^A36,IF(A36='Données projet'!$A$192,'Données projet'!$B$192,EJ35+EI36-ER35)))</f>
        <v>252.99999999999997</v>
      </c>
      <c r="EK36" s="18">
        <f>EJ36*VLOOKUP('Données projet'!$B$15,Paramètres!$A$1:$I$89,3,0)*VLOOKUP('Données projet'!$B$15,Paramètres!$A$1:$I$89,5,0)</f>
        <v>228.91439999999997</v>
      </c>
      <c r="EL36" s="14">
        <f t="shared" si="45"/>
        <v>56.047884834417424</v>
      </c>
      <c r="EM36" s="22">
        <f t="shared" si="19"/>
        <v>496.30931275327697</v>
      </c>
      <c r="EN36" s="62">
        <f t="shared" si="20"/>
        <v>789.64264608661028</v>
      </c>
      <c r="EO36" s="62">
        <f ca="1">AVERAGE(OFFSET($EN$3,0,0,'Données projet'!$E$15+1,1))-AVERAGE(OFFSET($H$3,0,0,'Données projet'!$E$15+1,1))</f>
        <v>366.86025470473652</v>
      </c>
      <c r="EP36" s="62">
        <f t="shared" si="46"/>
        <v>513.80016421153414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9.9742896035956381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9.9742896035956381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371.7282125501186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1.6104205019515645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1.6104205019515645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90.97920000000002</v>
      </c>
      <c r="AK37" s="14">
        <f t="shared" si="35"/>
        <v>24.801235516871511</v>
      </c>
      <c r="AL37" s="22">
        <f t="shared" si="4"/>
        <v>201.65092519188457</v>
      </c>
      <c r="AM37" s="62">
        <f t="shared" si="5"/>
        <v>494.98425852521791</v>
      </c>
      <c r="AN37" s="62">
        <f ca="1">AVERAGE(OFFSET($AM$3,0,0,'Données projet'!$E$10+1,1))-AVERAGE(OFFSET($H$3,0,0,'Données projet'!$E$10+1,1))</f>
        <v>348.82438445524105</v>
      </c>
      <c r="AO37" s="62">
        <f t="shared" si="36"/>
        <v>218.26721063098552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1.4993570190583536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1.4993570190583536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16.600000000000001</v>
      </c>
      <c r="BD37" s="13">
        <f>IF('Données projet'!$A$88&gt;35,BD36+BC37-BL36,IF(A37&lt;'Données projet'!$A$88,$BA$205^A37,IF(A37='Données projet'!$A$88,'Données projet'!$B$88,BD36+BC37-BL36)))</f>
        <v>212.4</v>
      </c>
      <c r="BE37" s="14">
        <f>BD37*VLOOKUP('Données projet'!$B$11,Paramètres!$A$1:$I$89,3,0)*VLOOKUP('Données projet'!$B$11,Paramètres!$A$1:$I$89,5,0)</f>
        <v>121.4928</v>
      </c>
      <c r="BF37" s="14">
        <f t="shared" si="37"/>
        <v>32.02291946024841</v>
      </c>
      <c r="BG37" s="22">
        <f t="shared" si="7"/>
        <v>267.37321139326599</v>
      </c>
      <c r="BH37" s="62">
        <f t="shared" si="8"/>
        <v>560.7065447265993</v>
      </c>
      <c r="BI37" s="62">
        <f ca="1">AVERAGE(OFFSET($BH$3,0,0,'Données projet'!$E$11+1,1))-AVERAGE(OFFSET($H$3,0,0,'Données projet'!$E$11+1,1))</f>
        <v>309.71642374647882</v>
      </c>
      <c r="BJ37" s="62">
        <f t="shared" si="38"/>
        <v>266.63880397664315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6.813766113583319</v>
      </c>
      <c r="BQ37" s="23">
        <f>EXP(-LN(2)/25)*BQ36+(1-EXP(-LN(2)/25))/(LN(2)/25)*Calculateur!BL37*Calculateur!BN37*VLOOKUP('Données projet'!$B$11,Paramètres!$A$1:$I$89,3,0)*0.475*44/12</f>
        <v>5.4965198509490083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12.310285964532326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104.4576</v>
      </c>
      <c r="CA37" s="14">
        <f t="shared" si="39"/>
        <v>28.021248860498272</v>
      </c>
      <c r="CB37" s="22">
        <f t="shared" si="10"/>
        <v>230.73399509870114</v>
      </c>
      <c r="CC37" s="62">
        <f t="shared" si="11"/>
        <v>524.0673284320344</v>
      </c>
      <c r="CD37" s="62">
        <f ca="1">AVERAGE(OFFSET($CC$3,0,0,'Données projet'!$E$12+1,1))-AVERAGE(OFFSET($H$3,0,0,'Données projet'!$E$12+1,1))</f>
        <v>394.59880827600006</v>
      </c>
      <c r="CE37" s="62">
        <f t="shared" si="40"/>
        <v>244.45149244446094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1.7214839848447763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1.7214839848447763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122.12459999999996</v>
      </c>
      <c r="CV37" s="14">
        <f t="shared" si="41"/>
        <v>32.170020079783427</v>
      </c>
      <c r="CW37" s="22">
        <f t="shared" si="13"/>
        <v>268.72979663895603</v>
      </c>
      <c r="CX37" s="62">
        <f t="shared" si="14"/>
        <v>562.06312997228929</v>
      </c>
      <c r="CY37" s="62">
        <f ca="1">AVERAGE(OFFSET($CX$3,0,0,'Données projet'!$E$13+1,1))-AVERAGE(OFFSET($H$3,0,0,'Données projet'!$E$13+1,1))</f>
        <v>293.90975929253631</v>
      </c>
      <c r="CZ37" s="62">
        <f t="shared" si="42"/>
        <v>288.30197520356643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11.85654885307248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11.85654885307248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153.49999999999994</v>
      </c>
      <c r="DP37" s="18">
        <f>DO37*VLOOKUP('Données projet'!$B$14,Paramètres!$A$1:$I$89,3,0)*VLOOKUP('Données projet'!$B$14,Paramètres!$A$1:$I$89,5,0)</f>
        <v>119.72999999999996</v>
      </c>
      <c r="DQ37" s="14">
        <f t="shared" si="43"/>
        <v>31.612017974790529</v>
      </c>
      <c r="DR37" s="22">
        <f t="shared" si="16"/>
        <v>263.58734797276003</v>
      </c>
      <c r="DS37" s="62">
        <f t="shared" si="17"/>
        <v>556.92068130609334</v>
      </c>
      <c r="DT37" s="62">
        <f ca="1">AVERAGE(OFFSET($DS$3,0,0,'Données projet'!$E$14+1,1))-AVERAGE(OFFSET($H$3,0,0,'Données projet'!$E$14+1,1))</f>
        <v>288.82868507674738</v>
      </c>
      <c r="DU37" s="62">
        <f t="shared" si="44"/>
        <v>283.48738729114024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9.4308472194250221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9.4308472194250221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</v>
      </c>
      <c r="EJ37" s="13">
        <f>IF('Données projet'!$A$192&gt;35,EJ36+EI37-ER36,IF(A37&lt;'Données projet'!$A$192,$EG$205^A37,IF(A37='Données projet'!$A$192,'Données projet'!$B$192,EJ36+EI37-ER36)))</f>
        <v>260</v>
      </c>
      <c r="EK37" s="18">
        <f>EJ37*VLOOKUP('Données projet'!$B$15,Paramètres!$A$1:$I$89,3,0)*VLOOKUP('Données projet'!$B$15,Paramètres!$A$1:$I$89,5,0)</f>
        <v>235.24799999999999</v>
      </c>
      <c r="EL37" s="14">
        <f t="shared" si="45"/>
        <v>57.41592756883739</v>
      </c>
      <c r="EM37" s="22">
        <f t="shared" si="19"/>
        <v>509.72300718239177</v>
      </c>
      <c r="EN37" s="62">
        <f t="shared" si="20"/>
        <v>803.05634051572508</v>
      </c>
      <c r="EO37" s="62">
        <f ca="1">AVERAGE(OFFSET($EN$3,0,0,'Données projet'!$E$15+1,1))-AVERAGE(OFFSET($H$3,0,0,'Données projet'!$E$15+1,1))</f>
        <v>366.86025470473652</v>
      </c>
      <c r="EP37" s="62">
        <f t="shared" si="46"/>
        <v>513.80016421153414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9.7786998681850683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9.7786998681850683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371.7282125501186</v>
      </c>
      <c r="T38" s="62">
        <f t="shared" si="34"/>
        <v>231.36959598460686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0.25800000000000001</v>
      </c>
      <c r="X38" s="17">
        <f>IF(ISNA(VLOOKUP(A38,'Données projet'!$A$35:$I$55,6,0)),0%,VLOOKUP(A38,'Données projet'!$A$35:$I$55,6,0)*VLOOKUP('Données projet'!$B$9,Paramètres!$A$1:$I$89,7,0))</f>
        <v>0.17200000000000001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5.4192439695568568</v>
      </c>
      <c r="AA38" s="23">
        <f>EXP(-LN(2)/25)*AA37+(1-EXP(-LN(2)/25))/(LN(2)/25)*Calculateur!V38*Calculateur!X38*VLOOKUP('Données projet'!$B$9,Paramètres!$A$1:$I$89,3,0)*0.475*44/12</f>
        <v>5.1649876960739487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10.584231665630806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97.718400000000003</v>
      </c>
      <c r="AK38" s="14">
        <f t="shared" si="35"/>
        <v>26.417709819192194</v>
      </c>
      <c r="AL38" s="22">
        <f t="shared" si="4"/>
        <v>216.20372460175975</v>
      </c>
      <c r="AM38" s="62">
        <f t="shared" si="5"/>
        <v>509.53705793509306</v>
      </c>
      <c r="AN38" s="62">
        <f ca="1">AVERAGE(OFFSET($AM$3,0,0,'Données projet'!$E$10+1,1))-AVERAGE(OFFSET($H$3,0,0,'Données projet'!$E$10+1,1))</f>
        <v>348.82438445524105</v>
      </c>
      <c r="AO38" s="62">
        <f t="shared" si="36"/>
        <v>218.26721063098552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0.25800000000000001</v>
      </c>
      <c r="AS38" s="17">
        <f>IF(ISNA(VLOOKUP(A38,'Données projet'!$A$61:$I$81,6,0)),0%,VLOOKUP(A38,'Données projet'!$A$61:$I$81,6,0)*VLOOKUP('Données projet'!$B$10,Paramètres!$A$1:$I$89,7,0))</f>
        <v>0.17200000000000001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5.0455030061391435</v>
      </c>
      <c r="AV38" s="23">
        <f>EXP(-LN(2)/25)*AV37+(1-EXP(-LN(2)/25))/(LN(2)/25)*Calculateur!AQ38*Calculateur!AS38*VLOOKUP('Données projet'!$B$10,Paramètres!$A$1:$I$89,3,0)*0.475*44/12</f>
        <v>4.8087816480688499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9.8542846542079943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229</v>
      </c>
      <c r="BB38" s="13">
        <f>VLOOKUP(A38,'Données projet'!$A$87:$I$107,9,0)</f>
        <v>16.600000000000001</v>
      </c>
      <c r="BC38" s="13">
        <f t="array" ref="BC38">INDEX(BB:BB,MIN(IF(ISNUMBER(BB38:BB234),ROW(BB38:BB234),"")))</f>
        <v>16.600000000000001</v>
      </c>
      <c r="BD38" s="13">
        <f>IF('Données projet'!$A$88&gt;35,BD37+BC38-BL37,IF(A38&lt;'Données projet'!$A$88,$BA$205^A38,IF(A38='Données projet'!$A$88,'Données projet'!$B$88,BD37+BC38-BL37)))</f>
        <v>229</v>
      </c>
      <c r="BE38" s="14">
        <f>BD38*VLOOKUP('Données projet'!$B$11,Paramètres!$A$1:$I$89,3,0)*VLOOKUP('Données projet'!$B$11,Paramètres!$A$1:$I$89,5,0)</f>
        <v>130.988</v>
      </c>
      <c r="BF38" s="14">
        <f t="shared" si="37"/>
        <v>34.224556427728572</v>
      </c>
      <c r="BG38" s="22">
        <f t="shared" si="7"/>
        <v>287.74520244496057</v>
      </c>
      <c r="BH38" s="62">
        <f t="shared" si="8"/>
        <v>581.07853577829383</v>
      </c>
      <c r="BI38" s="62">
        <f ca="1">AVERAGE(OFFSET($BH$3,0,0,'Données projet'!$E$11+1,1))-AVERAGE(OFFSET($H$3,0,0,'Données projet'!$E$11+1,1))</f>
        <v>309.71642374647882</v>
      </c>
      <c r="BJ38" s="62">
        <f t="shared" si="38"/>
        <v>266.63880397664315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0.27</v>
      </c>
      <c r="BN38" s="17">
        <f>IF(ISNA(VLOOKUP(A38,'Données projet'!$A$87:$I$107,6,0)),0%,VLOOKUP(A38,'Données projet'!$A$87:$I$107,6,0)*VLOOKUP('Données projet'!$B$11,Paramètres!$A$1:$I$89,7,0))</f>
        <v>0.18000000000000002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16.719008426488955</v>
      </c>
      <c r="BQ38" s="23">
        <f>EXP(-LN(2)/25)*BQ37+(1-EXP(-LN(2)/25))/(LN(2)/25)*Calculateur!BL38*Calculateur!BN38*VLOOKUP('Données projet'!$B$11,Paramètres!$A$1:$I$89,3,0)*0.475*44/12</f>
        <v>12.012436765772271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28.731445192261226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112.1952</v>
      </c>
      <c r="CA38" s="14">
        <f t="shared" si="39"/>
        <v>29.847594514573263</v>
      </c>
      <c r="CB38" s="22">
        <f t="shared" si="10"/>
        <v>247.39120044621509</v>
      </c>
      <c r="CC38" s="62">
        <f t="shared" si="11"/>
        <v>540.72453377954844</v>
      </c>
      <c r="CD38" s="62">
        <f ca="1">AVERAGE(OFFSET($CC$3,0,0,'Données projet'!$E$12+1,1))-AVERAGE(OFFSET($H$3,0,0,'Données projet'!$E$12+1,1))</f>
        <v>394.59880827600006</v>
      </c>
      <c r="CE38" s="62">
        <f t="shared" si="40"/>
        <v>244.45149244446094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0.25800000000000001</v>
      </c>
      <c r="CI38" s="17">
        <f>IF(ISNA(VLOOKUP(A38,'Données projet'!$A$113:$I$133,6,0)),0%,VLOOKUP(A38,'Données projet'!$A$113:$I$133,6,0)*VLOOKUP('Données projet'!$B$12,Paramètres!$A$1:$I$89,7,0))</f>
        <v>0.17200000000000001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5.792984932974572</v>
      </c>
      <c r="CL38" s="23">
        <f>EXP(-LN(2)/25)*CL37+(1-EXP(-LN(2)/25))/(LN(2)/25)*Calculateur!CG38*Calculateur!CI38*VLOOKUP('Données projet'!$B$12,Paramètres!$A$1:$I$89,3,0)*0.475*44/12</f>
        <v>5.5211937440790493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11.314178677053622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131.27399999999997</v>
      </c>
      <c r="CV38" s="14">
        <f t="shared" si="41"/>
        <v>34.290576031111669</v>
      </c>
      <c r="CW38" s="22">
        <f t="shared" si="13"/>
        <v>288.35830325418607</v>
      </c>
      <c r="CX38" s="62">
        <f t="shared" si="14"/>
        <v>581.69163658751938</v>
      </c>
      <c r="CY38" s="62">
        <f ca="1">AVERAGE(OFFSET($CX$3,0,0,'Données projet'!$E$13+1,1))-AVERAGE(OFFSET($H$3,0,0,'Données projet'!$E$13+1,1))</f>
        <v>293.90975929253631</v>
      </c>
      <c r="CZ38" s="62">
        <f t="shared" si="42"/>
        <v>288.30197520356643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11.62404916184445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11.62404916184445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164.99999999999994</v>
      </c>
      <c r="DP38" s="18">
        <f>DO38*VLOOKUP('Données projet'!$B$14,Paramètres!$A$1:$I$89,3,0)*VLOOKUP('Données projet'!$B$14,Paramètres!$A$1:$I$89,5,0)</f>
        <v>128.69999999999996</v>
      </c>
      <c r="DQ38" s="14">
        <f t="shared" si="43"/>
        <v>33.695792019186115</v>
      </c>
      <c r="DR38" s="22">
        <f t="shared" si="16"/>
        <v>282.83933776674911</v>
      </c>
      <c r="DS38" s="62">
        <f t="shared" si="17"/>
        <v>576.17267110008243</v>
      </c>
      <c r="DT38" s="62">
        <f ca="1">AVERAGE(OFFSET($DS$3,0,0,'Données projet'!$E$14+1,1))-AVERAGE(OFFSET($H$3,0,0,'Données projet'!$E$14+1,1))</f>
        <v>288.82868507674738</v>
      </c>
      <c r="DU38" s="62">
        <f t="shared" si="44"/>
        <v>283.48738729114024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9.2459140577009133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9.2459140577009133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267</v>
      </c>
      <c r="EH38" s="13">
        <f>VLOOKUP(A38,'Données projet'!$A$191:$I$211,9,0)</f>
        <v>7</v>
      </c>
      <c r="EI38" s="13">
        <f t="array" ref="EI38">INDEX(EH:EH,MIN(IF(ISNUMBER(EH38:EH234),ROW(EH38:EH234),"")))</f>
        <v>7</v>
      </c>
      <c r="EJ38" s="13">
        <f>IF('Données projet'!$A$192&gt;35,EJ37+EI38-ER37,IF(A38&lt;'Données projet'!$A$192,$EG$205^A38,IF(A38='Données projet'!$A$192,'Données projet'!$B$192,EJ37+EI38-ER37)))</f>
        <v>267</v>
      </c>
      <c r="EK38" s="18">
        <f>EJ38*VLOOKUP('Données projet'!$B$15,Paramètres!$A$1:$I$89,3,0)*VLOOKUP('Données projet'!$B$15,Paramètres!$A$1:$I$89,5,0)</f>
        <v>241.58159999999998</v>
      </c>
      <c r="EL38" s="14">
        <f t="shared" si="45"/>
        <v>58.779689232021951</v>
      </c>
      <c r="EM38" s="22">
        <f t="shared" si="19"/>
        <v>523.12924541243819</v>
      </c>
      <c r="EN38" s="62">
        <f t="shared" si="20"/>
        <v>816.46257874577145</v>
      </c>
      <c r="EO38" s="62">
        <f ca="1">AVERAGE(OFFSET($EN$3,0,0,'Données projet'!$E$15+1,1))-AVERAGE(OFFSET($H$3,0,0,'Données projet'!$E$15+1,1))</f>
        <v>366.86025470473652</v>
      </c>
      <c r="EP38" s="62">
        <f t="shared" si="46"/>
        <v>513.80016421153414</v>
      </c>
      <c r="EQ38" s="16">
        <f>IF(ISNA(VLOOKUP(A38,'Données projet'!$A$191:$I$211,3,0)),0,VLOOKUP(A38,'Données projet'!$A$191:$I$211,3,0))</f>
        <v>7</v>
      </c>
      <c r="ER38" s="16">
        <f>IF(ISNA(VLOOKUP(A38,'Données projet'!$A$191:$I$211,4,0)),0,VLOOKUP(A38,'Données projet'!$A$191:$I$211,4,0))</f>
        <v>9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9.5869455281879414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9.5869455281879414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371.7282125501186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5.3129759007262862</v>
      </c>
      <c r="AA39" s="23">
        <f>EXP(-LN(2)/25)*AA38+(1-EXP(-LN(2)/25))/(LN(2)/25)*Calculateur!V39*Calculateur!X39*VLOOKUP('Données projet'!$B$9,Paramètres!$A$1:$I$89,3,0)*0.475*44/12</f>
        <v>5.0237508359099081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10.336726736636194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87.104160000000007</v>
      </c>
      <c r="AK39" s="14">
        <f t="shared" si="35"/>
        <v>23.865494318543401</v>
      </c>
      <c r="AL39" s="22">
        <f t="shared" si="4"/>
        <v>193.27214793812973</v>
      </c>
      <c r="AM39" s="62">
        <f t="shared" si="5"/>
        <v>486.60548127146308</v>
      </c>
      <c r="AN39" s="62">
        <f ca="1">AVERAGE(OFFSET($AM$3,0,0,'Données projet'!$E$10+1,1))-AVERAGE(OFFSET($H$3,0,0,'Données projet'!$E$10+1,1))</f>
        <v>348.82438445524105</v>
      </c>
      <c r="AO39" s="62">
        <f t="shared" si="36"/>
        <v>218.26721063098552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4.9465637696417151</v>
      </c>
      <c r="AV39" s="23">
        <f>EXP(-LN(2)/25)*AV38+(1-EXP(-LN(2)/25))/(LN(2)/25)*Calculateur!AQ39*Calculateur!AS39*VLOOKUP('Données projet'!$B$10,Paramètres!$A$1:$I$89,3,0)*0.475*44/12</f>
        <v>4.6772852610195708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9.6238490306612867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15.2</v>
      </c>
      <c r="BD39" s="13">
        <f>IF('Données projet'!$A$88&gt;35,BD38+BC39-BL38,IF(A39&lt;'Données projet'!$A$88,$BA$205^A39,IF(A39='Données projet'!$A$88,'Données projet'!$B$88,BD38+BC39-BL38)))</f>
        <v>195.2</v>
      </c>
      <c r="BE39" s="14">
        <f>BD39*VLOOKUP('Données projet'!$B$11,Paramètres!$A$1:$I$89,3,0)*VLOOKUP('Données projet'!$B$11,Paramètres!$A$1:$I$89,5,0)</f>
        <v>111.6544</v>
      </c>
      <c r="BF39" s="14">
        <f t="shared" si="37"/>
        <v>29.720434817267506</v>
      </c>
      <c r="BG39" s="22">
        <f t="shared" si="7"/>
        <v>246.22783730674089</v>
      </c>
      <c r="BH39" s="62">
        <f t="shared" si="8"/>
        <v>539.56117064007424</v>
      </c>
      <c r="BI39" s="62">
        <f ca="1">AVERAGE(OFFSET($BH$3,0,0,'Données projet'!$E$11+1,1))-AVERAGE(OFFSET($H$3,0,0,'Données projet'!$E$11+1,1))</f>
        <v>309.71642374647882</v>
      </c>
      <c r="BJ39" s="62">
        <f t="shared" si="38"/>
        <v>266.63880397664315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16.391158868833717</v>
      </c>
      <c r="BQ39" s="23">
        <f>EXP(-LN(2)/25)*BQ38+(1-EXP(-LN(2)/25))/(LN(2)/25)*Calculateur!BL39*Calculateur!BN39*VLOOKUP('Données projet'!$B$11,Paramètres!$A$1:$I$89,3,0)*0.475*44/12</f>
        <v>11.683956050705634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28.075114919539352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103.4</v>
      </c>
      <c r="BZ39" s="14">
        <f>BY39*VLOOKUP('Données projet'!$B$12,Paramètres!$A$1:$I$89,3,0)*VLOOKUP('Données projet'!$B$12,Paramètres!$A$1:$I$89,5,0)</f>
        <v>100.00848000000001</v>
      </c>
      <c r="CA39" s="14">
        <f t="shared" si="39"/>
        <v>26.964017781444337</v>
      </c>
      <c r="CB39" s="22">
        <f t="shared" si="10"/>
        <v>221.14376696934889</v>
      </c>
      <c r="CC39" s="62">
        <f t="shared" si="11"/>
        <v>514.47710030268217</v>
      </c>
      <c r="CD39" s="62">
        <f ca="1">AVERAGE(OFFSET($CC$3,0,0,'Données projet'!$E$12+1,1))-AVERAGE(OFFSET($H$3,0,0,'Données projet'!$E$12+1,1))</f>
        <v>394.59880827600006</v>
      </c>
      <c r="CE39" s="62">
        <f t="shared" si="40"/>
        <v>244.45149244446094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5.6793880318108583</v>
      </c>
      <c r="CL39" s="23">
        <f>EXP(-LN(2)/25)*CL38+(1-EXP(-LN(2)/25))/(LN(2)/25)*Calculateur!CG39*Calculateur!CI39*VLOOKUP('Données projet'!$B$12,Paramètres!$A$1:$I$89,3,0)*0.475*44/12</f>
        <v>5.3702164108002473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11.049604442611106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140.42339999999996</v>
      </c>
      <c r="CV39" s="14">
        <f t="shared" si="41"/>
        <v>36.393983436191526</v>
      </c>
      <c r="CW39" s="22">
        <f t="shared" si="13"/>
        <v>307.9569428180335</v>
      </c>
      <c r="CX39" s="62">
        <f t="shared" si="14"/>
        <v>601.29027615136681</v>
      </c>
      <c r="CY39" s="62">
        <f ca="1">AVERAGE(OFFSET($CX$3,0,0,'Données projet'!$E$13+1,1))-AVERAGE(OFFSET($H$3,0,0,'Données projet'!$E$13+1,1))</f>
        <v>293.90975929253631</v>
      </c>
      <c r="CZ39" s="62">
        <f t="shared" si="42"/>
        <v>288.30197520356643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11.396108647750593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11.396108647750593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176.49999999999994</v>
      </c>
      <c r="DP39" s="18">
        <f>DO39*VLOOKUP('Données projet'!$B$14,Paramètres!$A$1:$I$89,3,0)*VLOOKUP('Données projet'!$B$14,Paramètres!$A$1:$I$89,5,0)</f>
        <v>137.66999999999996</v>
      </c>
      <c r="DQ39" s="14">
        <f t="shared" si="43"/>
        <v>35.762714965854656</v>
      </c>
      <c r="DR39" s="22">
        <f t="shared" si="16"/>
        <v>302.06197856553007</v>
      </c>
      <c r="DS39" s="62">
        <f t="shared" si="17"/>
        <v>595.39531189886338</v>
      </c>
      <c r="DT39" s="62">
        <f ca="1">AVERAGE(OFFSET($DS$3,0,0,'Données projet'!$E$14+1,1))-AVERAGE(OFFSET($H$3,0,0,'Données projet'!$E$14+1,1))</f>
        <v>288.82868507674738</v>
      </c>
      <c r="DU39" s="62">
        <f t="shared" si="44"/>
        <v>283.48738729114024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9.0646073224801249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9.0646073224801249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6.2</v>
      </c>
      <c r="EJ39" s="13">
        <f>IF('Données projet'!$A$192&gt;35,EJ38+EI39-ER38,IF(A39&lt;'Données projet'!$A$192,$EG$205^A39,IF(A39='Données projet'!$A$192,'Données projet'!$B$192,EJ38+EI39-ER38)))</f>
        <v>264.2</v>
      </c>
      <c r="EK39" s="18">
        <f>EJ39*VLOOKUP('Données projet'!$B$15,Paramètres!$A$1:$I$89,3,0)*VLOOKUP('Données projet'!$B$15,Paramètres!$A$1:$I$89,5,0)</f>
        <v>239.04816</v>
      </c>
      <c r="EL39" s="14">
        <f t="shared" si="45"/>
        <v>58.234690128947292</v>
      </c>
      <c r="EM39" s="22">
        <f t="shared" si="19"/>
        <v>517.76763064124987</v>
      </c>
      <c r="EN39" s="62">
        <f t="shared" si="20"/>
        <v>811.10096397458324</v>
      </c>
      <c r="EO39" s="62">
        <f ca="1">AVERAGE(OFFSET($EN$3,0,0,'Données projet'!$E$15+1,1))-AVERAGE(OFFSET($H$3,0,0,'Données projet'!$E$15+1,1))</f>
        <v>366.86025470473652</v>
      </c>
      <c r="EP39" s="62">
        <f t="shared" si="46"/>
        <v>513.80016421153414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9.3989513738395587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9.3989513738395587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371.7282125501186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5.2087916839083608</v>
      </c>
      <c r="AA40" s="23">
        <f>EXP(-LN(2)/25)*AA39+(1-EXP(-LN(2)/25))/(LN(2)/25)*Calculateur!V40*Calculateur!X40*VLOOKUP('Données projet'!$B$9,Paramètres!$A$1:$I$89,3,0)*0.475*44/12</f>
        <v>4.886376105114377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10.095167789022739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94.180320000000009</v>
      </c>
      <c r="AK40" s="14">
        <f t="shared" si="35"/>
        <v>25.570738079029208</v>
      </c>
      <c r="AL40" s="22">
        <f t="shared" si="4"/>
        <v>208.5664261543092</v>
      </c>
      <c r="AM40" s="62">
        <f t="shared" si="5"/>
        <v>501.89975948764254</v>
      </c>
      <c r="AN40" s="62">
        <f ca="1">AVERAGE(OFFSET($AM$3,0,0,'Données projet'!$E$10+1,1))-AVERAGE(OFFSET($H$3,0,0,'Données projet'!$E$10+1,1))</f>
        <v>348.82438445524105</v>
      </c>
      <c r="AO40" s="62">
        <f t="shared" si="36"/>
        <v>218.26721063098552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4.8495646712250258</v>
      </c>
      <c r="AV40" s="23">
        <f>EXP(-LN(2)/25)*AV39+(1-EXP(-LN(2)/25))/(LN(2)/25)*Calculateur!AQ40*Calculateur!AS40*VLOOKUP('Données projet'!$B$10,Paramètres!$A$1:$I$89,3,0)*0.475*44/12</f>
        <v>4.5493846495892489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9.3989493208142747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15.2</v>
      </c>
      <c r="BD40" s="13">
        <f>IF('Données projet'!$A$88&gt;35,BD39+BC40-BL39,IF(A40&lt;'Données projet'!$A$88,$BA$205^A40,IF(A40='Données projet'!$A$88,'Données projet'!$B$88,BD39+BC40-BL39)))</f>
        <v>210.39999999999998</v>
      </c>
      <c r="BE40" s="14">
        <f>BD40*VLOOKUP('Données projet'!$B$11,Paramètres!$A$1:$I$89,3,0)*VLOOKUP('Données projet'!$B$11,Paramètres!$A$1:$I$89,5,0)</f>
        <v>120.3488</v>
      </c>
      <c r="BF40" s="14">
        <f t="shared" si="37"/>
        <v>31.756337418906501</v>
      </c>
      <c r="BG40" s="22">
        <f t="shared" si="7"/>
        <v>264.91644767126212</v>
      </c>
      <c r="BH40" s="62">
        <f t="shared" si="8"/>
        <v>558.24978100459543</v>
      </c>
      <c r="BI40" s="62">
        <f ca="1">AVERAGE(OFFSET($BH$3,0,0,'Données projet'!$E$11+1,1))-AVERAGE(OFFSET($H$3,0,0,'Données projet'!$E$11+1,1))</f>
        <v>309.71642374647882</v>
      </c>
      <c r="BJ40" s="62">
        <f t="shared" si="38"/>
        <v>266.63880397664315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16.069738241035616</v>
      </c>
      <c r="BQ40" s="23">
        <f>EXP(-LN(2)/25)*BQ39+(1-EXP(-LN(2)/25))/(LN(2)/25)*Calculateur!BL40*Calculateur!BN40*VLOOKUP('Données projet'!$B$11,Paramètres!$A$1:$I$89,3,0)*0.475*44/12</f>
        <v>11.364457658066543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27.434195899102157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111.80000000000001</v>
      </c>
      <c r="BZ40" s="14">
        <f>BY40*VLOOKUP('Données projet'!$B$12,Paramètres!$A$1:$I$89,3,0)*VLOOKUP('Données projet'!$B$12,Paramètres!$A$1:$I$89,5,0)</f>
        <v>108.13296000000001</v>
      </c>
      <c r="CA40" s="14">
        <f t="shared" si="39"/>
        <v>28.890658079177882</v>
      </c>
      <c r="CB40" s="22">
        <f t="shared" si="10"/>
        <v>238.64946815456815</v>
      </c>
      <c r="CC40" s="62">
        <f t="shared" si="11"/>
        <v>531.9828014879015</v>
      </c>
      <c r="CD40" s="62">
        <f ca="1">AVERAGE(OFFSET($CC$3,0,0,'Données projet'!$E$12+1,1))-AVERAGE(OFFSET($H$3,0,0,'Données projet'!$E$12+1,1))</f>
        <v>394.59880827600006</v>
      </c>
      <c r="CE40" s="62">
        <f t="shared" si="40"/>
        <v>244.45149244446094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5.5680186965916967</v>
      </c>
      <c r="CL40" s="23">
        <f>EXP(-LN(2)/25)*CL39+(1-EXP(-LN(2)/25))/(LN(2)/25)*Calculateur!CG40*Calculateur!CI40*VLOOKUP('Données projet'!$B$12,Paramètres!$A$1:$I$89,3,0)*0.475*44/12</f>
        <v>5.2233675606395069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10.791386257231203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149.57279999999994</v>
      </c>
      <c r="CV40" s="14">
        <f t="shared" si="41"/>
        <v>38.481486779011689</v>
      </c>
      <c r="CW40" s="22">
        <f t="shared" si="13"/>
        <v>327.52788280677856</v>
      </c>
      <c r="CX40" s="62">
        <f t="shared" si="14"/>
        <v>620.86121614011188</v>
      </c>
      <c r="CY40" s="62">
        <f ca="1">AVERAGE(OFFSET($CX$3,0,0,'Données projet'!$E$13+1,1))-AVERAGE(OFFSET($H$3,0,0,'Données projet'!$E$13+1,1))</f>
        <v>293.90975929253631</v>
      </c>
      <c r="CZ40" s="62">
        <f t="shared" si="42"/>
        <v>288.30197520356643</v>
      </c>
      <c r="DA40" s="16">
        <f>IF(ISNA(VLOOKUP(A40,'Données projet'!$A$139:$I$159,3,0)),0,VLOOKUP(A40,'Données projet'!$A$139:$I$159,3,0))</f>
        <v>5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11.172637908108131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11.172637908108131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187.99999999999994</v>
      </c>
      <c r="DP40" s="18">
        <f>DO40*VLOOKUP('Données projet'!$B$14,Paramètres!$A$1:$I$89,3,0)*VLOOKUP('Données projet'!$B$14,Paramètres!$A$1:$I$89,5,0)</f>
        <v>146.63999999999996</v>
      </c>
      <c r="DQ40" s="14">
        <f t="shared" si="43"/>
        <v>37.814009712703026</v>
      </c>
      <c r="DR40" s="22">
        <f t="shared" si="16"/>
        <v>321.25740024962437</v>
      </c>
      <c r="DS40" s="62">
        <f t="shared" si="17"/>
        <v>614.59073358295768</v>
      </c>
      <c r="DT40" s="62">
        <f ca="1">AVERAGE(OFFSET($DS$3,0,0,'Données projet'!$E$14+1,1))-AVERAGE(OFFSET($H$3,0,0,'Données projet'!$E$14+1,1))</f>
        <v>288.82868507674738</v>
      </c>
      <c r="DU40" s="62">
        <f t="shared" si="44"/>
        <v>283.48738729114024</v>
      </c>
      <c r="DV40" s="16">
        <f>IF(ISNA(VLOOKUP(A40,'Données projet'!$A$165:$I$185,3,0)),0,VLOOKUP(A40,'Données projet'!$A$165:$I$185,3,0))</f>
        <v>5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8.8868559017508257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8.8868559017508257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6.2</v>
      </c>
      <c r="EJ40" s="13">
        <f>IF('Données projet'!$A$192&gt;35,EJ39+EI40-ER39,IF(A40&lt;'Données projet'!$A$192,$EG$205^A40,IF(A40='Données projet'!$A$192,'Données projet'!$B$192,EJ39+EI40-ER39)))</f>
        <v>270.39999999999998</v>
      </c>
      <c r="EK40" s="18">
        <f>EJ40*VLOOKUP('Données projet'!$B$15,Paramètres!$A$1:$I$89,3,0)*VLOOKUP('Données projet'!$B$15,Paramètres!$A$1:$I$89,5,0)</f>
        <v>244.65791999999996</v>
      </c>
      <c r="EL40" s="14">
        <f t="shared" si="45"/>
        <v>59.44058075210868</v>
      </c>
      <c r="EM40" s="22">
        <f t="shared" si="19"/>
        <v>529.6382221432558</v>
      </c>
      <c r="EN40" s="62">
        <f t="shared" si="20"/>
        <v>822.97155547658917</v>
      </c>
      <c r="EO40" s="62">
        <f ca="1">AVERAGE(OFFSET($EN$3,0,0,'Données projet'!$E$15+1,1))-AVERAGE(OFFSET($H$3,0,0,'Données projet'!$E$15+1,1))</f>
        <v>366.86025470473652</v>
      </c>
      <c r="EP40" s="62">
        <f t="shared" si="46"/>
        <v>513.80016421153414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9.2146436701928369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9.2146436701928369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371.7282125501186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5.1066504560361379</v>
      </c>
      <c r="AA41" s="23">
        <f>EXP(-LN(2)/25)*AA40+(1-EXP(-LN(2)/25))/(LN(2)/25)*Calculateur!V41*Calculateur!X41*VLOOKUP('Données projet'!$B$9,Paramètres!$A$1:$I$89,3,0)*0.475*44/12</f>
        <v>4.752757893556673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9.8594083495928118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101.25648000000002</v>
      </c>
      <c r="AK41" s="14">
        <f t="shared" si="35"/>
        <v>27.261118700621143</v>
      </c>
      <c r="AL41" s="22">
        <f t="shared" si="4"/>
        <v>223.83481773691517</v>
      </c>
      <c r="AM41" s="62">
        <f t="shared" si="5"/>
        <v>517.16815107024854</v>
      </c>
      <c r="AN41" s="62">
        <f ca="1">AVERAGE(OFFSET($AM$3,0,0,'Données projet'!$E$10+1,1))-AVERAGE(OFFSET($H$3,0,0,'Données projet'!$E$10+1,1))</f>
        <v>348.82438445524105</v>
      </c>
      <c r="AO41" s="62">
        <f t="shared" si="36"/>
        <v>218.26721063098552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4.7544676659646798</v>
      </c>
      <c r="AV41" s="23">
        <f>EXP(-LN(2)/25)*AV40+(1-EXP(-LN(2)/25))/(LN(2)/25)*Calculateur!AQ41*Calculateur!AS41*VLOOKUP('Données projet'!$B$10,Paramètres!$A$1:$I$89,3,0)*0.475*44/12</f>
        <v>4.4249814871044899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9.1794491530691698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15.2</v>
      </c>
      <c r="BD41" s="13">
        <f>IF('Données projet'!$A$88&gt;35,BD40+BC41-BL40,IF(A41&lt;'Données projet'!$A$88,$BA$205^A41,IF(A41='Données projet'!$A$88,'Données projet'!$B$88,BD40+BC41-BL40)))</f>
        <v>225.59999999999997</v>
      </c>
      <c r="BE41" s="14">
        <f>BD41*VLOOKUP('Données projet'!$B$11,Paramètres!$A$1:$I$89,3,0)*VLOOKUP('Données projet'!$B$11,Paramètres!$A$1:$I$89,5,0)</f>
        <v>129.04319999999998</v>
      </c>
      <c r="BF41" s="14">
        <f t="shared" si="37"/>
        <v>33.775175980637393</v>
      </c>
      <c r="BG41" s="22">
        <f t="shared" si="7"/>
        <v>283.57533816627671</v>
      </c>
      <c r="BH41" s="62">
        <f t="shared" si="8"/>
        <v>576.90867149961002</v>
      </c>
      <c r="BI41" s="62">
        <f ca="1">AVERAGE(OFFSET($BH$3,0,0,'Données projet'!$E$11+1,1))-AVERAGE(OFFSET($H$3,0,0,'Données projet'!$E$11+1,1))</f>
        <v>309.71642374647882</v>
      </c>
      <c r="BJ41" s="62">
        <f t="shared" si="38"/>
        <v>266.63880397664315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15.75462047570141</v>
      </c>
      <c r="BQ41" s="23">
        <f>EXP(-LN(2)/25)*BQ40+(1-EXP(-LN(2)/25))/(LN(2)/25)*Calculateur!BL41*Calculateur!BN41*VLOOKUP('Données projet'!$B$11,Paramètres!$A$1:$I$89,3,0)*0.475*44/12</f>
        <v>11.053695965775859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26.808316441477267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120.20000000000002</v>
      </c>
      <c r="BZ41" s="14">
        <f>BY41*VLOOKUP('Données projet'!$B$12,Paramètres!$A$1:$I$89,3,0)*VLOOKUP('Données projet'!$B$12,Paramètres!$A$1:$I$89,5,0)</f>
        <v>116.25744000000003</v>
      </c>
      <c r="CA41" s="14">
        <f t="shared" si="39"/>
        <v>30.800505515381992</v>
      </c>
      <c r="CB41" s="22">
        <f t="shared" si="10"/>
        <v>256.12592177262371</v>
      </c>
      <c r="CC41" s="62">
        <f t="shared" si="11"/>
        <v>549.45925510595703</v>
      </c>
      <c r="CD41" s="62">
        <f ca="1">AVERAGE(OFFSET($CC$3,0,0,'Données projet'!$E$12+1,1))-AVERAGE(OFFSET($H$3,0,0,'Données projet'!$E$12+1,1))</f>
        <v>394.59880827600006</v>
      </c>
      <c r="CE41" s="62">
        <f t="shared" si="40"/>
        <v>244.45149244446094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5.4588332461075959</v>
      </c>
      <c r="CL41" s="23">
        <f>EXP(-LN(2)/25)*CL40+(1-EXP(-LN(2)/25))/(LN(2)/25)*Calculateur!CG41*Calculateur!CI41*VLOOKUP('Données projet'!$B$12,Paramètres!$A$1:$I$89,3,0)*0.475*44/12</f>
        <v>5.0805343000088579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10.539367546116454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129.79645714285709</v>
      </c>
      <c r="CV41" s="14">
        <f t="shared" si="41"/>
        <v>33.949322265888433</v>
      </c>
      <c r="CW41" s="22">
        <f t="shared" si="13"/>
        <v>285.19056580356511</v>
      </c>
      <c r="CX41" s="62">
        <f t="shared" si="14"/>
        <v>578.52389913689842</v>
      </c>
      <c r="CY41" s="62">
        <f ca="1">AVERAGE(OFFSET($CX$3,0,0,'Données projet'!$E$13+1,1))-AVERAGE(OFFSET($H$3,0,0,'Données projet'!$E$13+1,1))</f>
        <v>293.90975929253631</v>
      </c>
      <c r="CZ41" s="62">
        <f t="shared" si="42"/>
        <v>288.30197520356643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10.953549293366365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10.953549293366365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163.14285714285708</v>
      </c>
      <c r="DP41" s="18">
        <f>DO41*VLOOKUP('Données projet'!$B$14,Paramètres!$A$1:$I$89,3,0)*VLOOKUP('Données projet'!$B$14,Paramètres!$A$1:$I$89,5,0)</f>
        <v>127.25142857142853</v>
      </c>
      <c r="DQ41" s="14">
        <f t="shared" si="43"/>
        <v>33.360457439554281</v>
      </c>
      <c r="DR41" s="22">
        <f t="shared" si="16"/>
        <v>279.73236813579501</v>
      </c>
      <c r="DS41" s="62">
        <f t="shared" si="17"/>
        <v>573.06570146912827</v>
      </c>
      <c r="DT41" s="62">
        <f ca="1">AVERAGE(OFFSET($DS$3,0,0,'Données projet'!$E$14+1,1))-AVERAGE(OFFSET($H$3,0,0,'Données projet'!$E$14+1,1))</f>
        <v>288.82868507674738</v>
      </c>
      <c r="DU41" s="62">
        <f t="shared" si="44"/>
        <v>283.48738729114024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8.7125900779643679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8.7125900779643679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6.2</v>
      </c>
      <c r="EJ41" s="13">
        <f>IF('Données projet'!$A$192&gt;35,EJ40+EI41-ER40,IF(A41&lt;'Données projet'!$A$192,$EG$205^A41,IF(A41='Données projet'!$A$192,'Données projet'!$B$192,EJ40+EI41-ER40)))</f>
        <v>276.59999999999997</v>
      </c>
      <c r="EK41" s="18">
        <f>EJ41*VLOOKUP('Données projet'!$B$15,Paramètres!$A$1:$I$89,3,0)*VLOOKUP('Données projet'!$B$15,Paramètres!$A$1:$I$89,5,0)</f>
        <v>250.26767999999996</v>
      </c>
      <c r="EL41" s="14">
        <f t="shared" si="45"/>
        <v>60.643256925083442</v>
      </c>
      <c r="EM41" s="22">
        <f t="shared" si="19"/>
        <v>541.50321514452014</v>
      </c>
      <c r="EN41" s="62">
        <f t="shared" si="20"/>
        <v>834.83654847785351</v>
      </c>
      <c r="EO41" s="62">
        <f ca="1">AVERAGE(OFFSET($EN$3,0,0,'Données projet'!$E$15+1,1))-AVERAGE(OFFSET($H$3,0,0,'Données projet'!$E$15+1,1))</f>
        <v>366.86025470473652</v>
      </c>
      <c r="EP41" s="62">
        <f t="shared" si="46"/>
        <v>513.80016421153414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9.0339501281980272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9.0339501281980272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371.7282125501186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5.0065121553424916</v>
      </c>
      <c r="AA42" s="23">
        <f>EXP(-LN(2)/25)*AA41+(1-EXP(-LN(2)/25))/(LN(2)/25)*Calculateur!V42*Calculateur!X42*VLOOKUP('Données projet'!$B$9,Paramètres!$A$1:$I$89,3,0)*0.475*44/12</f>
        <v>4.6227934790206904</v>
      </c>
      <c r="AB42" s="23">
        <f>EXP(-LN(2)/2)*AB41+(1-EXP(-LN(2)/2))/(LN(2)/2)*V42*Y42*VLOOKUP('Données projet'!$B$9,Paramètres!$A$1:$I$89,3,0)*0.475*44/12</f>
        <v>0</v>
      </c>
      <c r="AC42" s="24">
        <f t="shared" si="3"/>
        <v>9.6293056343631811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108.33264000000003</v>
      </c>
      <c r="AK42" s="14">
        <f t="shared" si="35"/>
        <v>28.937793020723745</v>
      </c>
      <c r="AL42" s="22">
        <f t="shared" si="4"/>
        <v>239.07933751109388</v>
      </c>
      <c r="AM42" s="62">
        <f t="shared" si="5"/>
        <v>532.41267084442723</v>
      </c>
      <c r="AN42" s="62">
        <f ca="1">AVERAGE(OFFSET($AM$3,0,0,'Données projet'!$E$10+1,1))-AVERAGE(OFFSET($H$3,0,0,'Données projet'!$E$10+1,1))</f>
        <v>348.82438445524105</v>
      </c>
      <c r="AO42" s="62">
        <f t="shared" si="36"/>
        <v>218.26721063098552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4.6612354549740438</v>
      </c>
      <c r="AV42" s="23">
        <f>EXP(-LN(2)/25)*AV41+(1-EXP(-LN(2)/25))/(LN(2)/25)*Calculateur!AQ42*Calculateur!AS42*VLOOKUP('Données projet'!$B$10,Paramètres!$A$1:$I$89,3,0)*0.475*44/12</f>
        <v>4.3039801356399545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8.9652155906139974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15.2</v>
      </c>
      <c r="BD42" s="13">
        <f>IF('Données projet'!$A$88&gt;35,BD41+BC42-BL41,IF(A42&lt;'Données projet'!$A$88,$BA$205^A42,IF(A42='Données projet'!$A$88,'Données projet'!$B$88,BD41+BC42-BL41)))</f>
        <v>240.79999999999995</v>
      </c>
      <c r="BE42" s="14">
        <f>BD42*VLOOKUP('Données projet'!$B$11,Paramètres!$A$1:$I$89,3,0)*VLOOKUP('Données projet'!$B$11,Paramètres!$A$1:$I$89,5,0)</f>
        <v>137.73759999999999</v>
      </c>
      <c r="BF42" s="14">
        <f t="shared" si="37"/>
        <v>35.778231015585945</v>
      </c>
      <c r="BG42" s="22">
        <f t="shared" si="7"/>
        <v>302.20673901881219</v>
      </c>
      <c r="BH42" s="62">
        <f t="shared" si="8"/>
        <v>595.54007235214544</v>
      </c>
      <c r="BI42" s="62">
        <f ca="1">AVERAGE(OFFSET($BH$3,0,0,'Données projet'!$E$11+1,1))-AVERAGE(OFFSET($H$3,0,0,'Données projet'!$E$11+1,1))</f>
        <v>309.71642374647882</v>
      </c>
      <c r="BJ42" s="62">
        <f t="shared" si="38"/>
        <v>266.63880397664315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15.445681977542549</v>
      </c>
      <c r="BQ42" s="23">
        <f>EXP(-LN(2)/25)*BQ41+(1-EXP(-LN(2)/25))/(LN(2)/25)*Calculateur!BL42*Calculateur!BN42*VLOOKUP('Données projet'!$B$11,Paramètres!$A$1:$I$89,3,0)*0.475*44/12</f>
        <v>10.75143206830311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26.197114045845659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128.60000000000002</v>
      </c>
      <c r="BZ42" s="14">
        <f>BY42*VLOOKUP('Données projet'!$B$12,Paramètres!$A$1:$I$89,3,0)*VLOOKUP('Données projet'!$B$12,Paramètres!$A$1:$I$89,5,0)</f>
        <v>124.38192000000002</v>
      </c>
      <c r="CA42" s="14">
        <f t="shared" si="39"/>
        <v>32.694867122876893</v>
      </c>
      <c r="CB42" s="22">
        <f t="shared" si="10"/>
        <v>273.5754042390106</v>
      </c>
      <c r="CC42" s="62">
        <f t="shared" si="11"/>
        <v>566.90873757234385</v>
      </c>
      <c r="CD42" s="62">
        <f ca="1">AVERAGE(OFFSET($CC$3,0,0,'Données projet'!$E$12+1,1))-AVERAGE(OFFSET($H$3,0,0,'Données projet'!$E$12+1,1))</f>
        <v>394.59880827600006</v>
      </c>
      <c r="CE42" s="62">
        <f t="shared" si="40"/>
        <v>244.45149244446094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5.3517888557109394</v>
      </c>
      <c r="CL42" s="23">
        <f>EXP(-LN(2)/25)*CL41+(1-EXP(-LN(2)/25))/(LN(2)/25)*Calculateur!CG42*Calculateur!CI42*VLOOKUP('Données projet'!$B$12,Paramètres!$A$1:$I$89,3,0)*0.475*44/12</f>
        <v>4.9416068224014289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10.293395678112368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138.66171428571425</v>
      </c>
      <c r="CV42" s="14">
        <f t="shared" si="41"/>
        <v>35.990251855387889</v>
      </c>
      <c r="CW42" s="22">
        <f t="shared" si="13"/>
        <v>304.18550769575285</v>
      </c>
      <c r="CX42" s="62">
        <f t="shared" si="14"/>
        <v>597.51884102908616</v>
      </c>
      <c r="CY42" s="62">
        <f ca="1">AVERAGE(OFFSET($CX$3,0,0,'Données projet'!$E$13+1,1))-AVERAGE(OFFSET($H$3,0,0,'Données projet'!$E$13+1,1))</f>
        <v>293.90975929253631</v>
      </c>
      <c r="CZ42" s="62">
        <f t="shared" si="42"/>
        <v>288.30197520356643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10.738756872728825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10.738756872728825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174.28571428571422</v>
      </c>
      <c r="DP42" s="18">
        <f>DO42*VLOOKUP('Données projet'!$B$14,Paramètres!$A$1:$I$89,3,0)*VLOOKUP('Données projet'!$B$14,Paramètres!$A$1:$I$89,5,0)</f>
        <v>135.94285714285709</v>
      </c>
      <c r="DQ42" s="14">
        <f t="shared" si="43"/>
        <v>35.365986273808367</v>
      </c>
      <c r="DR42" s="22">
        <f t="shared" si="16"/>
        <v>298.36290228402567</v>
      </c>
      <c r="DS42" s="62">
        <f t="shared" si="17"/>
        <v>591.69623561735898</v>
      </c>
      <c r="DT42" s="62">
        <f ca="1">AVERAGE(OFFSET($DS$3,0,0,'Données projet'!$E$14+1,1))-AVERAGE(OFFSET($H$3,0,0,'Données projet'!$E$14+1,1))</f>
        <v>288.82868507674738</v>
      </c>
      <c r="DU42" s="62">
        <f t="shared" si="44"/>
        <v>283.48738729114024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8.5417415006907049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8.5417415006907049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6.2</v>
      </c>
      <c r="EJ42" s="13">
        <f>IF('Données projet'!$A$192&gt;35,EJ41+EI42-ER41,IF(A42&lt;'Données projet'!$A$192,$EG$205^A42,IF(A42='Données projet'!$A$192,'Données projet'!$B$192,EJ41+EI42-ER41)))</f>
        <v>282.79999999999995</v>
      </c>
      <c r="EK42" s="18">
        <f>EJ42*VLOOKUP('Données projet'!$B$15,Paramètres!$A$1:$I$89,3,0)*VLOOKUP('Données projet'!$B$15,Paramètres!$A$1:$I$89,5,0)</f>
        <v>255.87743999999998</v>
      </c>
      <c r="EL42" s="14">
        <f t="shared" si="45"/>
        <v>61.842798995505326</v>
      </c>
      <c r="EM42" s="22">
        <f t="shared" si="19"/>
        <v>553.36274958383854</v>
      </c>
      <c r="EN42" s="62">
        <f t="shared" si="20"/>
        <v>846.69608291717191</v>
      </c>
      <c r="EO42" s="62">
        <f ca="1">AVERAGE(OFFSET($EN$3,0,0,'Données projet'!$E$15+1,1))-AVERAGE(OFFSET($H$3,0,0,'Données projet'!$E$15+1,1))</f>
        <v>366.86025470473652</v>
      </c>
      <c r="EP42" s="62">
        <f t="shared" si="46"/>
        <v>513.80016421153414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8.8567998763495588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8.8567998763495588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371.7282125501186</v>
      </c>
      <c r="T43" s="62">
        <f t="shared" si="34"/>
        <v>231.36959598460686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0.25800000000000001</v>
      </c>
      <c r="X43" s="17">
        <f>IF(ISNA(VLOOKUP(A43,'Données projet'!$A$35:$I$55,6,0)),0%,VLOOKUP(A43,'Données projet'!$A$35:$I$55,6,0)*VLOOKUP('Données projet'!$B$9,Paramètres!$A$1:$I$89,7,0))</f>
        <v>0.17200000000000001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10.327581475203971</v>
      </c>
      <c r="AA43" s="23">
        <f>EXP(-LN(2)/25)*AA42+(1-EXP(-LN(2)/25))/(LN(2)/25)*Calculateur!V43*Calculateur!X43*VLOOKUP('Données projet'!$B$9,Paramètres!$A$1:$I$89,3,0)*0.475*44/12</f>
        <v>8.0949871756713083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18.422568650875277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115.40880000000003</v>
      </c>
      <c r="AK43" s="14">
        <f t="shared" si="35"/>
        <v>30.60175820334798</v>
      </c>
      <c r="AL43" s="22">
        <f t="shared" si="4"/>
        <v>254.30172220416443</v>
      </c>
      <c r="AM43" s="62">
        <f t="shared" si="5"/>
        <v>547.63505553749769</v>
      </c>
      <c r="AN43" s="62">
        <f ca="1">AVERAGE(OFFSET($AM$3,0,0,'Données projet'!$E$10+1,1))-AVERAGE(OFFSET($H$3,0,0,'Données projet'!$E$10+1,1))</f>
        <v>348.82438445524105</v>
      </c>
      <c r="AO43" s="62">
        <f t="shared" si="36"/>
        <v>218.26721063098552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0.25800000000000001</v>
      </c>
      <c r="AS43" s="17">
        <f>IF(ISNA(VLOOKUP(A43,'Données projet'!$A$61:$I$81,6,0)),0%,VLOOKUP(A43,'Données projet'!$A$61:$I$81,6,0)*VLOOKUP('Données projet'!$B$10,Paramètres!$A$1:$I$89,7,0))</f>
        <v>0.17200000000000001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9.6153344769140432</v>
      </c>
      <c r="AV43" s="23">
        <f>EXP(-LN(2)/25)*AV42+(1-EXP(-LN(2)/25))/(LN(2)/25)*Calculateur!AQ43*Calculateur!AS43*VLOOKUP('Données projet'!$B$10,Paramètres!$A$1:$I$89,3,0)*0.475*44/12</f>
        <v>7.5367121980388063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17.15204667495285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256</v>
      </c>
      <c r="BB43" s="13">
        <f>VLOOKUP(A43,'Données projet'!$A$87:$I$107,9,0)</f>
        <v>15.2</v>
      </c>
      <c r="BC43" s="13">
        <f t="array" ref="BC43">INDEX(BB:BB,MIN(IF(ISNUMBER(BB43:BB239),ROW(BB43:BB239),"")))</f>
        <v>15.2</v>
      </c>
      <c r="BD43" s="13">
        <f>IF('Données projet'!$A$88&gt;35,BD42+BC43-BL42,IF(A43&lt;'Données projet'!$A$88,$BA$205^A43,IF(A43='Données projet'!$A$88,'Données projet'!$B$88,BD42+BC43-BL42)))</f>
        <v>255.99999999999994</v>
      </c>
      <c r="BE43" s="14">
        <f>BD43*VLOOKUP('Données projet'!$B$11,Paramètres!$A$1:$I$89,3,0)*VLOOKUP('Données projet'!$B$11,Paramètres!$A$1:$I$89,5,0)</f>
        <v>146.43199999999996</v>
      </c>
      <c r="BF43" s="14">
        <f t="shared" si="37"/>
        <v>37.766612239306838</v>
      </c>
      <c r="BG43" s="22">
        <f t="shared" si="7"/>
        <v>320.81258298345932</v>
      </c>
      <c r="BH43" s="62">
        <f t="shared" si="8"/>
        <v>614.14591631679264</v>
      </c>
      <c r="BI43" s="62">
        <f ca="1">AVERAGE(OFFSET($BH$3,0,0,'Données projet'!$E$11+1,1))-AVERAGE(OFFSET($H$3,0,0,'Données projet'!$E$11+1,1))</f>
        <v>309.71642374647882</v>
      </c>
      <c r="BJ43" s="62">
        <f t="shared" si="38"/>
        <v>266.63880397664315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0.29250000000000004</v>
      </c>
      <c r="BN43" s="17">
        <f>IF(ISNA(VLOOKUP(A43,'Données projet'!$A$87:$I$107,6,0)),0%,VLOOKUP(A43,'Données projet'!$A$87:$I$107,6,0)*VLOOKUP('Données projet'!$B$11,Paramètres!$A$1:$I$89,7,0))</f>
        <v>0.1575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24.464596534561466</v>
      </c>
      <c r="BQ43" s="23">
        <f>EXP(-LN(2)/25)*BQ42+(1-EXP(-LN(2)/25))/(LN(2)/25)*Calculateur!BL43*Calculateur!BN43*VLOOKUP('Données projet'!$B$11,Paramètres!$A$1:$I$89,3,0)*0.475*44/12</f>
        <v>15.457098247399781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39.92169478196125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137.00000000000003</v>
      </c>
      <c r="BZ43" s="14">
        <f>BY43*VLOOKUP('Données projet'!$B$12,Paramètres!$A$1:$I$89,3,0)*VLOOKUP('Données projet'!$B$12,Paramètres!$A$1:$I$89,5,0)</f>
        <v>132.50640000000001</v>
      </c>
      <c r="CA43" s="14">
        <f t="shared" si="39"/>
        <v>34.574869530248939</v>
      </c>
      <c r="CB43" s="22">
        <f t="shared" si="10"/>
        <v>290.99987776518356</v>
      </c>
      <c r="CC43" s="62">
        <f t="shared" si="11"/>
        <v>584.33321109851681</v>
      </c>
      <c r="CD43" s="62">
        <f ca="1">AVERAGE(OFFSET($CC$3,0,0,'Données projet'!$E$12+1,1))-AVERAGE(OFFSET($H$3,0,0,'Données projet'!$E$12+1,1))</f>
        <v>394.59880827600006</v>
      </c>
      <c r="CE43" s="62">
        <f t="shared" si="40"/>
        <v>244.45149244446094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0.25800000000000001</v>
      </c>
      <c r="CI43" s="17">
        <f>IF(ISNA(VLOOKUP(A43,'Données projet'!$A$113:$I$133,6,0)),0%,VLOOKUP(A43,'Données projet'!$A$113:$I$133,6,0)*VLOOKUP('Données projet'!$B$12,Paramètres!$A$1:$I$89,7,0))</f>
        <v>0.17200000000000001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11.039828473493902</v>
      </c>
      <c r="CL43" s="23">
        <f>EXP(-LN(2)/25)*CL42+(1-EXP(-LN(2)/25))/(LN(2)/25)*Calculateur!CG43*Calculateur!CI43*VLOOKUP('Données projet'!$B$12,Paramètres!$A$1:$I$89,3,0)*0.475*44/12</f>
        <v>8.6532621533038157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19.693090626797719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147.52697142857136</v>
      </c>
      <c r="CV43" s="14">
        <f t="shared" si="41"/>
        <v>38.016038403014555</v>
      </c>
      <c r="CW43" s="22">
        <f t="shared" si="13"/>
        <v>323.15407545667881</v>
      </c>
      <c r="CX43" s="62">
        <f t="shared" si="14"/>
        <v>616.48740879001207</v>
      </c>
      <c r="CY43" s="62">
        <f ca="1">AVERAGE(OFFSET($CX$3,0,0,'Données projet'!$E$13+1,1))-AVERAGE(OFFSET($H$3,0,0,'Données projet'!$E$13+1,1))</f>
        <v>293.90975929253631</v>
      </c>
      <c r="CZ43" s="62">
        <f t="shared" si="42"/>
        <v>288.30197520356643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10.528176400449546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10.528176400449546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185.42857142857136</v>
      </c>
      <c r="DP43" s="18">
        <f>DO43*VLOOKUP('Données projet'!$B$14,Paramètres!$A$1:$I$89,3,0)*VLOOKUP('Données projet'!$B$14,Paramètres!$A$1:$I$89,5,0)</f>
        <v>144.63428571428565</v>
      </c>
      <c r="DQ43" s="14">
        <f t="shared" si="43"/>
        <v>37.356634728420524</v>
      </c>
      <c r="DR43" s="22">
        <f t="shared" si="16"/>
        <v>316.96751977104657</v>
      </c>
      <c r="DS43" s="62">
        <f t="shared" si="17"/>
        <v>610.30085310437994</v>
      </c>
      <c r="DT43" s="62">
        <f ca="1">AVERAGE(OFFSET($DS$3,0,0,'Données projet'!$E$14+1,1))-AVERAGE(OFFSET($H$3,0,0,'Données projet'!$E$14+1,1))</f>
        <v>288.82868507674738</v>
      </c>
      <c r="DU43" s="62">
        <f t="shared" si="44"/>
        <v>283.48738729114024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8.3742431598100353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8.3742431598100353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289</v>
      </c>
      <c r="EH43" s="13">
        <f>VLOOKUP(A43,'Données projet'!$A$191:$I$211,9,0)</f>
        <v>6.2</v>
      </c>
      <c r="EI43" s="13">
        <f t="array" ref="EI43">INDEX(EH:EH,MIN(IF(ISNUMBER(EH43:EH239),ROW(EH43:EH239),"")))</f>
        <v>6.2</v>
      </c>
      <c r="EJ43" s="13">
        <f>IF('Données projet'!$A$192&gt;35,EJ42+EI43-ER42,IF(A43&lt;'Données projet'!$A$192,$EG$205^A43,IF(A43='Données projet'!$A$192,'Données projet'!$B$192,EJ42+EI43-ER42)))</f>
        <v>288.99999999999994</v>
      </c>
      <c r="EK43" s="18">
        <f>EJ43*VLOOKUP('Données projet'!$B$15,Paramètres!$A$1:$I$89,3,0)*VLOOKUP('Données projet'!$B$15,Paramètres!$A$1:$I$89,5,0)</f>
        <v>261.48719999999992</v>
      </c>
      <c r="EL43" s="14">
        <f t="shared" si="45"/>
        <v>63.039283586802391</v>
      </c>
      <c r="EM43" s="22">
        <f t="shared" si="19"/>
        <v>565.21695891368074</v>
      </c>
      <c r="EN43" s="62">
        <f t="shared" si="20"/>
        <v>858.55029224701411</v>
      </c>
      <c r="EO43" s="62">
        <f ca="1">AVERAGE(OFFSET($EN$3,0,0,'Données projet'!$E$15+1,1))-AVERAGE(OFFSET($H$3,0,0,'Données projet'!$E$15+1,1))</f>
        <v>366.86025470473652</v>
      </c>
      <c r="EP43" s="62">
        <f t="shared" si="46"/>
        <v>513.80016421153414</v>
      </c>
      <c r="EQ43" s="16">
        <f>IF(ISNA(VLOOKUP(A43,'Données projet'!$A$191:$I$211,3,0)),0,VLOOKUP(A43,'Données projet'!$A$191:$I$211,3,0))</f>
        <v>8</v>
      </c>
      <c r="ER43" s="16">
        <f>IF(ISNA(VLOOKUP(A43,'Données projet'!$A$191:$I$211,4,0)),0,VLOOKUP(A43,'Données projet'!$A$191:$I$211,4,0))</f>
        <v>7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8.6831234328888538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8.6831234328888538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371.7282125501186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10.125063901677926</v>
      </c>
      <c r="AA44" s="23">
        <f>EXP(-LN(2)/25)*AA43+(1-EXP(-LN(2)/25))/(LN(2)/25)*Calculateur!V44*Calculateur!X44*VLOOKUP('Données projet'!$B$9,Paramètres!$A$1:$I$89,3,0)*0.475*44/12</f>
        <v>7.8736293256557017</v>
      </c>
      <c r="AB44" s="23">
        <f>EXP(-LN(2)/2)*AB43+(1-EXP(-LN(2)/2))/(LN(2)/2)*V44*Y44*VLOOKUP('Données projet'!$B$9,Paramètres!$A$1:$I$89,3,0)*0.475*44/12</f>
        <v>0</v>
      </c>
      <c r="AC44" s="24">
        <f t="shared" si="3"/>
        <v>17.998693227333629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104.79456000000003</v>
      </c>
      <c r="AK44" s="14">
        <f t="shared" si="35"/>
        <v>28.101103481959861</v>
      </c>
      <c r="AL44" s="22">
        <f t="shared" si="4"/>
        <v>231.45994723108015</v>
      </c>
      <c r="AM44" s="62">
        <f t="shared" si="5"/>
        <v>524.79328056441341</v>
      </c>
      <c r="AN44" s="62">
        <f ca="1">AVERAGE(OFFSET($AM$3,0,0,'Données projet'!$E$10+1,1))-AVERAGE(OFFSET($H$3,0,0,'Données projet'!$E$10+1,1))</f>
        <v>348.82438445524105</v>
      </c>
      <c r="AO44" s="62">
        <f t="shared" si="36"/>
        <v>218.26721063098552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9.4267836325966918</v>
      </c>
      <c r="AV44" s="23">
        <f>EXP(-LN(2)/25)*AV43+(1-EXP(-LN(2)/25))/(LN(2)/25)*Calculateur!AQ44*Calculateur!AS44*VLOOKUP('Données projet'!$B$10,Paramètres!$A$1:$I$89,3,0)*0.475*44/12</f>
        <v>7.3306204066449663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16.757404039241656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227.79999999999995</v>
      </c>
      <c r="BE44" s="14">
        <f>BD44*VLOOKUP('Données projet'!$B$11,Paramètres!$A$1:$I$89,3,0)*VLOOKUP('Données projet'!$B$11,Paramètres!$A$1:$I$89,5,0)</f>
        <v>130.30159999999998</v>
      </c>
      <c r="BF44" s="14">
        <f t="shared" si="37"/>
        <v>34.066040835325218</v>
      </c>
      <c r="BG44" s="22">
        <f t="shared" si="7"/>
        <v>286.27364112152469</v>
      </c>
      <c r="BH44" s="62">
        <f t="shared" si="8"/>
        <v>579.606974454858</v>
      </c>
      <c r="BI44" s="62">
        <f ca="1">AVERAGE(OFFSET($BH$3,0,0,'Données projet'!$E$11+1,1))-AVERAGE(OFFSET($H$3,0,0,'Données projet'!$E$11+1,1))</f>
        <v>309.71642374647882</v>
      </c>
      <c r="BJ44" s="62">
        <f t="shared" si="38"/>
        <v>266.63880397664315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23.984860718449184</v>
      </c>
      <c r="BQ44" s="23">
        <f>EXP(-LN(2)/25)*BQ43+(1-EXP(-LN(2)/25))/(LN(2)/25)*Calculateur!BL44*Calculateur!BN44*VLOOKUP('Données projet'!$B$11,Paramètres!$A$1:$I$89,3,0)*0.475*44/12</f>
        <v>15.034423082971164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39.01928380142035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120.31968000000002</v>
      </c>
      <c r="CA44" s="14">
        <f t="shared" si="39"/>
        <v>31.74954785566829</v>
      </c>
      <c r="CB44" s="22">
        <f t="shared" si="10"/>
        <v>264.85390518195561</v>
      </c>
      <c r="CC44" s="62">
        <f t="shared" si="11"/>
        <v>558.18723851528898</v>
      </c>
      <c r="CD44" s="62">
        <f ca="1">AVERAGE(OFFSET($CC$3,0,0,'Données projet'!$E$12+1,1))-AVERAGE(OFFSET($H$3,0,0,'Données projet'!$E$12+1,1))</f>
        <v>394.59880827600006</v>
      </c>
      <c r="CE44" s="62">
        <f t="shared" si="40"/>
        <v>244.45149244446094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10.823344170759164</v>
      </c>
      <c r="CL44" s="23">
        <f>EXP(-LN(2)/25)*CL43+(1-EXP(-LN(2)/25))/(LN(2)/25)*Calculateur!CG44*Calculateur!CI44*VLOOKUP('Données projet'!$B$12,Paramètres!$A$1:$I$89,3,0)*0.475*44/12</f>
        <v>8.4166382446664443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19.239982415425608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156.39222857142852</v>
      </c>
      <c r="CV44" s="14">
        <f t="shared" si="41"/>
        <v>40.027695524570888</v>
      </c>
      <c r="CW44" s="22">
        <f t="shared" si="13"/>
        <v>342.09803446719894</v>
      </c>
      <c r="CX44" s="62">
        <f t="shared" si="14"/>
        <v>635.43136780053226</v>
      </c>
      <c r="CY44" s="62">
        <f ca="1">AVERAGE(OFFSET($CX$3,0,0,'Données projet'!$E$13+1,1))-AVERAGE(OFFSET($H$3,0,0,'Données projet'!$E$13+1,1))</f>
        <v>293.90975929253631</v>
      </c>
      <c r="CZ44" s="62">
        <f t="shared" si="42"/>
        <v>288.30197520356643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10.321725282790259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10.321725282790259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</v>
      </c>
      <c r="DP44" s="18">
        <f>DO44*VLOOKUP('Données projet'!$B$14,Paramètres!$A$1:$I$89,3,0)*VLOOKUP('Données projet'!$B$14,Paramètres!$A$1:$I$89,5,0)</f>
        <v>153.32571428571424</v>
      </c>
      <c r="DQ44" s="14">
        <f t="shared" si="43"/>
        <v>39.333398837614155</v>
      </c>
      <c r="DR44" s="22">
        <f t="shared" si="16"/>
        <v>335.5479553564636</v>
      </c>
      <c r="DS44" s="62">
        <f t="shared" si="17"/>
        <v>628.88128868979697</v>
      </c>
      <c r="DT44" s="62">
        <f ca="1">AVERAGE(OFFSET($DS$3,0,0,'Données projet'!$E$14+1,1))-AVERAGE(OFFSET($H$3,0,0,'Données projet'!$E$14+1,1))</f>
        <v>288.82868507674738</v>
      </c>
      <c r="DU44" s="62">
        <f t="shared" si="44"/>
        <v>283.48738729114024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8.2100293592301359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8.2100293592301359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</v>
      </c>
      <c r="EJ44" s="13">
        <f>IF('Données projet'!$A$192&gt;35,EJ43+EI44-ER43,IF(A44&lt;'Données projet'!$A$192,$EG$205^A44,IF(A44='Données projet'!$A$192,'Données projet'!$B$192,EJ43+EI44-ER43)))</f>
        <v>287.99999999999994</v>
      </c>
      <c r="EK44" s="18">
        <f>EJ44*VLOOKUP('Données projet'!$B$15,Paramètres!$A$1:$I$89,3,0)*VLOOKUP('Données projet'!$B$15,Paramètres!$A$1:$I$89,5,0)</f>
        <v>260.58239999999995</v>
      </c>
      <c r="EL44" s="14">
        <f t="shared" si="45"/>
        <v>62.846505929896907</v>
      </c>
      <c r="EM44" s="22">
        <f t="shared" si="19"/>
        <v>563.30534449457025</v>
      </c>
      <c r="EN44" s="62">
        <f t="shared" si="20"/>
        <v>856.63867782790362</v>
      </c>
      <c r="EO44" s="62">
        <f ca="1">AVERAGE(OFFSET($EN$3,0,0,'Données projet'!$E$15+1,1))-AVERAGE(OFFSET($H$3,0,0,'Données projet'!$E$15+1,1))</f>
        <v>366.86025470473652</v>
      </c>
      <c r="EP44" s="62">
        <f t="shared" si="46"/>
        <v>513.80016421153414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8.5128526785522425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8.5128526785522425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371.7282125501186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9.9265175742452048</v>
      </c>
      <c r="AA45" s="23">
        <f>EXP(-LN(2)/25)*AA44+(1-EXP(-LN(2)/25))/(LN(2)/25)*Calculateur!V45*Calculateur!X45*VLOOKUP('Données projet'!$B$9,Paramètres!$A$1:$I$89,3,0)*0.475*44/12</f>
        <v>7.6583245176894756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17.584842091934682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111.87072000000005</v>
      </c>
      <c r="AK45" s="14">
        <f t="shared" si="35"/>
        <v>29.771307279851975</v>
      </c>
      <c r="AL45" s="22">
        <f t="shared" si="4"/>
        <v>246.69319751240889</v>
      </c>
      <c r="AM45" s="62">
        <f t="shared" si="5"/>
        <v>540.02653084574217</v>
      </c>
      <c r="AN45" s="62">
        <f ca="1">AVERAGE(OFFSET($AM$3,0,0,'Données projet'!$E$10+1,1))-AVERAGE(OFFSET($H$3,0,0,'Données projet'!$E$10+1,1))</f>
        <v>348.82438445524105</v>
      </c>
      <c r="AO45" s="62">
        <f t="shared" si="36"/>
        <v>218.26721063098552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9.2419301553317439</v>
      </c>
      <c r="AV45" s="23">
        <f>EXP(-LN(2)/25)*AV44+(1-EXP(-LN(2)/25))/(LN(2)/25)*Calculateur!AQ45*Calculateur!AS45*VLOOKUP('Données projet'!$B$10,Paramètres!$A$1:$I$89,3,0)*0.475*44/12</f>
        <v>7.1301642061246868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16.37209436145643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241.59999999999997</v>
      </c>
      <c r="BE45" s="14">
        <f>BD45*VLOOKUP('Données projet'!$B$11,Paramètres!$A$1:$I$89,3,0)*VLOOKUP('Données projet'!$B$11,Paramètres!$A$1:$I$89,5,0)</f>
        <v>138.1952</v>
      </c>
      <c r="BF45" s="14">
        <f t="shared" si="37"/>
        <v>35.883239453452433</v>
      </c>
      <c r="BG45" s="22">
        <f t="shared" si="7"/>
        <v>303.18661538142965</v>
      </c>
      <c r="BH45" s="62">
        <f t="shared" si="8"/>
        <v>596.5199487147629</v>
      </c>
      <c r="BI45" s="62">
        <f ca="1">AVERAGE(OFFSET($BH$3,0,0,'Données projet'!$E$11+1,1))-AVERAGE(OFFSET($H$3,0,0,'Données projet'!$E$11+1,1))</f>
        <v>309.71642374647882</v>
      </c>
      <c r="BJ45" s="62">
        <f t="shared" si="38"/>
        <v>266.63880397664315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23.51453222908091</v>
      </c>
      <c r="BQ45" s="23">
        <f>EXP(-LN(2)/25)*BQ44+(1-EXP(-LN(2)/25))/(LN(2)/25)*Calculateur!BL45*Calculateur!BN45*VLOOKUP('Données projet'!$B$11,Paramètres!$A$1:$I$89,3,0)*0.475*44/12</f>
        <v>14.62330599314137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38.137838222222278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128.44416000000004</v>
      </c>
      <c r="CA45" s="14">
        <f t="shared" si="39"/>
        <v>33.636598855068954</v>
      </c>
      <c r="CB45" s="22">
        <f t="shared" si="10"/>
        <v>282.29065500591184</v>
      </c>
      <c r="CC45" s="62">
        <f t="shared" si="11"/>
        <v>575.62398833924522</v>
      </c>
      <c r="CD45" s="62">
        <f ca="1">AVERAGE(OFFSET($CC$3,0,0,'Données projet'!$E$12+1,1))-AVERAGE(OFFSET($H$3,0,0,'Données projet'!$E$12+1,1))</f>
        <v>394.59880827600006</v>
      </c>
      <c r="CE45" s="62">
        <f t="shared" si="40"/>
        <v>244.45149244446094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10.611104993158667</v>
      </c>
      <c r="CL45" s="23">
        <f>EXP(-LN(2)/25)*CL44+(1-EXP(-LN(2)/25))/(LN(2)/25)*Calculateur!CG45*Calculateur!CI45*VLOOKUP('Données projet'!$B$12,Paramètres!$A$1:$I$89,3,0)*0.475*44/12</f>
        <v>8.1864848292542707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18.797589822412938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165.25748571428565</v>
      </c>
      <c r="CV45" s="14">
        <f t="shared" si="41"/>
        <v>42.026115429500585</v>
      </c>
      <c r="CW45" s="22">
        <f t="shared" si="13"/>
        <v>361.01893865876099</v>
      </c>
      <c r="CX45" s="62">
        <f t="shared" si="14"/>
        <v>654.3522719920943</v>
      </c>
      <c r="CY45" s="62">
        <f ca="1">AVERAGE(OFFSET($CX$3,0,0,'Données projet'!$E$13+1,1))-AVERAGE(OFFSET($H$3,0,0,'Données projet'!$E$13+1,1))</f>
        <v>293.90975929253631</v>
      </c>
      <c r="CZ45" s="62">
        <f t="shared" si="42"/>
        <v>288.30197520356643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10.119322545625524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10.119322545625524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207.71428571428564</v>
      </c>
      <c r="DP45" s="18">
        <f>DO45*VLOOKUP('Données projet'!$B$14,Paramètres!$A$1:$I$89,3,0)*VLOOKUP('Données projet'!$B$14,Paramètres!$A$1:$I$89,5,0)</f>
        <v>162.0171428571428</v>
      </c>
      <c r="DQ45" s="14">
        <f t="shared" si="43"/>
        <v>41.29715533509664</v>
      </c>
      <c r="DR45" s="22">
        <f t="shared" si="16"/>
        <v>354.10573601815037</v>
      </c>
      <c r="DS45" s="62">
        <f t="shared" si="17"/>
        <v>647.43906935148368</v>
      </c>
      <c r="DT45" s="62">
        <f ca="1">AVERAGE(OFFSET($DS$3,0,0,'Données projet'!$E$14+1,1))-AVERAGE(OFFSET($H$3,0,0,'Données projet'!$E$14+1,1))</f>
        <v>288.82868507674738</v>
      </c>
      <c r="DU45" s="62">
        <f t="shared" si="44"/>
        <v>283.48738729114024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8.0490356911190801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8.0490356911190801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</v>
      </c>
      <c r="EJ45" s="13">
        <f>IF('Données projet'!$A$192&gt;35,EJ44+EI45-ER44,IF(A45&lt;'Données projet'!$A$192,$EG$205^A45,IF(A45='Données projet'!$A$192,'Données projet'!$B$192,EJ44+EI45-ER44)))</f>
        <v>293.99999999999994</v>
      </c>
      <c r="EK45" s="18">
        <f>EJ45*VLOOKUP('Données projet'!$B$15,Paramètres!$A$1:$I$89,3,0)*VLOOKUP('Données projet'!$B$15,Paramètres!$A$1:$I$89,5,0)</f>
        <v>266.01119999999992</v>
      </c>
      <c r="EL45" s="14">
        <f t="shared" si="45"/>
        <v>64.00201337612566</v>
      </c>
      <c r="EM45" s="22">
        <f t="shared" si="19"/>
        <v>574.77301329675208</v>
      </c>
      <c r="EN45" s="62">
        <f t="shared" si="20"/>
        <v>868.10634663008545</v>
      </c>
      <c r="EO45" s="62">
        <f ca="1">AVERAGE(OFFSET($EN$3,0,0,'Données projet'!$E$15+1,1))-AVERAGE(OFFSET($H$3,0,0,'Données projet'!$E$15+1,1))</f>
        <v>366.86025470473652</v>
      </c>
      <c r="EP45" s="62">
        <f t="shared" si="46"/>
        <v>513.80016421153414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8.3459208298532666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8.3459208298532666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371.7282125501186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9.7318646191921374</v>
      </c>
      <c r="AA46" s="23">
        <f>EXP(-LN(2)/25)*AA45+(1-EXP(-LN(2)/25))/(LN(2)/25)*Calculateur!V46*Calculateur!X46*VLOOKUP('Données projet'!$B$9,Paramètres!$A$1:$I$89,3,0)*0.475*44/12</f>
        <v>7.4489072310194739</v>
      </c>
      <c r="AB46" s="23">
        <f>EXP(-LN(2)/2)*AB45+(1-EXP(-LN(2)/2))/(LN(2)/2)*V46*Y46*VLOOKUP('Données projet'!$B$9,Paramètres!$A$1:$I$89,3,0)*0.475*44/12</f>
        <v>0</v>
      </c>
      <c r="AC46" s="24">
        <f t="shared" si="3"/>
        <v>17.180771850211613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118.94688000000005</v>
      </c>
      <c r="AK46" s="14">
        <f t="shared" si="35"/>
        <v>31.429250481525276</v>
      </c>
      <c r="AL46" s="22">
        <f t="shared" si="4"/>
        <v>261.90509392198993</v>
      </c>
      <c r="AM46" s="62">
        <f t="shared" si="5"/>
        <v>555.23842725532324</v>
      </c>
      <c r="AN46" s="62">
        <f ca="1">AVERAGE(OFFSET($AM$3,0,0,'Données projet'!$E$10+1,1))-AVERAGE(OFFSET($H$3,0,0,'Données projet'!$E$10+1,1))</f>
        <v>348.82438445524105</v>
      </c>
      <c r="AO46" s="62">
        <f t="shared" si="36"/>
        <v>218.26721063098552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9.0607015420064734</v>
      </c>
      <c r="AV46" s="23">
        <f>EXP(-LN(2)/25)*AV45+(1-EXP(-LN(2)/25))/(LN(2)/25)*Calculateur!AQ46*Calculateur!AS46*VLOOKUP('Données projet'!$B$10,Paramètres!$A$1:$I$89,3,0)*0.475*44/12</f>
        <v>6.9351894909491678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15.99589103295564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255.39999999999998</v>
      </c>
      <c r="BE46" s="14">
        <f>BD46*VLOOKUP('Données projet'!$B$11,Paramètres!$A$1:$I$89,3,0)*VLOOKUP('Données projet'!$B$11,Paramètres!$A$1:$I$89,5,0)</f>
        <v>146.08879999999999</v>
      </c>
      <c r="BF46" s="14">
        <f t="shared" si="37"/>
        <v>37.688389267810216</v>
      </c>
      <c r="BG46" s="22">
        <f t="shared" si="7"/>
        <v>320.07860464143613</v>
      </c>
      <c r="BH46" s="62">
        <f t="shared" si="8"/>
        <v>613.41193797476944</v>
      </c>
      <c r="BI46" s="62">
        <f ca="1">AVERAGE(OFFSET($BH$3,0,0,'Données projet'!$E$11+1,1))-AVERAGE(OFFSET($H$3,0,0,'Données projet'!$E$11+1,1))</f>
        <v>309.71642374647882</v>
      </c>
      <c r="BJ46" s="62">
        <f t="shared" si="38"/>
        <v>266.63880397664315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23.053426594517095</v>
      </c>
      <c r="BQ46" s="23">
        <f>EXP(-LN(2)/25)*BQ45+(1-EXP(-LN(2)/25))/(LN(2)/25)*Calculateur!BL46*Calculateur!BN46*VLOOKUP('Données projet'!$B$11,Paramètres!$A$1:$I$89,3,0)*0.475*44/12</f>
        <v>14.22343092175268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37.276857516269772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136.56864000000004</v>
      </c>
      <c r="CA46" s="14">
        <f t="shared" si="39"/>
        <v>35.509797430964703</v>
      </c>
      <c r="CB46" s="22">
        <f t="shared" si="10"/>
        <v>299.70327852559694</v>
      </c>
      <c r="CC46" s="62">
        <f t="shared" si="11"/>
        <v>593.0366118589302</v>
      </c>
      <c r="CD46" s="62">
        <f ca="1">AVERAGE(OFFSET($CC$3,0,0,'Données projet'!$E$12+1,1))-AVERAGE(OFFSET($H$3,0,0,'Données projet'!$E$12+1,1))</f>
        <v>394.59880827600006</v>
      </c>
      <c r="CE46" s="62">
        <f t="shared" si="40"/>
        <v>244.45149244446094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10.403027696377801</v>
      </c>
      <c r="CL46" s="23">
        <f>EXP(-LN(2)/25)*CL45+(1-EXP(-LN(2)/25))/(LN(2)/25)*Calculateur!CG46*Calculateur!CI46*VLOOKUP('Données projet'!$B$12,Paramètres!$A$1:$I$89,3,0)*0.475*44/12</f>
        <v>7.9626249710897863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18.365652667467586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174.12274285714281</v>
      </c>
      <c r="CV46" s="14">
        <f t="shared" si="41"/>
        <v>44.012089195485771</v>
      </c>
      <c r="CW46" s="22">
        <f t="shared" si="13"/>
        <v>379.91816582499479</v>
      </c>
      <c r="CX46" s="62">
        <f t="shared" si="14"/>
        <v>673.2514991583281</v>
      </c>
      <c r="CY46" s="62">
        <f ca="1">AVERAGE(OFFSET($CX$3,0,0,'Données projet'!$E$13+1,1))-AVERAGE(OFFSET($H$3,0,0,'Données projet'!$E$13+1,1))</f>
        <v>293.90975929253631</v>
      </c>
      <c r="CZ46" s="62">
        <f t="shared" si="42"/>
        <v>288.30197520356643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9.920888802683109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9.920888802683109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218.85714285714278</v>
      </c>
      <c r="DP46" s="18">
        <f>DO46*VLOOKUP('Données projet'!$B$14,Paramètres!$A$1:$I$89,3,0)*VLOOKUP('Données projet'!$B$14,Paramètres!$A$1:$I$89,5,0)</f>
        <v>170.70857142857136</v>
      </c>
      <c r="DQ46" s="14">
        <f t="shared" si="43"/>
        <v>43.248681576985376</v>
      </c>
      <c r="DR46" s="22">
        <f t="shared" si="16"/>
        <v>372.64221565134466</v>
      </c>
      <c r="DS46" s="62">
        <f t="shared" si="17"/>
        <v>665.97554898467797</v>
      </c>
      <c r="DT46" s="62">
        <f ca="1">AVERAGE(OFFSET($DS$3,0,0,'Données projet'!$E$14+1,1))-AVERAGE(OFFSET($H$3,0,0,'Données projet'!$E$14+1,1))</f>
        <v>288.82868507674738</v>
      </c>
      <c r="DU46" s="62">
        <f t="shared" si="44"/>
        <v>283.48738729114024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7.8911990106432413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7.8911990106432413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</v>
      </c>
      <c r="EJ46" s="13">
        <f>IF('Données projet'!$A$192&gt;35,EJ45+EI46-ER45,IF(A46&lt;'Données projet'!$A$192,$EG$205^A46,IF(A46='Données projet'!$A$192,'Données projet'!$B$192,EJ45+EI46-ER45)))</f>
        <v>299.99999999999994</v>
      </c>
      <c r="EK46" s="18">
        <f>EJ46*VLOOKUP('Données projet'!$B$15,Paramètres!$A$1:$I$89,3,0)*VLOOKUP('Données projet'!$B$15,Paramètres!$A$1:$I$89,5,0)</f>
        <v>271.43999999999994</v>
      </c>
      <c r="EL46" s="14">
        <f t="shared" si="45"/>
        <v>65.154778959151173</v>
      </c>
      <c r="EM46" s="22">
        <f t="shared" si="19"/>
        <v>586.23590668718805</v>
      </c>
      <c r="EN46" s="62">
        <f t="shared" si="20"/>
        <v>879.56924002052142</v>
      </c>
      <c r="EO46" s="62">
        <f ca="1">AVERAGE(OFFSET($EN$3,0,0,'Données projet'!$E$15+1,1))-AVERAGE(OFFSET($H$3,0,0,'Données projet'!$E$15+1,1))</f>
        <v>366.86025470473652</v>
      </c>
      <c r="EP46" s="62">
        <f t="shared" si="46"/>
        <v>513.80016421153414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8.182262412888905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8.182262412888905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371.7282125501186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9.541028689861081</v>
      </c>
      <c r="AA47" s="23">
        <f>EXP(-LN(2)/25)*AA46+(1-EXP(-LN(2)/25))/(LN(2)/25)*Calculateur!V47*Calculateur!X47*VLOOKUP('Données projet'!$B$9,Paramètres!$A$1:$I$89,3,0)*0.475*44/12</f>
        <v>7.2452164710662394</v>
      </c>
      <c r="AB47" s="23">
        <f>EXP(-LN(2)/2)*AB46+(1-EXP(-LN(2)/2))/(LN(2)/2)*V47*Y47*VLOOKUP('Données projet'!$B$9,Paramètres!$A$1:$I$89,3,0)*0.475*44/12</f>
        <v>0</v>
      </c>
      <c r="AC47" s="24">
        <f t="shared" si="3"/>
        <v>16.786245160927322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126.02304000000005</v>
      </c>
      <c r="AK47" s="14">
        <f t="shared" si="35"/>
        <v>33.075745544773369</v>
      </c>
      <c r="AL47" s="22">
        <f t="shared" si="4"/>
        <v>277.0970514904804</v>
      </c>
      <c r="AM47" s="62">
        <f t="shared" si="5"/>
        <v>570.43038482381371</v>
      </c>
      <c r="AN47" s="62">
        <f ca="1">AVERAGE(OFFSET($AM$3,0,0,'Données projet'!$E$10+1,1))-AVERAGE(OFFSET($H$3,0,0,'Données projet'!$E$10+1,1))</f>
        <v>348.82438445524105</v>
      </c>
      <c r="AO47" s="62">
        <f t="shared" si="36"/>
        <v>218.26721063098552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8.8830267112499719</v>
      </c>
      <c r="AV47" s="23">
        <f>EXP(-LN(2)/25)*AV46+(1-EXP(-LN(2)/25))/(LN(2)/25)*Calculateur!AQ47*Calculateur!AS47*VLOOKUP('Données projet'!$B$10,Paramètres!$A$1:$I$89,3,0)*0.475*44/12</f>
        <v>6.7455463696133977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15.628573080863369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269.2</v>
      </c>
      <c r="BE47" s="14">
        <f>BD47*VLOOKUP('Données projet'!$B$11,Paramètres!$A$1:$I$89,3,0)*VLOOKUP('Données projet'!$B$11,Paramètres!$A$1:$I$89,5,0)</f>
        <v>153.98239999999998</v>
      </c>
      <c r="BF47" s="14">
        <f t="shared" si="37"/>
        <v>39.482215533662355</v>
      </c>
      <c r="BG47" s="22">
        <f t="shared" si="7"/>
        <v>336.95087205446191</v>
      </c>
      <c r="BH47" s="62">
        <f t="shared" si="8"/>
        <v>630.28420538779528</v>
      </c>
      <c r="BI47" s="62">
        <f ca="1">AVERAGE(OFFSET($BH$3,0,0,'Données projet'!$E$11+1,1))-AVERAGE(OFFSET($H$3,0,0,'Données projet'!$E$11+1,1))</f>
        <v>309.71642374647882</v>
      </c>
      <c r="BJ47" s="62">
        <f t="shared" si="38"/>
        <v>266.63880397664315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22.601362960200408</v>
      </c>
      <c r="BQ47" s="23">
        <f>EXP(-LN(2)/25)*BQ46+(1-EXP(-LN(2)/25))/(LN(2)/25)*Calculateur!BL47*Calculateur!BN47*VLOOKUP('Données projet'!$B$11,Paramètres!$A$1:$I$89,3,0)*0.475*44/12</f>
        <v>13.83449045521963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36.435853415420041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144.69312000000005</v>
      </c>
      <c r="CA47" s="14">
        <f t="shared" si="39"/>
        <v>37.370061524802772</v>
      </c>
      <c r="CB47" s="22">
        <f t="shared" si="10"/>
        <v>317.09337448903153</v>
      </c>
      <c r="CC47" s="62">
        <f t="shared" si="11"/>
        <v>610.42670782236485</v>
      </c>
      <c r="CD47" s="62">
        <f ca="1">AVERAGE(OFFSET($CC$3,0,0,'Données projet'!$E$12+1,1))-AVERAGE(OFFSET($H$3,0,0,'Données projet'!$E$12+1,1))</f>
        <v>394.59880827600006</v>
      </c>
      <c r="CE47" s="62">
        <f t="shared" si="40"/>
        <v>244.45149244446094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10.199030668472188</v>
      </c>
      <c r="CL47" s="23">
        <f>EXP(-LN(2)/25)*CL46+(1-EXP(-LN(2)/25))/(LN(2)/25)*Calculateur!CG47*Calculateur!CI47*VLOOKUP('Données projet'!$B$12,Paramètres!$A$1:$I$89,3,0)*0.475*44/12</f>
        <v>7.7448865725190874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17.943917240991276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182.98799999999994</v>
      </c>
      <c r="CV47" s="14">
        <f t="shared" si="41"/>
        <v>45.986322796524831</v>
      </c>
      <c r="CW47" s="22">
        <f t="shared" si="13"/>
        <v>398.79694553728064</v>
      </c>
      <c r="CX47" s="62">
        <f t="shared" si="14"/>
        <v>692.13027887061389</v>
      </c>
      <c r="CY47" s="62">
        <f ca="1">AVERAGE(OFFSET($CX$3,0,0,'Données projet'!$E$13+1,1))-AVERAGE(OFFSET($H$3,0,0,'Données projet'!$E$13+1,1))</f>
        <v>293.90975929253631</v>
      </c>
      <c r="CZ47" s="62">
        <f t="shared" si="42"/>
        <v>288.30197520356643</v>
      </c>
      <c r="DA47" s="16">
        <f>IF(ISNA(VLOOKUP(A47,'Données projet'!$A$139:$I$159,3,0)),0,VLOOKUP(A47,'Données projet'!$A$139:$I$159,3,0))</f>
        <v>6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9.7263462244071626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9.7263462244071626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229.99999999999991</v>
      </c>
      <c r="DP47" s="18">
        <f>DO47*VLOOKUP('Données projet'!$B$14,Paramètres!$A$1:$I$89,3,0)*VLOOKUP('Données projet'!$B$14,Paramètres!$A$1:$I$89,5,0)</f>
        <v>179.39999999999995</v>
      </c>
      <c r="DQ47" s="14">
        <f t="shared" si="43"/>
        <v>45.188671291872232</v>
      </c>
      <c r="DR47" s="22">
        <f t="shared" si="16"/>
        <v>391.15860250001066</v>
      </c>
      <c r="DS47" s="62">
        <f t="shared" si="17"/>
        <v>684.49193583334397</v>
      </c>
      <c r="DT47" s="62">
        <f ca="1">AVERAGE(OFFSET($DS$3,0,0,'Données projet'!$E$14+1,1))-AVERAGE(OFFSET($H$3,0,0,'Données projet'!$E$14+1,1))</f>
        <v>288.82868507674738</v>
      </c>
      <c r="DU47" s="62">
        <f t="shared" si="44"/>
        <v>283.48738729114024</v>
      </c>
      <c r="DV47" s="16">
        <f>IF(ISNA(VLOOKUP(A47,'Données projet'!$A$165:$I$185,3,0)),0,VLOOKUP(A47,'Données projet'!$A$165:$I$185,3,0))</f>
        <v>6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7.7364574112006643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7.7364574112006643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</v>
      </c>
      <c r="EJ47" s="13">
        <f>IF('Données projet'!$A$192&gt;35,EJ46+EI47-ER46,IF(A47&lt;'Données projet'!$A$192,$EG$205^A47,IF(A47='Données projet'!$A$192,'Données projet'!$B$192,EJ46+EI47-ER46)))</f>
        <v>305.99999999999994</v>
      </c>
      <c r="EK47" s="18">
        <f>EJ47*VLOOKUP('Données projet'!$B$15,Paramètres!$A$1:$I$89,3,0)*VLOOKUP('Données projet'!$B$15,Paramètres!$A$1:$I$89,5,0)</f>
        <v>276.86879999999996</v>
      </c>
      <c r="EL47" s="14">
        <f t="shared" si="45"/>
        <v>66.30486383631866</v>
      </c>
      <c r="EM47" s="22">
        <f t="shared" si="19"/>
        <v>597.6941311815882</v>
      </c>
      <c r="EN47" s="62">
        <f t="shared" si="20"/>
        <v>891.02746451492158</v>
      </c>
      <c r="EO47" s="62">
        <f ca="1">AVERAGE(OFFSET($EN$3,0,0,'Données projet'!$E$15+1,1))-AVERAGE(OFFSET($H$3,0,0,'Données projet'!$E$15+1,1))</f>
        <v>366.86025470473652</v>
      </c>
      <c r="EP47" s="62">
        <f t="shared" si="46"/>
        <v>513.80016421153414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8.0218132376594351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8.0218132376594351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371.7282125501186</v>
      </c>
      <c r="T48" s="62">
        <f t="shared" si="34"/>
        <v>231.36959598460686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0.27950000000000003</v>
      </c>
      <c r="X48" s="17">
        <f>IF(ISNA(VLOOKUP(A48,'Données projet'!$A$35:$I$55,6,0)),0%,VLOOKUP(A48,'Données projet'!$A$35:$I$55,6,0)*VLOOKUP('Données projet'!$B$9,Paramètres!$A$1:$I$89,7,0))</f>
        <v>0.15049999999999999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15.224782570392378</v>
      </c>
      <c r="AA48" s="23">
        <f>EXP(-LN(2)/25)*AA47+(1-EXP(-LN(2)/25))/(LN(2)/25)*Calculateur!V48*Calculateur!X48*VLOOKUP('Données projet'!$B$9,Paramètres!$A$1:$I$89,3,0)*0.475*44/12</f>
        <v>10.195874344662567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25.420656915054945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133.09920000000005</v>
      </c>
      <c r="AK48" s="14">
        <f t="shared" si="35"/>
        <v>34.71150853565117</v>
      </c>
      <c r="AL48" s="22">
        <f t="shared" si="4"/>
        <v>292.27031736625918</v>
      </c>
      <c r="AM48" s="62">
        <f t="shared" si="5"/>
        <v>585.60365069959244</v>
      </c>
      <c r="AN48" s="62">
        <f ca="1">AVERAGE(OFFSET($AM$3,0,0,'Données projet'!$E$10+1,1))-AVERAGE(OFFSET($H$3,0,0,'Données projet'!$E$10+1,1))</f>
        <v>348.82438445524105</v>
      </c>
      <c r="AO48" s="62">
        <f t="shared" si="36"/>
        <v>218.26721063098552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0.27950000000000003</v>
      </c>
      <c r="AS48" s="17">
        <f>IF(ISNA(VLOOKUP(A48,'Données projet'!$A$61:$I$81,6,0)),0%,VLOOKUP(A48,'Données projet'!$A$61:$I$81,6,0)*VLOOKUP('Données projet'!$B$10,Paramètres!$A$1:$I$89,7,0))</f>
        <v>0.15049999999999999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14.174797565537732</v>
      </c>
      <c r="AV48" s="23">
        <f>EXP(-LN(2)/25)*AV47+(1-EXP(-LN(2)/25))/(LN(2)/25)*Calculateur!AQ48*Calculateur!AS48*VLOOKUP('Données projet'!$B$10,Paramètres!$A$1:$I$89,3,0)*0.475*44/12</f>
        <v>9.4927105967548062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23.667508162292538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283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283</v>
      </c>
      <c r="BE48" s="14">
        <f>BD48*VLOOKUP('Données projet'!$B$11,Paramètres!$A$1:$I$89,3,0)*VLOOKUP('Données projet'!$B$11,Paramètres!$A$1:$I$89,5,0)</f>
        <v>161.876</v>
      </c>
      <c r="BF48" s="14">
        <f t="shared" si="37"/>
        <v>41.2653649487576</v>
      </c>
      <c r="BG48" s="22">
        <f t="shared" si="7"/>
        <v>353.80454395241946</v>
      </c>
      <c r="BH48" s="62">
        <f t="shared" si="8"/>
        <v>647.13787728575278</v>
      </c>
      <c r="BI48" s="62">
        <f ca="1">AVERAGE(OFFSET($BH$3,0,0,'Données projet'!$E$11+1,1))-AVERAGE(OFFSET($H$3,0,0,'Données projet'!$E$11+1,1))</f>
        <v>309.71642374647882</v>
      </c>
      <c r="BJ48" s="62">
        <f t="shared" si="38"/>
        <v>266.63880397664315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38</v>
      </c>
      <c r="BM48" s="17">
        <f>IF(ISNA(VLOOKUP(A48,'Données projet'!$A$87:$I$107,5,0)),0%,VLOOKUP(A48,'Données projet'!$A$87:$I$107,5,0)*VLOOKUP('Données projet'!$B$11,Paramètres!$A$1:$I$89,7,0))</f>
        <v>0.315</v>
      </c>
      <c r="BN48" s="17">
        <f>IF(ISNA(VLOOKUP(A48,'Données projet'!$A$87:$I$107,6,0)),0%,VLOOKUP(A48,'Données projet'!$A$87:$I$107,6,0)*VLOOKUP('Données projet'!$B$11,Paramètres!$A$1:$I$89,7,0))</f>
        <v>0.13500000000000001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31.240938594102744</v>
      </c>
      <c r="BQ48" s="23">
        <f>EXP(-LN(2)/25)*BQ47+(1-EXP(-LN(2)/25))/(LN(2)/25)*Calculateur!BL48*Calculateur!BN48*VLOOKUP('Données projet'!$B$11,Paramètres!$A$1:$I$89,3,0)*0.475*44/12</f>
        <v>17.333476542669068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48.574415136771812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152.81760000000006</v>
      </c>
      <c r="CA48" s="14">
        <f t="shared" si="39"/>
        <v>39.218200171484227</v>
      </c>
      <c r="CB48" s="22">
        <f t="shared" si="10"/>
        <v>334.46235196533513</v>
      </c>
      <c r="CC48" s="62">
        <f t="shared" si="11"/>
        <v>627.79568529866845</v>
      </c>
      <c r="CD48" s="62">
        <f ca="1">AVERAGE(OFFSET($CC$3,0,0,'Données projet'!$E$12+1,1))-AVERAGE(OFFSET($H$3,0,0,'Données projet'!$E$12+1,1))</f>
        <v>394.59880827600006</v>
      </c>
      <c r="CE48" s="62">
        <f t="shared" si="40"/>
        <v>244.45149244446094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0.27950000000000003</v>
      </c>
      <c r="CI48" s="17">
        <f>IF(ISNA(VLOOKUP(A48,'Données projet'!$A$113:$I$133,6,0)),0%,VLOOKUP(A48,'Données projet'!$A$113:$I$133,6,0)*VLOOKUP('Données projet'!$B$12,Paramètres!$A$1:$I$89,7,0))</f>
        <v>0.15049999999999999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16.274767575247026</v>
      </c>
      <c r="CL48" s="23">
        <f>EXP(-LN(2)/25)*CL47+(1-EXP(-LN(2)/25))/(LN(2)/25)*Calculateur!CG48*Calculateur!CI48*VLOOKUP('Données projet'!$B$12,Paramètres!$A$1:$I$89,3,0)*0.475*44/12</f>
        <v>10.899038092570336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27.173805667817362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157.03154999999992</v>
      </c>
      <c r="CV48" s="14">
        <f t="shared" si="41"/>
        <v>40.172245228297676</v>
      </c>
      <c r="CW48" s="22">
        <f t="shared" si="13"/>
        <v>343.46327668928501</v>
      </c>
      <c r="CX48" s="62">
        <f t="shared" si="14"/>
        <v>636.79661002261832</v>
      </c>
      <c r="CY48" s="62">
        <f ca="1">AVERAGE(OFFSET($CX$3,0,0,'Données projet'!$E$13+1,1))-AVERAGE(OFFSET($H$3,0,0,'Données projet'!$E$13+1,1))</f>
        <v>293.90975929253631</v>
      </c>
      <c r="CZ48" s="62">
        <f t="shared" si="42"/>
        <v>288.30197520356643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9.5356185074319502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9.5356185074319502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197.37499999999991</v>
      </c>
      <c r="DP48" s="18">
        <f>DO48*VLOOKUP('Données projet'!$B$14,Paramètres!$A$1:$I$89,3,0)*VLOOKUP('Données projet'!$B$14,Paramètres!$A$1:$I$89,5,0)</f>
        <v>153.95249999999993</v>
      </c>
      <c r="DQ48" s="14">
        <f t="shared" si="43"/>
        <v>39.475441267837361</v>
      </c>
      <c r="DR48" s="22">
        <f t="shared" si="16"/>
        <v>336.88699770814992</v>
      </c>
      <c r="DS48" s="62">
        <f t="shared" si="17"/>
        <v>630.22033104148318</v>
      </c>
      <c r="DT48" s="62">
        <f ca="1">AVERAGE(OFFSET($DS$3,0,0,'Données projet'!$E$14+1,1))-AVERAGE(OFFSET($H$3,0,0,'Données projet'!$E$14+1,1))</f>
        <v>288.82868507674738</v>
      </c>
      <c r="DU48" s="62">
        <f t="shared" si="44"/>
        <v>283.48738729114024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7.5847502001400997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7.5847502001400997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312</v>
      </c>
      <c r="EH48" s="13">
        <f>VLOOKUP(A48,'Données projet'!$A$191:$I$211,9,0)</f>
        <v>6</v>
      </c>
      <c r="EI48" s="13">
        <f t="array" ref="EI48">INDEX(EH:EH,MIN(IF(ISNUMBER(EH48:EH244),ROW(EH48:EH244),"")))</f>
        <v>6</v>
      </c>
      <c r="EJ48" s="13">
        <f>IF('Données projet'!$A$192&gt;35,EJ47+EI48-ER47,IF(A48&lt;'Données projet'!$A$192,$EG$205^A48,IF(A48='Données projet'!$A$192,'Données projet'!$B$192,EJ47+EI48-ER47)))</f>
        <v>311.99999999999994</v>
      </c>
      <c r="EK48" s="18">
        <f>EJ48*VLOOKUP('Données projet'!$B$15,Paramètres!$A$1:$I$89,3,0)*VLOOKUP('Données projet'!$B$15,Paramètres!$A$1:$I$89,5,0)</f>
        <v>282.29759999999993</v>
      </c>
      <c r="EL48" s="14">
        <f t="shared" si="45"/>
        <v>67.452326629470178</v>
      </c>
      <c r="EM48" s="22">
        <f t="shared" si="19"/>
        <v>609.14778887966042</v>
      </c>
      <c r="EN48" s="62">
        <f t="shared" si="20"/>
        <v>902.4811222129938</v>
      </c>
      <c r="EO48" s="62">
        <f ca="1">AVERAGE(OFFSET($EN$3,0,0,'Données projet'!$E$15+1,1))-AVERAGE(OFFSET($H$3,0,0,'Données projet'!$E$15+1,1))</f>
        <v>366.86025470473652</v>
      </c>
      <c r="EP48" s="62">
        <f t="shared" si="46"/>
        <v>513.80016421153414</v>
      </c>
      <c r="EQ48" s="16">
        <f>IF(ISNA(VLOOKUP(A48,'Données projet'!$A$191:$I$211,3,0)),0,VLOOKUP(A48,'Données projet'!$A$191:$I$211,3,0))</f>
        <v>9</v>
      </c>
      <c r="ER48" s="16">
        <f>IF(ISNA(VLOOKUP(A48,'Données projet'!$A$191:$I$211,4,0)),0,VLOOKUP(A48,'Données projet'!$A$191:$I$211,4,0))</f>
        <v>312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7.8645103728918828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7.8645103728918828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371.7282125501186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14.926233870387415</v>
      </c>
      <c r="AA49" s="23">
        <f>EXP(-LN(2)/25)*AA48+(1-EXP(-LN(2)/25))/(LN(2)/25)*Calculateur!V49*Calculateur!X49*VLOOKUP('Données projet'!$B$9,Paramètres!$A$1:$I$89,3,0)*0.475*44/12</f>
        <v>9.9170676245300395</v>
      </c>
      <c r="AB49" s="23">
        <f>EXP(-LN(2)/2)*AB48+(1-EXP(-LN(2)/2))/(LN(2)/2)*V49*Y49*VLOOKUP('Données projet'!$B$9,Paramètres!$A$1:$I$89,3,0)*0.475*44/12</f>
        <v>0</v>
      </c>
      <c r="AC49" s="24">
        <f t="shared" si="3"/>
        <v>24.843301494917455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122.31648000000006</v>
      </c>
      <c r="AK49" s="14">
        <f t="shared" si="35"/>
        <v>32.214677527967339</v>
      </c>
      <c r="AL49" s="22">
        <f t="shared" si="4"/>
        <v>269.14176602787654</v>
      </c>
      <c r="AM49" s="62">
        <f t="shared" si="5"/>
        <v>562.47509936120991</v>
      </c>
      <c r="AN49" s="62">
        <f ca="1">AVERAGE(OFFSET($AM$3,0,0,'Données projet'!$E$10+1,1))-AVERAGE(OFFSET($H$3,0,0,'Données projet'!$E$10+1,1))</f>
        <v>348.82438445524105</v>
      </c>
      <c r="AO49" s="62">
        <f t="shared" si="36"/>
        <v>218.26721063098552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13.896838431050353</v>
      </c>
      <c r="AV49" s="23">
        <f>EXP(-LN(2)/25)*AV48+(1-EXP(-LN(2)/25))/(LN(2)/25)*Calculateur!AQ49*Calculateur!AS49*VLOOKUP('Données projet'!$B$10,Paramètres!$A$1:$I$89,3,0)*0.475*44/12</f>
        <v>9.2331319262865925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23.129970357336944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13.2</v>
      </c>
      <c r="BD49" s="13">
        <f>IF('Données projet'!$A$88&gt;35,BD48+BC49-BL48,IF(A49&lt;'Données projet'!$A$88,$BA$205^A49,IF(A49='Données projet'!$A$88,'Données projet'!$B$88,BD48+BC49-BL48)))</f>
        <v>258.2</v>
      </c>
      <c r="BE49" s="14">
        <f>BD49*VLOOKUP('Données projet'!$B$11,Paramètres!$A$1:$I$89,3,0)*VLOOKUP('Données projet'!$B$11,Paramètres!$A$1:$I$89,5,0)</f>
        <v>147.69039999999998</v>
      </c>
      <c r="BF49" s="14">
        <f t="shared" si="37"/>
        <v>38.053247671549173</v>
      </c>
      <c r="BG49" s="22">
        <f t="shared" si="7"/>
        <v>323.50351969461479</v>
      </c>
      <c r="BH49" s="62">
        <f t="shared" si="8"/>
        <v>616.83685302794811</v>
      </c>
      <c r="BI49" s="62">
        <f ca="1">AVERAGE(OFFSET($BH$3,0,0,'Données projet'!$E$11+1,1))-AVERAGE(OFFSET($H$3,0,0,'Données projet'!$E$11+1,1))</f>
        <v>309.71642374647882</v>
      </c>
      <c r="BJ49" s="62">
        <f t="shared" si="38"/>
        <v>266.63880397664315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30.628322843363396</v>
      </c>
      <c r="BQ49" s="23">
        <f>EXP(-LN(2)/25)*BQ48+(1-EXP(-LN(2)/25))/(LN(2)/25)*Calculateur!BL49*Calculateur!BN49*VLOOKUP('Données projet'!$B$11,Paramètres!$A$1:$I$89,3,0)*0.475*44/12</f>
        <v>16.859491715081866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47.487814558445265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145.20000000000005</v>
      </c>
      <c r="BZ49" s="14">
        <f>BY49*VLOOKUP('Données projet'!$B$12,Paramètres!$A$1:$I$89,3,0)*VLOOKUP('Données projet'!$B$12,Paramètres!$A$1:$I$89,5,0)</f>
        <v>140.43744000000004</v>
      </c>
      <c r="CA49" s="14">
        <f t="shared" si="39"/>
        <v>36.397198653986358</v>
      </c>
      <c r="CB49" s="22">
        <f t="shared" si="10"/>
        <v>307.98699565569297</v>
      </c>
      <c r="CC49" s="62">
        <f t="shared" si="11"/>
        <v>601.32032898902628</v>
      </c>
      <c r="CD49" s="62">
        <f ca="1">AVERAGE(OFFSET($CC$3,0,0,'Données projet'!$E$12+1,1))-AVERAGE(OFFSET($H$3,0,0,'Données projet'!$E$12+1,1))</f>
        <v>394.59880827600006</v>
      </c>
      <c r="CE49" s="62">
        <f t="shared" si="40"/>
        <v>244.45149244446094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15.955629309724479</v>
      </c>
      <c r="CL49" s="23">
        <f>EXP(-LN(2)/25)*CL48+(1-EXP(-LN(2)/25))/(LN(2)/25)*Calculateur!CG49*Calculateur!CI49*VLOOKUP('Données projet'!$B$12,Paramètres!$A$1:$I$89,3,0)*0.475*44/12</f>
        <v>10.601003322773497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26.556632632497976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165.28589999999994</v>
      </c>
      <c r="CV49" s="14">
        <f t="shared" si="41"/>
        <v>42.032500213547884</v>
      </c>
      <c r="CW49" s="22">
        <f t="shared" si="13"/>
        <v>361.07954703859576</v>
      </c>
      <c r="CX49" s="62">
        <f t="shared" si="14"/>
        <v>654.41288037192908</v>
      </c>
      <c r="CY49" s="62">
        <f ca="1">AVERAGE(OFFSET($CX$3,0,0,'Données projet'!$E$13+1,1))-AVERAGE(OFFSET($H$3,0,0,'Données projet'!$E$13+1,1))</f>
        <v>293.90975929253631</v>
      </c>
      <c r="CZ49" s="62">
        <f t="shared" si="42"/>
        <v>288.30197520356643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9.3486308446542026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9.3486308446542026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207.74999999999991</v>
      </c>
      <c r="DP49" s="18">
        <f>DO49*VLOOKUP('Données projet'!$B$14,Paramètres!$A$1:$I$89,3,0)*VLOOKUP('Données projet'!$B$14,Paramètres!$A$1:$I$89,5,0)</f>
        <v>162.04499999999993</v>
      </c>
      <c r="DQ49" s="14">
        <f t="shared" si="43"/>
        <v>41.303429372463391</v>
      </c>
      <c r="DR49" s="22">
        <f t="shared" si="16"/>
        <v>354.16518115704025</v>
      </c>
      <c r="DS49" s="62">
        <f t="shared" si="17"/>
        <v>647.49851449037351</v>
      </c>
      <c r="DT49" s="62">
        <f ca="1">AVERAGE(OFFSET($DS$3,0,0,'Données projet'!$E$14+1,1))-AVERAGE(OFFSET($H$3,0,0,'Données projet'!$E$14+1,1))</f>
        <v>288.82868507674738</v>
      </c>
      <c r="DU49" s="62">
        <f t="shared" si="44"/>
        <v>283.48738729114024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7.4360178749561712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7.4360178749561712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-5.6843418860808015E-14</v>
      </c>
      <c r="EK49" s="18">
        <f>EJ49*VLOOKUP('Données projet'!$B$15,Paramètres!$A$1:$I$89,3,0)*VLOOKUP('Données projet'!$B$15,Paramètres!$A$1:$I$89,5,0)</f>
        <v>-5.1431925385259088E-14</v>
      </c>
      <c r="EL49" s="14" t="e">
        <f t="shared" si="45"/>
        <v>#NUM!</v>
      </c>
      <c r="EM49" s="22" t="e">
        <f t="shared" si="19"/>
        <v>#NUM!</v>
      </c>
      <c r="EN49" s="62" t="e">
        <f t="shared" si="20"/>
        <v>#NUM!</v>
      </c>
      <c r="EO49" s="62">
        <f ca="1">AVERAGE(OFFSET($EN$3,0,0,'Données projet'!$E$15+1,1))-AVERAGE(OFFSET($H$3,0,0,'Données projet'!$E$15+1,1))</f>
        <v>366.86025470473652</v>
      </c>
      <c r="EP49" s="62">
        <f t="shared" si="46"/>
        <v>513.80016421153414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7.7102921213571483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7.7102921213571483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371.7282125501186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14.633539528292824</v>
      </c>
      <c r="AA50" s="23">
        <f>EXP(-LN(2)/25)*AA49+(1-EXP(-LN(2)/25))/(LN(2)/25)*Calculateur!V50*Calculateur!X50*VLOOKUP('Données projet'!$B$9,Paramètres!$A$1:$I$89,3,0)*0.475*44/12</f>
        <v>9.6458848888213442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24.279424417114168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129.22416000000004</v>
      </c>
      <c r="AK50" s="14">
        <f t="shared" si="35"/>
        <v>33.817023080295762</v>
      </c>
      <c r="AL50" s="22">
        <f t="shared" si="4"/>
        <v>283.96339386484851</v>
      </c>
      <c r="AM50" s="62">
        <f t="shared" si="5"/>
        <v>577.29672719818177</v>
      </c>
      <c r="AN50" s="62">
        <f ca="1">AVERAGE(OFFSET($AM$3,0,0,'Données projet'!$E$10+1,1))-AVERAGE(OFFSET($H$3,0,0,'Données projet'!$E$10+1,1))</f>
        <v>348.82438445524105</v>
      </c>
      <c r="AO50" s="62">
        <f t="shared" si="36"/>
        <v>218.26721063098552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13.62432990565194</v>
      </c>
      <c r="AV50" s="23">
        <f>EXP(-LN(2)/25)*AV49+(1-EXP(-LN(2)/25))/(LN(2)/25)*Calculateur!AQ50*Calculateur!AS50*VLOOKUP('Données projet'!$B$10,Paramètres!$A$1:$I$89,3,0)*0.475*44/12</f>
        <v>8.9806514482129796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22.604981353864922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13.2</v>
      </c>
      <c r="BD50" s="13">
        <f>IF('Données projet'!$A$88&gt;35,BD49+BC50-BL49,IF(A50&lt;'Données projet'!$A$88,$BA$205^A50,IF(A50='Données projet'!$A$88,'Données projet'!$B$88,BD49+BC50-BL49)))</f>
        <v>271.39999999999998</v>
      </c>
      <c r="BE50" s="14">
        <f>BD50*VLOOKUP('Données projet'!$B$11,Paramètres!$A$1:$I$89,3,0)*VLOOKUP('Données projet'!$B$11,Paramètres!$A$1:$I$89,5,0)</f>
        <v>155.24080000000001</v>
      </c>
      <c r="BF50" s="14">
        <f t="shared" si="37"/>
        <v>39.767185348358026</v>
      </c>
      <c r="BG50" s="22">
        <f t="shared" si="7"/>
        <v>339.63890781505688</v>
      </c>
      <c r="BH50" s="62">
        <f t="shared" si="8"/>
        <v>632.97224114839014</v>
      </c>
      <c r="BI50" s="62">
        <f ca="1">AVERAGE(OFFSET($BH$3,0,0,'Données projet'!$E$11+1,1))-AVERAGE(OFFSET($H$3,0,0,'Données projet'!$E$11+1,1))</f>
        <v>309.71642374647882</v>
      </c>
      <c r="BJ50" s="62">
        <f t="shared" si="38"/>
        <v>266.63880397664315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30.027720113837336</v>
      </c>
      <c r="BQ50" s="23">
        <f>EXP(-LN(2)/25)*BQ49+(1-EXP(-LN(2)/25))/(LN(2)/25)*Calculateur!BL50*Calculateur!BN50*VLOOKUP('Données projet'!$B$11,Paramètres!$A$1:$I$89,3,0)*0.475*44/12</f>
        <v>16.398468027530814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46.426188141368151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153.40000000000003</v>
      </c>
      <c r="BZ50" s="14">
        <f>BY50*VLOOKUP('Données projet'!$B$12,Paramètres!$A$1:$I$89,3,0)*VLOOKUP('Données projet'!$B$12,Paramètres!$A$1:$I$89,5,0)</f>
        <v>148.36848000000003</v>
      </c>
      <c r="CA50" s="14">
        <f t="shared" si="39"/>
        <v>38.207581183185901</v>
      </c>
      <c r="CB50" s="22">
        <f t="shared" si="10"/>
        <v>324.95330656071548</v>
      </c>
      <c r="CC50" s="62">
        <f t="shared" si="11"/>
        <v>618.28663989404879</v>
      </c>
      <c r="CD50" s="62">
        <f ca="1">AVERAGE(OFFSET($CC$3,0,0,'Données projet'!$E$12+1,1))-AVERAGE(OFFSET($H$3,0,0,'Données projet'!$E$12+1,1))</f>
        <v>394.59880827600006</v>
      </c>
      <c r="CE50" s="62">
        <f t="shared" si="40"/>
        <v>244.45149244446094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15.642749150933708</v>
      </c>
      <c r="CL50" s="23">
        <f>EXP(-LN(2)/25)*CL49+(1-EXP(-LN(2)/25))/(LN(2)/25)*Calculateur!CG50*Calculateur!CI50*VLOOKUP('Données projet'!$B$12,Paramètres!$A$1:$I$89,3,0)*0.475*44/12</f>
        <v>10.31111832942972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25.953867480363428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173.54024999999996</v>
      </c>
      <c r="CV50" s="14">
        <f t="shared" si="41"/>
        <v>43.881968178519585</v>
      </c>
      <c r="CW50" s="22">
        <f t="shared" si="13"/>
        <v>378.67702999425478</v>
      </c>
      <c r="CX50" s="62">
        <f t="shared" si="14"/>
        <v>672.01036332758804</v>
      </c>
      <c r="CY50" s="62">
        <f ca="1">AVERAGE(OFFSET($CX$3,0,0,'Données projet'!$E$13+1,1))-AVERAGE(OFFSET($H$3,0,0,'Données projet'!$E$13+1,1))</f>
        <v>293.90975929253631</v>
      </c>
      <c r="CZ50" s="62">
        <f t="shared" si="42"/>
        <v>288.30197520356643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9.1653098958923138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9.1653098958923138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218.12499999999991</v>
      </c>
      <c r="DP50" s="18">
        <f>DO50*VLOOKUP('Données projet'!$B$14,Paramètres!$A$1:$I$89,3,0)*VLOOKUP('Données projet'!$B$14,Paramètres!$A$1:$I$89,5,0)</f>
        <v>170.13749999999993</v>
      </c>
      <c r="DQ50" s="14">
        <f t="shared" si="43"/>
        <v>43.120817562072375</v>
      </c>
      <c r="DR50" s="22">
        <f t="shared" si="16"/>
        <v>371.42490308727588</v>
      </c>
      <c r="DS50" s="62">
        <f t="shared" si="17"/>
        <v>664.75823642060914</v>
      </c>
      <c r="DT50" s="62">
        <f ca="1">AVERAGE(OFFSET($DS$3,0,0,'Données projet'!$E$14+1,1))-AVERAGE(OFFSET($H$3,0,0,'Données projet'!$E$14+1,1))</f>
        <v>288.82868507674738</v>
      </c>
      <c r="DU50" s="62">
        <f t="shared" si="44"/>
        <v>283.48738729114024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7.2902020999513386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7.2902020999513386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-5.6843418860808015E-14</v>
      </c>
      <c r="EK50" s="18">
        <f>EJ50*VLOOKUP('Données projet'!$B$15,Paramètres!$A$1:$I$89,3,0)*VLOOKUP('Données projet'!$B$15,Paramètres!$A$1:$I$89,5,0)</f>
        <v>-5.1431925385259088E-14</v>
      </c>
      <c r="EL50" s="14" t="e">
        <f t="shared" si="45"/>
        <v>#NUM!</v>
      </c>
      <c r="EM50" s="22" t="e">
        <f t="shared" si="19"/>
        <v>#NUM!</v>
      </c>
      <c r="EN50" s="62" t="e">
        <f t="shared" si="20"/>
        <v>#NUM!</v>
      </c>
      <c r="EO50" s="62">
        <f ca="1">AVERAGE(OFFSET($EN$3,0,0,'Données projet'!$E$15+1,1))-AVERAGE(OFFSET($H$3,0,0,'Données projet'!$E$15+1,1))</f>
        <v>366.86025470473652</v>
      </c>
      <c r="EP50" s="62">
        <f t="shared" si="46"/>
        <v>513.80016421153414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7.5590979956711646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7.5590979956711646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371.7282125501186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14.346584743720786</v>
      </c>
      <c r="AA51" s="23">
        <f>EXP(-LN(2)/25)*AA50+(1-EXP(-LN(2)/25))/(LN(2)/25)*Calculateur!V51*Calculateur!X51*VLOOKUP('Données projet'!$B$9,Paramètres!$A$1:$I$89,3,0)*0.475*44/12</f>
        <v>9.3821176592814837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23.72870240300227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136.13184000000004</v>
      </c>
      <c r="AK51" s="14">
        <f t="shared" si="35"/>
        <v>35.40942452951419</v>
      </c>
      <c r="AL51" s="22">
        <f t="shared" si="4"/>
        <v>298.7677023889039</v>
      </c>
      <c r="AM51" s="62">
        <f t="shared" si="5"/>
        <v>592.10103572223716</v>
      </c>
      <c r="AN51" s="62">
        <f ca="1">AVERAGE(OFFSET($AM$3,0,0,'Données projet'!$E$10+1,1))-AVERAGE(OFFSET($H$3,0,0,'Données projet'!$E$10+1,1))</f>
        <v>348.82438445524105</v>
      </c>
      <c r="AO51" s="62">
        <f t="shared" si="36"/>
        <v>218.26721063098552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13.357165106222801</v>
      </c>
      <c r="AV51" s="23">
        <f>EXP(-LN(2)/25)*AV50+(1-EXP(-LN(2)/25))/(LN(2)/25)*Calculateur!AQ51*Calculateur!AS51*VLOOKUP('Données projet'!$B$10,Paramètres!$A$1:$I$89,3,0)*0.475*44/12</f>
        <v>8.7350750620896616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22.092240168312465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13.2</v>
      </c>
      <c r="BD51" s="13">
        <f>IF('Données projet'!$A$88&gt;35,BD50+BC51-BL50,IF(A51&lt;'Données projet'!$A$88,$BA$205^A51,IF(A51='Données projet'!$A$88,'Données projet'!$B$88,BD50+BC51-BL50)))</f>
        <v>284.59999999999997</v>
      </c>
      <c r="BE51" s="14">
        <f>BD51*VLOOKUP('Données projet'!$B$11,Paramètres!$A$1:$I$89,3,0)*VLOOKUP('Données projet'!$B$11,Paramètres!$A$1:$I$89,5,0)</f>
        <v>162.7912</v>
      </c>
      <c r="BF51" s="14">
        <f t="shared" si="37"/>
        <v>41.471443274907386</v>
      </c>
      <c r="BG51" s="22">
        <f t="shared" si="7"/>
        <v>355.75743703713033</v>
      </c>
      <c r="BH51" s="62">
        <f t="shared" si="8"/>
        <v>649.09077037046359</v>
      </c>
      <c r="BI51" s="62">
        <f ca="1">AVERAGE(OFFSET($BH$3,0,0,'Données projet'!$E$11+1,1))-AVERAGE(OFFSET($H$3,0,0,'Données projet'!$E$11+1,1))</f>
        <v>309.71642374647882</v>
      </c>
      <c r="BJ51" s="62">
        <f t="shared" si="38"/>
        <v>266.63880397664315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29.438894837505789</v>
      </c>
      <c r="BQ51" s="23">
        <f>EXP(-LN(2)/25)*BQ50+(1-EXP(-LN(2)/25))/(LN(2)/25)*Calculateur!BL51*Calculateur!BN51*VLOOKUP('Données projet'!$B$11,Paramètres!$A$1:$I$89,3,0)*0.475*44/12</f>
        <v>15.95005105696003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45.38894589446582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161.60000000000002</v>
      </c>
      <c r="BZ51" s="14">
        <f>BY51*VLOOKUP('Données projet'!$B$12,Paramètres!$A$1:$I$89,3,0)*VLOOKUP('Données projet'!$B$12,Paramètres!$A$1:$I$89,5,0)</f>
        <v>156.29952000000003</v>
      </c>
      <c r="CA51" s="14">
        <f t="shared" si="39"/>
        <v>40.006728538728431</v>
      </c>
      <c r="CB51" s="22">
        <f t="shared" si="10"/>
        <v>341.90004953828537</v>
      </c>
      <c r="CC51" s="62">
        <f t="shared" si="11"/>
        <v>635.23338287161869</v>
      </c>
      <c r="CD51" s="62">
        <f ca="1">AVERAGE(OFFSET($CC$3,0,0,'Données projet'!$E$12+1,1))-AVERAGE(OFFSET($H$3,0,0,'Données projet'!$E$12+1,1))</f>
        <v>394.59880827600006</v>
      </c>
      <c r="CE51" s="62">
        <f t="shared" si="40"/>
        <v>244.45149244446094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15.336004381218771</v>
      </c>
      <c r="CL51" s="23">
        <f>EXP(-LN(2)/25)*CL50+(1-EXP(-LN(2)/25))/(LN(2)/25)*Calculateur!CG51*Calculateur!CI51*VLOOKUP('Données projet'!$B$12,Paramètres!$A$1:$I$89,3,0)*0.475*44/12</f>
        <v>10.029160256473316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25.365164637692089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181.79459999999995</v>
      </c>
      <c r="CV51" s="14">
        <f t="shared" si="41"/>
        <v>45.721220782702858</v>
      </c>
      <c r="CW51" s="22">
        <f t="shared" si="13"/>
        <v>396.2567211965407</v>
      </c>
      <c r="CX51" s="62">
        <f t="shared" si="14"/>
        <v>689.59005452987401</v>
      </c>
      <c r="CY51" s="62">
        <f ca="1">AVERAGE(OFFSET($CX$3,0,0,'Données projet'!$E$13+1,1))-AVERAGE(OFFSET($H$3,0,0,'Données projet'!$E$13+1,1))</f>
        <v>293.90975929253631</v>
      </c>
      <c r="CZ51" s="62">
        <f t="shared" si="42"/>
        <v>288.30197520356643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8.9855837591209067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8.9855837591209067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228.49999999999991</v>
      </c>
      <c r="DP51" s="18">
        <f>DO51*VLOOKUP('Données projet'!$B$14,Paramètres!$A$1:$I$89,3,0)*VLOOKUP('Données projet'!$B$14,Paramètres!$A$1:$I$89,5,0)</f>
        <v>178.22999999999993</v>
      </c>
      <c r="DQ51" s="14">
        <f t="shared" si="43"/>
        <v>44.928167580487852</v>
      </c>
      <c r="DR51" s="22">
        <f t="shared" si="16"/>
        <v>388.66714186934951</v>
      </c>
      <c r="DS51" s="62">
        <f t="shared" si="17"/>
        <v>682.00047520268276</v>
      </c>
      <c r="DT51" s="62">
        <f ca="1">AVERAGE(OFFSET($DS$3,0,0,'Données projet'!$E$14+1,1))-AVERAGE(OFFSET($H$3,0,0,'Données projet'!$E$14+1,1))</f>
        <v>288.82868507674738</v>
      </c>
      <c r="DU51" s="62">
        <f t="shared" si="44"/>
        <v>283.48738729114024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7.1472456833555098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7.1472456833555098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-5.6843418860808015E-14</v>
      </c>
      <c r="EK51" s="18">
        <f>EJ51*VLOOKUP('Données projet'!$B$15,Paramètres!$A$1:$I$89,3,0)*VLOOKUP('Données projet'!$B$15,Paramètres!$A$1:$I$89,5,0)</f>
        <v>-5.1431925385259088E-14</v>
      </c>
      <c r="EL51" s="14" t="e">
        <f t="shared" si="45"/>
        <v>#NUM!</v>
      </c>
      <c r="EM51" s="22" t="e">
        <f t="shared" si="19"/>
        <v>#NUM!</v>
      </c>
      <c r="EN51" s="62" t="e">
        <f t="shared" si="20"/>
        <v>#NUM!</v>
      </c>
      <c r="EO51" s="62">
        <f ca="1">AVERAGE(OFFSET($EN$3,0,0,'Données projet'!$E$15+1,1))-AVERAGE(OFFSET($H$3,0,0,'Données projet'!$E$15+1,1))</f>
        <v>366.86025470473652</v>
      </c>
      <c r="EP51" s="62">
        <f t="shared" si="46"/>
        <v>513.80016421153414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7.4108686945705724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7.4108686945705724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371.7282125501186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14.06525696744907</v>
      </c>
      <c r="AA52" s="23">
        <f>EXP(-LN(2)/25)*AA51+(1-EXP(-LN(2)/25))/(LN(2)/25)*Calculateur!V52*Calculateur!X52*VLOOKUP('Données projet'!$B$9,Paramètres!$A$1:$I$89,3,0)*0.475*44/12</f>
        <v>9.1255631585043062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23.190820125953376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143.03952000000001</v>
      </c>
      <c r="AK52" s="14">
        <f t="shared" si="35"/>
        <v>36.992444033168439</v>
      </c>
      <c r="AL52" s="22">
        <f t="shared" si="4"/>
        <v>313.55567069110168</v>
      </c>
      <c r="AM52" s="62">
        <f t="shared" si="5"/>
        <v>606.88900402443505</v>
      </c>
      <c r="AN52" s="62">
        <f ca="1">AVERAGE(OFFSET($AM$3,0,0,'Données projet'!$E$10+1,1))-AVERAGE(OFFSET($H$3,0,0,'Données projet'!$E$10+1,1))</f>
        <v>348.82438445524105</v>
      </c>
      <c r="AO52" s="62">
        <f t="shared" si="36"/>
        <v>218.26721063098552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13.095239245556032</v>
      </c>
      <c r="AV52" s="23">
        <f>EXP(-LN(2)/25)*AV51+(1-EXP(-LN(2)/25))/(LN(2)/25)*Calculateur!AQ52*Calculateur!AS52*VLOOKUP('Données projet'!$B$10,Paramètres!$A$1:$I$89,3,0)*0.475*44/12</f>
        <v>8.4962139751591863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21.591453220715216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13.2</v>
      </c>
      <c r="BD52" s="13">
        <f>IF('Données projet'!$A$88&gt;35,BD51+BC52-BL51,IF(A52&lt;'Données projet'!$A$88,$BA$205^A52,IF(A52='Données projet'!$A$88,'Données projet'!$B$88,BD51+BC52-BL51)))</f>
        <v>297.79999999999995</v>
      </c>
      <c r="BE52" s="14">
        <f>BD52*VLOOKUP('Données projet'!$B$11,Paramètres!$A$1:$I$89,3,0)*VLOOKUP('Données projet'!$B$11,Paramètres!$A$1:$I$89,5,0)</f>
        <v>170.34159999999997</v>
      </c>
      <c r="BF52" s="14">
        <f t="shared" si="37"/>
        <v>43.166521681123569</v>
      </c>
      <c r="BG52" s="22">
        <f t="shared" si="7"/>
        <v>371.8599785946235</v>
      </c>
      <c r="BH52" s="62">
        <f t="shared" si="8"/>
        <v>665.19331192795676</v>
      </c>
      <c r="BI52" s="62">
        <f ca="1">AVERAGE(OFFSET($BH$3,0,0,'Données projet'!$E$11+1,1))-AVERAGE(OFFSET($H$3,0,0,'Données projet'!$E$11+1,1))</f>
        <v>309.71642374647882</v>
      </c>
      <c r="BJ52" s="62">
        <f t="shared" si="38"/>
        <v>266.63880397664315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28.861616065695149</v>
      </c>
      <c r="BQ52" s="23">
        <f>EXP(-LN(2)/25)*BQ51+(1-EXP(-LN(2)/25))/(LN(2)/25)*Calculateur!BL52*Calculateur!BN52*VLOOKUP('Données projet'!$B$11,Paramètres!$A$1:$I$89,3,0)*0.475*44/12</f>
        <v>15.513896072030727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44.375512137725877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169.8</v>
      </c>
      <c r="BZ52" s="14">
        <f>BY52*VLOOKUP('Données projet'!$B$12,Paramètres!$A$1:$I$89,3,0)*VLOOKUP('Données projet'!$B$12,Paramètres!$A$1:$I$89,5,0)</f>
        <v>164.23056000000003</v>
      </c>
      <c r="CA52" s="14">
        <f t="shared" si="39"/>
        <v>41.795275864636551</v>
      </c>
      <c r="CB52" s="22">
        <f t="shared" si="10"/>
        <v>358.82833079757535</v>
      </c>
      <c r="CC52" s="62">
        <f t="shared" si="11"/>
        <v>652.16166413090866</v>
      </c>
      <c r="CD52" s="62">
        <f ca="1">AVERAGE(OFFSET($CC$3,0,0,'Données projet'!$E$12+1,1))-AVERAGE(OFFSET($H$3,0,0,'Données projet'!$E$12+1,1))</f>
        <v>394.59880827600006</v>
      </c>
      <c r="CE52" s="62">
        <f t="shared" si="40"/>
        <v>244.45149244446094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15.03527468934211</v>
      </c>
      <c r="CL52" s="23">
        <f>EXP(-LN(2)/25)*CL51+(1-EXP(-LN(2)/25))/(LN(2)/25)*Calculateur!CG52*Calculateur!CI52*VLOOKUP('Données projet'!$B$12,Paramètres!$A$1:$I$89,3,0)*0.475*44/12</f>
        <v>9.7549123418494368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24.790187031191547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190.04894999999993</v>
      </c>
      <c r="CV52" s="14">
        <f t="shared" si="41"/>
        <v>47.550774838971947</v>
      </c>
      <c r="CW52" s="22">
        <f t="shared" si="13"/>
        <v>413.81952076120933</v>
      </c>
      <c r="CX52" s="62">
        <f t="shared" si="14"/>
        <v>707.15285409454259</v>
      </c>
      <c r="CY52" s="62">
        <f ca="1">AVERAGE(OFFSET($CX$3,0,0,'Données projet'!$E$13+1,1))-AVERAGE(OFFSET($H$3,0,0,'Données projet'!$E$13+1,1))</f>
        <v>293.90975929253631</v>
      </c>
      <c r="CZ52" s="62">
        <f t="shared" si="42"/>
        <v>288.30197520356643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8.8093819422694679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8.8093819422694679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238.87499999999991</v>
      </c>
      <c r="DP52" s="18">
        <f>DO52*VLOOKUP('Données projet'!$B$14,Paramètres!$A$1:$I$89,3,0)*VLOOKUP('Données projet'!$B$14,Paramètres!$A$1:$I$89,5,0)</f>
        <v>186.32249999999993</v>
      </c>
      <c r="DQ52" s="14">
        <f t="shared" si="43"/>
        <v>46.725987276254116</v>
      </c>
      <c r="DR52" s="22">
        <f t="shared" si="16"/>
        <v>405.8927820061424</v>
      </c>
      <c r="DS52" s="62">
        <f t="shared" si="17"/>
        <v>699.22611533947565</v>
      </c>
      <c r="DT52" s="62">
        <f ca="1">AVERAGE(OFFSET($DS$3,0,0,'Données projet'!$E$14+1,1))-AVERAGE(OFFSET($H$3,0,0,'Données projet'!$E$14+1,1))</f>
        <v>288.82868507674738</v>
      </c>
      <c r="DU52" s="62">
        <f t="shared" si="44"/>
        <v>283.48738729114024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7.0070925548943208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7.0070925548943208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-5.6843418860808015E-14</v>
      </c>
      <c r="EK52" s="18">
        <f>EJ52*VLOOKUP('Données projet'!$B$15,Paramètres!$A$1:$I$89,3,0)*VLOOKUP('Données projet'!$B$15,Paramètres!$A$1:$I$89,5,0)</f>
        <v>-5.1431925385259088E-14</v>
      </c>
      <c r="EL52" s="14" t="e">
        <f t="shared" si="45"/>
        <v>#NUM!</v>
      </c>
      <c r="EM52" s="22" t="e">
        <f t="shared" si="19"/>
        <v>#NUM!</v>
      </c>
      <c r="EN52" s="62" t="e">
        <f t="shared" si="20"/>
        <v>#NUM!</v>
      </c>
      <c r="EO52" s="62">
        <f ca="1">AVERAGE(OFFSET($EN$3,0,0,'Données projet'!$E$15+1,1))-AVERAGE(OFFSET($H$3,0,0,'Données projet'!$E$15+1,1))</f>
        <v>366.86025470473652</v>
      </c>
      <c r="EP52" s="62">
        <f t="shared" si="46"/>
        <v>513.80016421153414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7.2655460796536158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7.2655460796536158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371.7282125501186</v>
      </c>
      <c r="T53" s="62">
        <f t="shared" si="34"/>
        <v>231.36959598460686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0.30099999999999999</v>
      </c>
      <c r="X53" s="17">
        <f>IF(ISNA(VLOOKUP(A53,'Données projet'!$A$35:$I$55,6,0)),0%,VLOOKUP(A53,'Données projet'!$A$35:$I$55,6,0)*VLOOKUP('Données projet'!$B$9,Paramètres!$A$1:$I$89,7,0))</f>
        <v>0.129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20.111897155093374</v>
      </c>
      <c r="AA53" s="23">
        <f>EXP(-LN(2)/25)*AA52+(1-EXP(-LN(2)/25))/(LN(2)/25)*Calculateur!V53*Calculateur!X53*VLOOKUP('Données projet'!$B$9,Paramètres!$A$1:$I$89,3,0)*0.475*44/12</f>
        <v>11.574977324619933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31.686874479713307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149.94720000000001</v>
      </c>
      <c r="AK53" s="14">
        <f t="shared" si="35"/>
        <v>38.566586385539779</v>
      </c>
      <c r="AL53" s="22">
        <f t="shared" si="4"/>
        <v>328.32817795481515</v>
      </c>
      <c r="AM53" s="62">
        <f t="shared" si="5"/>
        <v>621.6615112881484</v>
      </c>
      <c r="AN53" s="62">
        <f ca="1">AVERAGE(OFFSET($AM$3,0,0,'Données projet'!$E$10+1,1))-AVERAGE(OFFSET($H$3,0,0,'Données projet'!$E$10+1,1))</f>
        <v>348.82438445524105</v>
      </c>
      <c r="AO53" s="62">
        <f t="shared" si="36"/>
        <v>218.26721063098552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0.30099999999999999</v>
      </c>
      <c r="AS53" s="17">
        <f>IF(ISNA(VLOOKUP(A53,'Données projet'!$A$61:$I$81,6,0)),0%,VLOOKUP(A53,'Données projet'!$A$61:$I$81,6,0)*VLOOKUP('Données projet'!$B$10,Paramètres!$A$1:$I$89,7,0))</f>
        <v>0.129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18.724869765086936</v>
      </c>
      <c r="AV53" s="23">
        <f>EXP(-LN(2)/25)*AV52+(1-EXP(-LN(2)/25))/(LN(2)/25)*Calculateur!AQ53*Calculateur!AS53*VLOOKUP('Données projet'!$B$10,Paramètres!$A$1:$I$89,3,0)*0.475*44/12</f>
        <v>10.776703026370289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29.501572791457225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311</v>
      </c>
      <c r="BB53" s="13">
        <f>VLOOKUP(A53,'Données projet'!$A$87:$I$107,9,0)</f>
        <v>13.2</v>
      </c>
      <c r="BC53" s="13">
        <f t="array" ref="BC53">INDEX(BB:BB,MIN(IF(ISNUMBER(BB53:BB249),ROW(BB53:BB249),"")))</f>
        <v>13.2</v>
      </c>
      <c r="BD53" s="13">
        <f>IF('Données projet'!$A$88&gt;35,BD52+BC53-BL52,IF(A53&lt;'Données projet'!$A$88,$BA$205^A53,IF(A53='Données projet'!$A$88,'Données projet'!$B$88,BD52+BC53-BL52)))</f>
        <v>310.99999999999994</v>
      </c>
      <c r="BE53" s="14">
        <f>BD53*VLOOKUP('Données projet'!$B$11,Paramètres!$A$1:$I$89,3,0)*VLOOKUP('Données projet'!$B$11,Paramètres!$A$1:$I$89,5,0)</f>
        <v>177.89199999999997</v>
      </c>
      <c r="BF53" s="14">
        <f t="shared" si="37"/>
        <v>44.8528739442404</v>
      </c>
      <c r="BG53" s="22">
        <f t="shared" si="7"/>
        <v>387.94732211955193</v>
      </c>
      <c r="BH53" s="62">
        <f t="shared" si="8"/>
        <v>681.28065545288518</v>
      </c>
      <c r="BI53" s="62">
        <f ca="1">AVERAGE(OFFSET($BH$3,0,0,'Données projet'!$E$11+1,1))-AVERAGE(OFFSET($H$3,0,0,'Données projet'!$E$11+1,1))</f>
        <v>309.71642374647882</v>
      </c>
      <c r="BJ53" s="62">
        <f t="shared" si="38"/>
        <v>266.63880397664315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37</v>
      </c>
      <c r="BM53" s="17">
        <f>IF(ISNA(VLOOKUP(A53,'Données projet'!$A$87:$I$107,5,0)),0%,VLOOKUP(A53,'Données projet'!$A$87:$I$107,5,0)*VLOOKUP('Données projet'!$B$11,Paramètres!$A$1:$I$89,7,0))</f>
        <v>0.315</v>
      </c>
      <c r="BN53" s="17">
        <f>IF(ISNA(VLOOKUP(A53,'Données projet'!$A$87:$I$107,6,0)),0%,VLOOKUP(A53,'Données projet'!$A$87:$I$107,6,0)*VLOOKUP('Données projet'!$B$11,Paramètres!$A$1:$I$89,7,0))</f>
        <v>0.13500000000000001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37.139411570994994</v>
      </c>
      <c r="BQ53" s="23">
        <f>EXP(-LN(2)/25)*BQ52+(1-EXP(-LN(2)/25))/(LN(2)/25)*Calculateur!BL53*Calculateur!BN53*VLOOKUP('Données projet'!$B$11,Paramètres!$A$1:$I$89,3,0)*0.475*44/12</f>
        <v>18.864924752033637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56.004336323028632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178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178</v>
      </c>
      <c r="BZ53" s="14">
        <f>BY53*VLOOKUP('Données projet'!$B$12,Paramètres!$A$1:$I$89,3,0)*VLOOKUP('Données projet'!$B$12,Paramètres!$A$1:$I$89,5,0)</f>
        <v>172.16159999999999</v>
      </c>
      <c r="CA53" s="14">
        <f t="shared" si="39"/>
        <v>43.57379349403616</v>
      </c>
      <c r="CB53" s="22">
        <f t="shared" si="10"/>
        <v>375.7391436687796</v>
      </c>
      <c r="CC53" s="62">
        <f t="shared" si="11"/>
        <v>669.07247700211292</v>
      </c>
      <c r="CD53" s="62">
        <f ca="1">AVERAGE(OFFSET($CC$3,0,0,'Données projet'!$E$12+1,1))-AVERAGE(OFFSET($H$3,0,0,'Données projet'!$E$12+1,1))</f>
        <v>394.59880827600006</v>
      </c>
      <c r="CE53" s="62">
        <f t="shared" si="40"/>
        <v>244.45149244446094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0.30099999999999999</v>
      </c>
      <c r="CI53" s="17">
        <f>IF(ISNA(VLOOKUP(A53,'Données projet'!$A$113:$I$133,6,0)),0%,VLOOKUP(A53,'Données projet'!$A$113:$I$133,6,0)*VLOOKUP('Données projet'!$B$12,Paramètres!$A$1:$I$89,7,0))</f>
        <v>0.129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21.498924545099815</v>
      </c>
      <c r="CL53" s="23">
        <f>EXP(-LN(2)/25)*CL52+(1-EXP(-LN(2)/25))/(LN(2)/25)*Calculateur!CG53*Calculateur!CI53*VLOOKUP('Données projet'!$B$12,Paramètres!$A$1:$I$89,3,0)*0.475*44/12</f>
        <v>12.37325162286959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33.872176167969407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198.30329999999995</v>
      </c>
      <c r="CV53" s="14">
        <f t="shared" si="41"/>
        <v>49.371099728244005</v>
      </c>
      <c r="CW53" s="22">
        <f t="shared" si="13"/>
        <v>431.36624619335817</v>
      </c>
      <c r="CX53" s="62">
        <f t="shared" si="14"/>
        <v>724.69957952669142</v>
      </c>
      <c r="CY53" s="62">
        <f ca="1">AVERAGE(OFFSET($CX$3,0,0,'Données projet'!$E$13+1,1))-AVERAGE(OFFSET($H$3,0,0,'Données projet'!$E$13+1,1))</f>
        <v>293.90975929253631</v>
      </c>
      <c r="CZ53" s="62">
        <f t="shared" si="42"/>
        <v>288.30197520356643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8.63663533557399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8.63663533557399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249.24999999999991</v>
      </c>
      <c r="DP53" s="18">
        <f>DO53*VLOOKUP('Données projet'!$B$14,Paramètres!$A$1:$I$89,3,0)*VLOOKUP('Données projet'!$B$14,Paramètres!$A$1:$I$89,5,0)</f>
        <v>194.41499999999994</v>
      </c>
      <c r="DQ53" s="14">
        <f t="shared" si="43"/>
        <v>48.514737888684927</v>
      </c>
      <c r="DR53" s="22">
        <f t="shared" si="16"/>
        <v>423.10262682279273</v>
      </c>
      <c r="DS53" s="62">
        <f t="shared" si="17"/>
        <v>716.43596015612604</v>
      </c>
      <c r="DT53" s="62">
        <f ca="1">AVERAGE(OFFSET($DS$3,0,0,'Données projet'!$E$14+1,1))-AVERAGE(OFFSET($H$3,0,0,'Données projet'!$E$14+1,1))</f>
        <v>288.82868507674738</v>
      </c>
      <c r="DU53" s="62">
        <f t="shared" si="44"/>
        <v>283.48738729114024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6.8696877437972885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6.8696877437972885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-5.6843418860808015E-14</v>
      </c>
      <c r="EK53" s="18">
        <f>EJ53*VLOOKUP('Données projet'!$B$15,Paramètres!$A$1:$I$89,3,0)*VLOOKUP('Données projet'!$B$15,Paramètres!$A$1:$I$89,5,0)</f>
        <v>-5.1431925385259088E-14</v>
      </c>
      <c r="EL53" s="14" t="e">
        <f t="shared" si="45"/>
        <v>#NUM!</v>
      </c>
      <c r="EM53" s="22" t="e">
        <f t="shared" si="19"/>
        <v>#NUM!</v>
      </c>
      <c r="EN53" s="62" t="e">
        <f t="shared" si="20"/>
        <v>#NUM!</v>
      </c>
      <c r="EO53" s="62">
        <f ca="1">AVERAGE(OFFSET($EN$3,0,0,'Données projet'!$E$15+1,1))-AVERAGE(OFFSET($H$3,0,0,'Données projet'!$E$15+1,1))</f>
        <v>366.86025470473652</v>
      </c>
      <c r="EP53" s="62">
        <f t="shared" si="46"/>
        <v>513.80016421153414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7.1230731525771382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7.1230731525771382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371.7282125501186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19.717515118927988</v>
      </c>
      <c r="AA54" s="23">
        <f>EXP(-LN(2)/25)*AA53+(1-EXP(-LN(2)/25))/(LN(2)/25)*Calculateur!V54*Calculateur!X54*VLOOKUP('Données projet'!$B$9,Paramètres!$A$1:$I$89,3,0)*0.475*44/12</f>
        <v>11.258458960976599</v>
      </c>
      <c r="AB54" s="23">
        <f>EXP(-LN(2)/2)*AB53+(1-EXP(-LN(2)/2))/(LN(2)/2)*V54*Y54*VLOOKUP('Données projet'!$B$9,Paramètres!$A$1:$I$89,3,0)*0.475*44/12</f>
        <v>0</v>
      </c>
      <c r="AC54" s="24">
        <f t="shared" si="3"/>
        <v>30.975974079904589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138.99600000000001</v>
      </c>
      <c r="AK54" s="14">
        <f t="shared" si="35"/>
        <v>36.066906938767758</v>
      </c>
      <c r="AL54" s="22">
        <f t="shared" si="4"/>
        <v>304.90122958502047</v>
      </c>
      <c r="AM54" s="62">
        <f t="shared" si="5"/>
        <v>598.23456291835373</v>
      </c>
      <c r="AN54" s="62">
        <f ca="1">AVERAGE(OFFSET($AM$3,0,0,'Données projet'!$E$10+1,1))-AVERAGE(OFFSET($H$3,0,0,'Données projet'!$E$10+1,1))</f>
        <v>348.82438445524105</v>
      </c>
      <c r="AO54" s="62">
        <f t="shared" si="36"/>
        <v>218.26721063098552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18.357686490036404</v>
      </c>
      <c r="AV54" s="23">
        <f>EXP(-LN(2)/25)*AV53+(1-EXP(-LN(2)/25))/(LN(2)/25)*Calculateur!AQ54*Calculateur!AS54*VLOOKUP('Données projet'!$B$10,Paramètres!$A$1:$I$89,3,0)*0.475*44/12</f>
        <v>10.482013515392012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28.839700005428416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12.25</v>
      </c>
      <c r="BD54" s="13">
        <f>IF('Données projet'!$A$88&gt;35,BD53+BC54-BL53,IF(A54&lt;'Données projet'!$A$88,$BA$205^A54,IF(A54='Données projet'!$A$88,'Données projet'!$B$88,BD53+BC54-BL53)))</f>
        <v>286.24999999999994</v>
      </c>
      <c r="BE54" s="14">
        <f>BD54*VLOOKUP('Données projet'!$B$11,Paramètres!$A$1:$I$89,3,0)*VLOOKUP('Données projet'!$B$11,Paramètres!$A$1:$I$89,5,0)</f>
        <v>163.73499999999999</v>
      </c>
      <c r="BF54" s="14">
        <f t="shared" si="37"/>
        <v>41.683820360110872</v>
      </c>
      <c r="BG54" s="22">
        <f t="shared" si="7"/>
        <v>357.77111212719302</v>
      </c>
      <c r="BH54" s="62">
        <f t="shared" si="8"/>
        <v>651.10444546052634</v>
      </c>
      <c r="BI54" s="62">
        <f ca="1">AVERAGE(OFFSET($BH$3,0,0,'Données projet'!$E$11+1,1))-AVERAGE(OFFSET($H$3,0,0,'Données projet'!$E$11+1,1))</f>
        <v>309.71642374647882</v>
      </c>
      <c r="BJ54" s="62">
        <f t="shared" si="38"/>
        <v>266.63880397664315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36.41113036289206</v>
      </c>
      <c r="BQ54" s="23">
        <f>EXP(-LN(2)/25)*BQ53+(1-EXP(-LN(2)/25))/(LN(2)/25)*Calculateur!BL54*Calculateur!BN54*VLOOKUP('Données projet'!$B$11,Paramètres!$A$1:$I$89,3,0)*0.475*44/12</f>
        <v>18.349062392626003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54.760192755518062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159.58799999999999</v>
      </c>
      <c r="CA54" s="14">
        <f t="shared" si="39"/>
        <v>40.74957371668588</v>
      </c>
      <c r="CB54" s="22">
        <f t="shared" si="10"/>
        <v>348.92127422322784</v>
      </c>
      <c r="CC54" s="62">
        <f t="shared" si="11"/>
        <v>642.25460755656115</v>
      </c>
      <c r="CD54" s="62">
        <f ca="1">AVERAGE(OFFSET($CC$3,0,0,'Données projet'!$E$12+1,1))-AVERAGE(OFFSET($H$3,0,0,'Données projet'!$E$12+1,1))</f>
        <v>394.59880827600006</v>
      </c>
      <c r="CE54" s="62">
        <f t="shared" si="40"/>
        <v>244.45149244446094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21.077343747819572</v>
      </c>
      <c r="CL54" s="23">
        <f>EXP(-LN(2)/25)*CL53+(1-EXP(-LN(2)/25))/(LN(2)/25)*Calculateur!CG54*Calculateur!CI54*VLOOKUP('Données projet'!$B$12,Paramètres!$A$1:$I$89,3,0)*0.475*44/12</f>
        <v>12.034904406561198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33.112248154380772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206.55764999999991</v>
      </c>
      <c r="CV54" s="14">
        <f t="shared" si="41"/>
        <v>51.182623544814803</v>
      </c>
      <c r="CW54" s="22">
        <f t="shared" si="13"/>
        <v>448.89764309055226</v>
      </c>
      <c r="CX54" s="62">
        <f t="shared" si="14"/>
        <v>742.23097642388552</v>
      </c>
      <c r="CY54" s="62">
        <f ca="1">AVERAGE(OFFSET($CX$3,0,0,'Données projet'!$E$13+1,1))-AVERAGE(OFFSET($H$3,0,0,'Données projet'!$E$13+1,1))</f>
        <v>293.90975929253631</v>
      </c>
      <c r="CZ54" s="62">
        <f t="shared" si="42"/>
        <v>288.30197520356643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8.4672761844707836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8.4672761844707836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259.62499999999989</v>
      </c>
      <c r="DP54" s="18">
        <f>DO54*VLOOKUP('Données projet'!$B$14,Paramètres!$A$1:$I$89,3,0)*VLOOKUP('Données projet'!$B$14,Paramètres!$A$1:$I$89,5,0)</f>
        <v>202.50749999999991</v>
      </c>
      <c r="DQ54" s="14">
        <f t="shared" si="43"/>
        <v>50.294840086606349</v>
      </c>
      <c r="DR54" s="22">
        <f t="shared" si="16"/>
        <v>440.29740898417253</v>
      </c>
      <c r="DS54" s="62">
        <f t="shared" si="17"/>
        <v>733.63074231750579</v>
      </c>
      <c r="DT54" s="62">
        <f ca="1">AVERAGE(OFFSET($DS$3,0,0,'Données projet'!$E$14+1,1))-AVERAGE(OFFSET($H$3,0,0,'Données projet'!$E$14+1,1))</f>
        <v>288.82868507674738</v>
      </c>
      <c r="DU54" s="62">
        <f t="shared" si="44"/>
        <v>283.48738729114024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6.7349773572372102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6.7349773572372102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-5.6843418860808015E-14</v>
      </c>
      <c r="EK54" s="18">
        <f>EJ54*VLOOKUP('Données projet'!$B$15,Paramètres!$A$1:$I$89,3,0)*VLOOKUP('Données projet'!$B$15,Paramètres!$A$1:$I$89,5,0)</f>
        <v>-5.1431925385259088E-14</v>
      </c>
      <c r="EL54" s="14" t="e">
        <f t="shared" si="45"/>
        <v>#NUM!</v>
      </c>
      <c r="EM54" s="22" t="e">
        <f t="shared" si="19"/>
        <v>#NUM!</v>
      </c>
      <c r="EN54" s="62" t="e">
        <f t="shared" si="20"/>
        <v>#NUM!</v>
      </c>
      <c r="EO54" s="62">
        <f ca="1">AVERAGE(OFFSET($EN$3,0,0,'Données projet'!$E$15+1,1))-AVERAGE(OFFSET($H$3,0,0,'Données projet'!$E$15+1,1))</f>
        <v>366.86025470473652</v>
      </c>
      <c r="EP54" s="62">
        <f t="shared" si="46"/>
        <v>513.80016421153414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6.9833940327007253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6.9833940327007253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371.7282125501186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19.330866673942516</v>
      </c>
      <c r="AA55" s="23">
        <f>EXP(-LN(2)/25)*AA54+(1-EXP(-LN(2)/25))/(LN(2)/25)*Calculateur!V55*Calculateur!X55*VLOOKUP('Données projet'!$B$9,Paramètres!$A$1:$I$89,3,0)*0.475*44/12</f>
        <v>10.950595808632068</v>
      </c>
      <c r="AB55" s="23">
        <f>EXP(-LN(2)/2)*AB54+(1-EXP(-LN(2)/2))/(LN(2)/2)*V55*Y55*VLOOKUP('Données projet'!$B$9,Paramètres!$A$1:$I$89,3,0)*0.475*44/12</f>
        <v>0</v>
      </c>
      <c r="AC55" s="24">
        <f t="shared" si="3"/>
        <v>30.281462482574582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145.73520000000002</v>
      </c>
      <c r="AK55" s="14">
        <f t="shared" si="35"/>
        <v>37.607773527116258</v>
      </c>
      <c r="AL55" s="22">
        <f t="shared" si="4"/>
        <v>319.32234555972747</v>
      </c>
      <c r="AM55" s="62">
        <f t="shared" si="5"/>
        <v>612.65567889306078</v>
      </c>
      <c r="AN55" s="62">
        <f ca="1">AVERAGE(OFFSET($AM$3,0,0,'Données projet'!$E$10+1,1))-AVERAGE(OFFSET($H$3,0,0,'Données projet'!$E$10+1,1))</f>
        <v>348.82438445524105</v>
      </c>
      <c r="AO55" s="62">
        <f t="shared" si="36"/>
        <v>218.26721063098552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17.99770345504993</v>
      </c>
      <c r="AV55" s="23">
        <f>EXP(-LN(2)/25)*AV54+(1-EXP(-LN(2)/25))/(LN(2)/25)*Calculateur!AQ55*Calculateur!AS55*VLOOKUP('Données projet'!$B$10,Paramètres!$A$1:$I$89,3,0)*0.475*44/12</f>
        <v>10.195382304588483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28.193085759638414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12.25</v>
      </c>
      <c r="BD55" s="13">
        <f>IF('Données projet'!$A$88&gt;35,BD54+BC55-BL54,IF(A55&lt;'Données projet'!$A$88,$BA$205^A55,IF(A55='Données projet'!$A$88,'Données projet'!$B$88,BD54+BC55-BL54)))</f>
        <v>298.49999999999994</v>
      </c>
      <c r="BE55" s="14">
        <f>BD55*VLOOKUP('Données projet'!$B$11,Paramètres!$A$1:$I$89,3,0)*VLOOKUP('Données projet'!$B$11,Paramètres!$A$1:$I$89,5,0)</f>
        <v>170.74199999999996</v>
      </c>
      <c r="BF55" s="14">
        <f t="shared" si="37"/>
        <v>43.256164755747903</v>
      </c>
      <c r="BG55" s="22">
        <f t="shared" si="7"/>
        <v>372.71347028292752</v>
      </c>
      <c r="BH55" s="62">
        <f t="shared" si="8"/>
        <v>666.04680361626083</v>
      </c>
      <c r="BI55" s="62">
        <f ca="1">AVERAGE(OFFSET($BH$3,0,0,'Données projet'!$E$11+1,1))-AVERAGE(OFFSET($H$3,0,0,'Données projet'!$E$11+1,1))</f>
        <v>309.71642374647882</v>
      </c>
      <c r="BJ55" s="62">
        <f t="shared" si="38"/>
        <v>266.63880397664315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35.697130305072349</v>
      </c>
      <c r="BQ55" s="23">
        <f>EXP(-LN(2)/25)*BQ54+(1-EXP(-LN(2)/25))/(LN(2)/25)*Calculateur!BL55*Calculateur!BN55*VLOOKUP('Données projet'!$B$11,Paramètres!$A$1:$I$89,3,0)*0.475*44/12</f>
        <v>17.847306316564392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53.544436621636741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167.32560000000001</v>
      </c>
      <c r="CA55" s="14">
        <f t="shared" si="39"/>
        <v>42.490495297127609</v>
      </c>
      <c r="CB55" s="22">
        <f t="shared" si="10"/>
        <v>365.42969930916388</v>
      </c>
      <c r="CC55" s="62">
        <f t="shared" si="11"/>
        <v>658.76303264249714</v>
      </c>
      <c r="CD55" s="62">
        <f ca="1">AVERAGE(OFFSET($CC$3,0,0,'Données projet'!$E$12+1,1))-AVERAGE(OFFSET($H$3,0,0,'Données projet'!$E$12+1,1))</f>
        <v>394.59880827600006</v>
      </c>
      <c r="CE55" s="62">
        <f t="shared" si="40"/>
        <v>244.45149244446094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20.664029892835099</v>
      </c>
      <c r="CL55" s="23">
        <f>EXP(-LN(2)/25)*CL54+(1-EXP(-LN(2)/25))/(LN(2)/25)*Calculateur!CG55*Calculateur!CI55*VLOOKUP('Données projet'!$B$12,Paramètres!$A$1:$I$89,3,0)*0.475*44/12</f>
        <v>11.705809312675665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32.369839205510765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214.8119999999999</v>
      </c>
      <c r="CV55" s="14">
        <f t="shared" si="41"/>
        <v>52.985738231738054</v>
      </c>
      <c r="CW55" s="22">
        <f t="shared" si="13"/>
        <v>466.41439408694367</v>
      </c>
      <c r="CX55" s="62">
        <f t="shared" si="14"/>
        <v>759.74772742027699</v>
      </c>
      <c r="CY55" s="62">
        <f ca="1">AVERAGE(OFFSET($CX$3,0,0,'Données projet'!$E$13+1,1))-AVERAGE(OFFSET($H$3,0,0,'Données projet'!$E$13+1,1))</f>
        <v>293.90975929253631</v>
      </c>
      <c r="CZ55" s="62">
        <f t="shared" si="42"/>
        <v>288.30197520356643</v>
      </c>
      <c r="DA55" s="16">
        <f>IF(ISNA(VLOOKUP(A55,'Données projet'!$A$139:$I$159,3,0)),0,VLOOKUP(A55,'Données projet'!$A$139:$I$159,3,0))</f>
        <v>7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8.3012380630218292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8.3012380630218292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269.99999999999989</v>
      </c>
      <c r="DP55" s="18">
        <f>DO55*VLOOKUP('Données projet'!$B$14,Paramètres!$A$1:$I$89,3,0)*VLOOKUP('Données projet'!$B$14,Paramètres!$A$1:$I$89,5,0)</f>
        <v>210.59999999999991</v>
      </c>
      <c r="DQ55" s="14">
        <f t="shared" si="43"/>
        <v>52.066679014659961</v>
      </c>
      <c r="DR55" s="22">
        <f t="shared" si="16"/>
        <v>457.47779928386586</v>
      </c>
      <c r="DS55" s="62">
        <f t="shared" si="17"/>
        <v>750.81113261719918</v>
      </c>
      <c r="DT55" s="62">
        <f ca="1">AVERAGE(OFFSET($DS$3,0,0,'Données projet'!$E$14+1,1))-AVERAGE(OFFSET($H$3,0,0,'Données projet'!$E$14+1,1))</f>
        <v>288.82868507674738</v>
      </c>
      <c r="DU55" s="62">
        <f t="shared" si="44"/>
        <v>283.48738729114024</v>
      </c>
      <c r="DV55" s="16">
        <f>IF(ISNA(VLOOKUP(A55,'Données projet'!$A$165:$I$185,3,0)),0,VLOOKUP(A55,'Données projet'!$A$165:$I$185,3,0))</f>
        <v>7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6.6029085591923522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6.6029085591923522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-5.6843418860808015E-14</v>
      </c>
      <c r="EK55" s="18">
        <f>EJ55*VLOOKUP('Données projet'!$B$15,Paramètres!$A$1:$I$89,3,0)*VLOOKUP('Données projet'!$B$15,Paramètres!$A$1:$I$89,5,0)</f>
        <v>-5.1431925385259088E-14</v>
      </c>
      <c r="EL55" s="14" t="e">
        <f t="shared" si="45"/>
        <v>#NUM!</v>
      </c>
      <c r="EM55" s="22" t="e">
        <f t="shared" si="19"/>
        <v>#NUM!</v>
      </c>
      <c r="EN55" s="62" t="e">
        <f t="shared" si="20"/>
        <v>#NUM!</v>
      </c>
      <c r="EO55" s="62">
        <f ca="1">AVERAGE(OFFSET($EN$3,0,0,'Données projet'!$E$15+1,1))-AVERAGE(OFFSET($H$3,0,0,'Données projet'!$E$15+1,1))</f>
        <v>366.86025470473652</v>
      </c>
      <c r="EP55" s="62">
        <f t="shared" si="46"/>
        <v>513.80016421153414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6.8464539351692384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6.8464539351692384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371.7282125501186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18.951800169130944</v>
      </c>
      <c r="AA56" s="23">
        <f>EXP(-LN(2)/25)*AA55+(1-EXP(-LN(2)/25))/(LN(2)/25)*Calculateur!V56*Calculateur!X56*VLOOKUP('Données projet'!$B$9,Paramètres!$A$1:$I$89,3,0)*0.475*44/12</f>
        <v>10.651151190378219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29.602951359509163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152.47440000000003</v>
      </c>
      <c r="AK56" s="14">
        <f t="shared" si="35"/>
        <v>39.140365323908171</v>
      </c>
      <c r="AL56" s="22">
        <f t="shared" si="4"/>
        <v>333.72904960580678</v>
      </c>
      <c r="AM56" s="62">
        <f t="shared" si="5"/>
        <v>627.06238293914009</v>
      </c>
      <c r="AN56" s="62">
        <f ca="1">AVERAGE(OFFSET($AM$3,0,0,'Données projet'!$E$10+1,1))-AVERAGE(OFFSET($H$3,0,0,'Données projet'!$E$10+1,1))</f>
        <v>348.82438445524105</v>
      </c>
      <c r="AO56" s="62">
        <f t="shared" si="36"/>
        <v>218.26721063098552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17.644779467811567</v>
      </c>
      <c r="AV56" s="23">
        <f>EXP(-LN(2)/25)*AV55+(1-EXP(-LN(2)/25))/(LN(2)/25)*Calculateur!AQ56*Calculateur!AS56*VLOOKUP('Données projet'!$B$10,Paramètres!$A$1:$I$89,3,0)*0.475*44/12</f>
        <v>9.9165890393176568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27.561368507129224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12.25</v>
      </c>
      <c r="BD56" s="13">
        <f>IF('Données projet'!$A$88&gt;35,BD55+BC56-BL55,IF(A56&lt;'Données projet'!$A$88,$BA$205^A56,IF(A56='Données projet'!$A$88,'Données projet'!$B$88,BD55+BC56-BL55)))</f>
        <v>310.74999999999994</v>
      </c>
      <c r="BE56" s="14">
        <f>BD56*VLOOKUP('Données projet'!$B$11,Paramètres!$A$1:$I$89,3,0)*VLOOKUP('Données projet'!$B$11,Paramètres!$A$1:$I$89,5,0)</f>
        <v>177.749</v>
      </c>
      <c r="BF56" s="14">
        <f t="shared" si="37"/>
        <v>44.821013932875545</v>
      </c>
      <c r="BG56" s="22">
        <f t="shared" si="7"/>
        <v>387.64277426642496</v>
      </c>
      <c r="BH56" s="62">
        <f t="shared" si="8"/>
        <v>680.97610759975828</v>
      </c>
      <c r="BI56" s="62">
        <f ca="1">AVERAGE(OFFSET($BH$3,0,0,'Données projet'!$E$11+1,1))-AVERAGE(OFFSET($H$3,0,0,'Données projet'!$E$11+1,1))</f>
        <v>309.71642374647882</v>
      </c>
      <c r="BJ56" s="62">
        <f t="shared" si="38"/>
        <v>266.63880397664315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34.997131352889454</v>
      </c>
      <c r="BQ56" s="23">
        <f>EXP(-LN(2)/25)*BQ55+(1-EXP(-LN(2)/25))/(LN(2)/25)*Calculateur!BL56*Calculateur!BN56*VLOOKUP('Données projet'!$B$11,Paramètres!$A$1:$I$89,3,0)*0.475*44/12</f>
        <v>17.35927078678889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52.356402139678345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175.06319999999999</v>
      </c>
      <c r="CA56" s="14">
        <f t="shared" si="39"/>
        <v>44.22206774682472</v>
      </c>
      <c r="CB56" s="22">
        <f t="shared" si="10"/>
        <v>381.9218413257197</v>
      </c>
      <c r="CC56" s="62">
        <f t="shared" si="11"/>
        <v>675.25517465905295</v>
      </c>
      <c r="CD56" s="62">
        <f ca="1">AVERAGE(OFFSET($CC$3,0,0,'Données projet'!$E$12+1,1))-AVERAGE(OFFSET($H$3,0,0,'Données projet'!$E$12+1,1))</f>
        <v>394.59880827600006</v>
      </c>
      <c r="CE56" s="62">
        <f t="shared" si="40"/>
        <v>244.45149244446094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20.258820870450315</v>
      </c>
      <c r="CL56" s="23">
        <f>EXP(-LN(2)/25)*CL55+(1-EXP(-LN(2)/25))/(LN(2)/25)*Calculateur!CG56*Calculateur!CI56*VLOOKUP('Données projet'!$B$12,Paramètres!$A$1:$I$89,3,0)*0.475*44/12</f>
        <v>11.385713341438791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31.644534211889106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184.08194999999992</v>
      </c>
      <c r="CV56" s="14">
        <f t="shared" si="41"/>
        <v>46.229156216087937</v>
      </c>
      <c r="CW56" s="22">
        <f t="shared" si="13"/>
        <v>401.1251766596863</v>
      </c>
      <c r="CX56" s="62">
        <f t="shared" si="14"/>
        <v>694.45850999301956</v>
      </c>
      <c r="CY56" s="62">
        <f ca="1">AVERAGE(OFFSET($CX$3,0,0,'Données projet'!$E$13+1,1))-AVERAGE(OFFSET($H$3,0,0,'Données projet'!$E$13+1,1))</f>
        <v>293.90975929253631</v>
      </c>
      <c r="CZ56" s="62">
        <f t="shared" si="42"/>
        <v>288.30197520356643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8.1384558478612341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8.1384558478612341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231.37499999999989</v>
      </c>
      <c r="DP56" s="18">
        <f>DO56*VLOOKUP('Données projet'!$B$14,Paramètres!$A$1:$I$89,3,0)*VLOOKUP('Données projet'!$B$14,Paramètres!$A$1:$I$89,5,0)</f>
        <v>180.47249999999991</v>
      </c>
      <c r="DQ56" s="14">
        <f t="shared" si="43"/>
        <v>45.427292666837829</v>
      </c>
      <c r="DR56" s="22">
        <f t="shared" si="16"/>
        <v>393.44213889474241</v>
      </c>
      <c r="DS56" s="62">
        <f t="shared" si="17"/>
        <v>686.77547222807573</v>
      </c>
      <c r="DT56" s="62">
        <f ca="1">AVERAGE(OFFSET($DS$3,0,0,'Données projet'!$E$14+1,1))-AVERAGE(OFFSET($H$3,0,0,'Données projet'!$E$14+1,1))</f>
        <v>288.82868507674738</v>
      </c>
      <c r="DU56" s="62">
        <f t="shared" si="44"/>
        <v>283.48738729114024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6.4734295497231411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6.4734295497231411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-5.6843418860808015E-14</v>
      </c>
      <c r="EK56" s="18">
        <f>EJ56*VLOOKUP('Données projet'!$B$15,Paramètres!$A$1:$I$89,3,0)*VLOOKUP('Données projet'!$B$15,Paramètres!$A$1:$I$89,5,0)</f>
        <v>-5.1431925385259088E-14</v>
      </c>
      <c r="EL56" s="14" t="e">
        <f t="shared" si="45"/>
        <v>#NUM!</v>
      </c>
      <c r="EM56" s="22" t="e">
        <f t="shared" si="19"/>
        <v>#NUM!</v>
      </c>
      <c r="EN56" s="62" t="e">
        <f t="shared" si="20"/>
        <v>#NUM!</v>
      </c>
      <c r="EO56" s="62">
        <f ca="1">AVERAGE(OFFSET($EN$3,0,0,'Données projet'!$E$15+1,1))-AVERAGE(OFFSET($H$3,0,0,'Données projet'!$E$15+1,1))</f>
        <v>366.86025470473652</v>
      </c>
      <c r="EP56" s="62">
        <f t="shared" si="46"/>
        <v>513.80016421153414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6.7121991494251318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6.7121991494251318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371.7282125501186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18.580166927270987</v>
      </c>
      <c r="AA57" s="23">
        <f>EXP(-LN(2)/25)*AA56+(1-EXP(-LN(2)/25))/(LN(2)/25)*Calculateur!V57*Calculateur!X57*VLOOKUP('Données projet'!$B$9,Paramètres!$A$1:$I$89,3,0)*0.475*44/12</f>
        <v>10.359894900957629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28.940061828228615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159.21360000000001</v>
      </c>
      <c r="AK57" s="14">
        <f t="shared" si="35"/>
        <v>40.665089859977108</v>
      </c>
      <c r="AL57" s="22">
        <f t="shared" si="4"/>
        <v>348.12205150612681</v>
      </c>
      <c r="AM57" s="62">
        <f t="shared" si="5"/>
        <v>641.45538483946007</v>
      </c>
      <c r="AN57" s="62">
        <f ca="1">AVERAGE(OFFSET($AM$3,0,0,'Données projet'!$E$10+1,1))-AVERAGE(OFFSET($H$3,0,0,'Données projet'!$E$10+1,1))</f>
        <v>348.82438445524105</v>
      </c>
      <c r="AO57" s="62">
        <f t="shared" si="36"/>
        <v>218.26721063098552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17.298776104700572</v>
      </c>
      <c r="AV57" s="23">
        <f>EXP(-LN(2)/25)*AV56+(1-EXP(-LN(2)/25))/(LN(2)/25)*Calculateur!AQ57*Calculateur!AS57*VLOOKUP('Données projet'!$B$10,Paramètres!$A$1:$I$89,3,0)*0.475*44/12</f>
        <v>9.6454193905467633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26.944195495247335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12.25</v>
      </c>
      <c r="BD57" s="13">
        <f>IF('Données projet'!$A$88&gt;35,BD56+BC57-BL56,IF(A57&lt;'Données projet'!$A$88,$BA$205^A57,IF(A57='Données projet'!$A$88,'Données projet'!$B$88,BD56+BC57-BL56)))</f>
        <v>322.99999999999994</v>
      </c>
      <c r="BE57" s="14">
        <f>BD57*VLOOKUP('Données projet'!$B$11,Paramètres!$A$1:$I$89,3,0)*VLOOKUP('Données projet'!$B$11,Paramètres!$A$1:$I$89,5,0)</f>
        <v>184.75599999999997</v>
      </c>
      <c r="BF57" s="14">
        <f t="shared" si="37"/>
        <v>46.378697169162017</v>
      </c>
      <c r="BG57" s="22">
        <f t="shared" si="7"/>
        <v>402.5595975696238</v>
      </c>
      <c r="BH57" s="62">
        <f t="shared" si="8"/>
        <v>695.89293090295712</v>
      </c>
      <c r="BI57" s="62">
        <f ca="1">AVERAGE(OFFSET($BH$3,0,0,'Données projet'!$E$11+1,1))-AVERAGE(OFFSET($H$3,0,0,'Données projet'!$E$11+1,1))</f>
        <v>309.71642374647882</v>
      </c>
      <c r="BJ57" s="62">
        <f t="shared" si="38"/>
        <v>266.63880397664315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34.310858953201659</v>
      </c>
      <c r="BQ57" s="23">
        <f>EXP(-LN(2)/25)*BQ56+(1-EXP(-LN(2)/25))/(LN(2)/25)*Calculateur!BL57*Calculateur!BN57*VLOOKUP('Données projet'!$B$11,Paramètres!$A$1:$I$89,3,0)*0.475*44/12</f>
        <v>16.884580614239773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51.195439567441433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182.80079999999998</v>
      </c>
      <c r="CA57" s="14">
        <f t="shared" si="39"/>
        <v>45.944751507471658</v>
      </c>
      <c r="CB57" s="22">
        <f t="shared" si="10"/>
        <v>398.39850220884642</v>
      </c>
      <c r="CC57" s="62">
        <f t="shared" si="11"/>
        <v>691.73183554217974</v>
      </c>
      <c r="CD57" s="62">
        <f ca="1">AVERAGE(OFFSET($CC$3,0,0,'Données projet'!$E$12+1,1))-AVERAGE(OFFSET($H$3,0,0,'Données projet'!$E$12+1,1))</f>
        <v>394.59880827600006</v>
      </c>
      <c r="CE57" s="62">
        <f t="shared" si="40"/>
        <v>244.45149244446094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19.861557749841396</v>
      </c>
      <c r="CL57" s="23">
        <f>EXP(-LN(2)/25)*CL56+(1-EXP(-LN(2)/25))/(LN(2)/25)*Calculateur!CG57*Calculateur!CI57*VLOOKUP('Données projet'!$B$12,Paramètres!$A$1:$I$89,3,0)*0.475*44/12</f>
        <v>11.074370411368506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30.935928161209901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191.54069999999993</v>
      </c>
      <c r="CV57" s="14">
        <f t="shared" si="41"/>
        <v>47.880419473359183</v>
      </c>
      <c r="CW57" s="22">
        <f t="shared" si="13"/>
        <v>416.99178308276709</v>
      </c>
      <c r="CX57" s="62">
        <f t="shared" si="14"/>
        <v>710.3251164161004</v>
      </c>
      <c r="CY57" s="62">
        <f ca="1">AVERAGE(OFFSET($CX$3,0,0,'Données projet'!$E$13+1,1))-AVERAGE(OFFSET($H$3,0,0,'Données projet'!$E$13+1,1))</f>
        <v>293.90975929253631</v>
      </c>
      <c r="CZ57" s="62">
        <f t="shared" si="42"/>
        <v>288.30197520356643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7.9788656926525912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7.9788656926525912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240.74999999999989</v>
      </c>
      <c r="DP57" s="18">
        <f>DO57*VLOOKUP('Données projet'!$B$14,Paramètres!$A$1:$I$89,3,0)*VLOOKUP('Données projet'!$B$14,Paramètres!$A$1:$I$89,5,0)</f>
        <v>187.78499999999991</v>
      </c>
      <c r="DQ57" s="14">
        <f t="shared" si="43"/>
        <v>47.049914090154054</v>
      </c>
      <c r="DR57" s="22">
        <f t="shared" si="16"/>
        <v>409.0041420403515</v>
      </c>
      <c r="DS57" s="62">
        <f t="shared" si="17"/>
        <v>702.33747537368481</v>
      </c>
      <c r="DT57" s="62">
        <f ca="1">AVERAGE(OFFSET($DS$3,0,0,'Données projet'!$E$14+1,1))-AVERAGE(OFFSET($H$3,0,0,'Données projet'!$E$14+1,1))</f>
        <v>288.82868507674738</v>
      </c>
      <c r="DU57" s="62">
        <f t="shared" si="44"/>
        <v>283.48738729114024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6.3464895446552232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6.3464895446552232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-5.6843418860808015E-14</v>
      </c>
      <c r="EK57" s="18">
        <f>EJ57*VLOOKUP('Données projet'!$B$15,Paramètres!$A$1:$I$89,3,0)*VLOOKUP('Données projet'!$B$15,Paramètres!$A$1:$I$89,5,0)</f>
        <v>-5.1431925385259088E-14</v>
      </c>
      <c r="EL57" s="14" t="e">
        <f t="shared" si="45"/>
        <v>#NUM!</v>
      </c>
      <c r="EM57" s="22" t="e">
        <f t="shared" si="19"/>
        <v>#NUM!</v>
      </c>
      <c r="EN57" s="62" t="e">
        <f t="shared" si="20"/>
        <v>#NUM!</v>
      </c>
      <c r="EO57" s="62">
        <f ca="1">AVERAGE(OFFSET($EN$3,0,0,'Données projet'!$E$15+1,1))-AVERAGE(OFFSET($H$3,0,0,'Données projet'!$E$15+1,1))</f>
        <v>366.86025470473652</v>
      </c>
      <c r="EP57" s="62">
        <f t="shared" si="46"/>
        <v>513.80016421153414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6.5805770181421339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6.5805770181421339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371.7282125501186</v>
      </c>
      <c r="T58" s="62">
        <f t="shared" si="34"/>
        <v>231.36959598460686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0.30099999999999999</v>
      </c>
      <c r="X58" s="17">
        <f>IF(ISNA(VLOOKUP(A58,'Données projet'!$A$35:$I$55,6,0)),0%,VLOOKUP(A58,'Données projet'!$A$35:$I$55,6,0)*VLOOKUP('Données projet'!$B$9,Paramètres!$A$1:$I$89,7,0))</f>
        <v>0.129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24.538272484426344</v>
      </c>
      <c r="AA58" s="23">
        <f>EXP(-LN(2)/25)*AA57+(1-EXP(-LN(2)/25))/(LN(2)/25)*Calculateur!V58*Calculateur!X58*VLOOKUP('Données projet'!$B$9,Paramètres!$A$1:$I$89,3,0)*0.475*44/12</f>
        <v>12.775556200665186</v>
      </c>
      <c r="AB58" s="23">
        <f>EXP(-LN(2)/2)*AB57+(1-EXP(-LN(2)/2))/(LN(2)/2)*V58*Y58*VLOOKUP('Données projet'!$B$9,Paramètres!$A$1:$I$89,3,0)*0.475*44/12</f>
        <v>0</v>
      </c>
      <c r="AC58" s="24">
        <f t="shared" si="3"/>
        <v>37.313828685091529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165.95280000000002</v>
      </c>
      <c r="AK58" s="14">
        <f t="shared" si="35"/>
        <v>42.182318214665827</v>
      </c>
      <c r="AL58" s="22">
        <f t="shared" si="4"/>
        <v>362.50199755720968</v>
      </c>
      <c r="AM58" s="62">
        <f t="shared" si="5"/>
        <v>655.83533089054299</v>
      </c>
      <c r="AN58" s="62">
        <f ca="1">AVERAGE(OFFSET($AM$3,0,0,'Données projet'!$E$10+1,1))-AVERAGE(OFFSET($H$3,0,0,'Données projet'!$E$10+1,1))</f>
        <v>348.82438445524105</v>
      </c>
      <c r="AO58" s="62">
        <f t="shared" si="36"/>
        <v>218.26721063098552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0.30099999999999999</v>
      </c>
      <c r="AS58" s="17">
        <f>IF(ISNA(VLOOKUP(A58,'Données projet'!$A$61:$I$81,6,0)),0%,VLOOKUP(A58,'Données projet'!$A$61:$I$81,6,0)*VLOOKUP('Données projet'!$B$10,Paramètres!$A$1:$I$89,7,0))</f>
        <v>0.129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22.845977830327971</v>
      </c>
      <c r="AV58" s="23">
        <f>EXP(-LN(2)/25)*AV57+(1-EXP(-LN(2)/25))/(LN(2)/25)*Calculateur!AQ58*Calculateur!AS58*VLOOKUP('Données projet'!$B$10,Paramètres!$A$1:$I$89,3,0)*0.475*44/12</f>
        <v>11.894483359240006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34.740461189567981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12.25</v>
      </c>
      <c r="BD58" s="13">
        <f>IF('Données projet'!$A$88&gt;35,BD57+BC58-BL57,IF(A58&lt;'Données projet'!$A$88,$BA$205^A58,IF(A58='Données projet'!$A$88,'Données projet'!$B$88,BD57+BC58-BL57)))</f>
        <v>335.24999999999994</v>
      </c>
      <c r="BE58" s="14">
        <f>BD58*VLOOKUP('Données projet'!$B$11,Paramètres!$A$1:$I$89,3,0)*VLOOKUP('Données projet'!$B$11,Paramètres!$A$1:$I$89,5,0)</f>
        <v>191.76299999999995</v>
      </c>
      <c r="BF58" s="14">
        <f t="shared" si="37"/>
        <v>47.929517351413239</v>
      </c>
      <c r="BG58" s="22">
        <f t="shared" si="7"/>
        <v>417.46446772037797</v>
      </c>
      <c r="BH58" s="62">
        <f t="shared" si="8"/>
        <v>710.79780105371128</v>
      </c>
      <c r="BI58" s="62">
        <f ca="1">AVERAGE(OFFSET($BH$3,0,0,'Données projet'!$E$11+1,1))-AVERAGE(OFFSET($H$3,0,0,'Données projet'!$E$11+1,1))</f>
        <v>309.71642374647882</v>
      </c>
      <c r="BJ58" s="62">
        <f t="shared" si="38"/>
        <v>266.63880397664315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33.638043936686913</v>
      </c>
      <c r="BQ58" s="23">
        <f>EXP(-LN(2)/25)*BQ57+(1-EXP(-LN(2)/25))/(LN(2)/25)*Calculateur!BL58*Calculateur!BN58*VLOOKUP('Données projet'!$B$11,Paramètres!$A$1:$I$89,3,0)*0.475*44/12</f>
        <v>16.422870869421882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50.060914806108798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190.5384</v>
      </c>
      <c r="CA58" s="14">
        <f t="shared" si="39"/>
        <v>47.658965836673829</v>
      </c>
      <c r="CB58" s="22">
        <f t="shared" si="10"/>
        <v>414.86041216554025</v>
      </c>
      <c r="CC58" s="62">
        <f t="shared" si="11"/>
        <v>708.19374549887357</v>
      </c>
      <c r="CD58" s="62">
        <f ca="1">AVERAGE(OFFSET($CC$3,0,0,'Données projet'!$E$12+1,1))-AVERAGE(OFFSET($H$3,0,0,'Données projet'!$E$12+1,1))</f>
        <v>394.59880827600006</v>
      </c>
      <c r="CE58" s="62">
        <f t="shared" si="40"/>
        <v>244.45149244446094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0.30099999999999999</v>
      </c>
      <c r="CI58" s="17">
        <f>IF(ISNA(VLOOKUP(A58,'Données projet'!$A$113:$I$133,6,0)),0%,VLOOKUP(A58,'Données projet'!$A$113:$I$133,6,0)*VLOOKUP('Données projet'!$B$12,Paramètres!$A$1:$I$89,7,0))</f>
        <v>0.129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26.230567138524705</v>
      </c>
      <c r="CL58" s="23">
        <f>EXP(-LN(2)/25)*CL57+(1-EXP(-LN(2)/25))/(LN(2)/25)*Calculateur!CG58*Calculateur!CI58*VLOOKUP('Données projet'!$B$12,Paramètres!$A$1:$I$89,3,0)*0.475*44/12</f>
        <v>13.656629042090376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39.887196180615078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198.99944999999991</v>
      </c>
      <c r="CV58" s="14">
        <f t="shared" si="41"/>
        <v>49.524212976151169</v>
      </c>
      <c r="CW58" s="22">
        <f t="shared" si="13"/>
        <v>432.84537968346314</v>
      </c>
      <c r="CX58" s="62">
        <f t="shared" si="14"/>
        <v>726.17871301679645</v>
      </c>
      <c r="CY58" s="62">
        <f ca="1">AVERAGE(OFFSET($CX$3,0,0,'Données projet'!$E$13+1,1))-AVERAGE(OFFSET($H$3,0,0,'Données projet'!$E$13+1,1))</f>
        <v>293.90975929253631</v>
      </c>
      <c r="CZ58" s="62">
        <f t="shared" si="42"/>
        <v>288.30197520356643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7.8224050030472068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7.8224050030472068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250.12499999999989</v>
      </c>
      <c r="DP58" s="18">
        <f>DO58*VLOOKUP('Données projet'!$B$14,Paramètres!$A$1:$I$89,3,0)*VLOOKUP('Données projet'!$B$14,Paramètres!$A$1:$I$89,5,0)</f>
        <v>195.09749999999991</v>
      </c>
      <c r="DQ58" s="14">
        <f t="shared" si="43"/>
        <v>48.66519532492579</v>
      </c>
      <c r="DR58" s="22">
        <f t="shared" si="16"/>
        <v>424.55336102424553</v>
      </c>
      <c r="DS58" s="62">
        <f t="shared" si="17"/>
        <v>717.88669435757879</v>
      </c>
      <c r="DT58" s="62">
        <f ca="1">AVERAGE(OFFSET($DS$3,0,0,'Données projet'!$E$14+1,1))-AVERAGE(OFFSET($H$3,0,0,'Données projet'!$E$14+1,1))</f>
        <v>288.82868507674738</v>
      </c>
      <c r="DU58" s="62">
        <f t="shared" si="44"/>
        <v>283.48738729114024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6.2220387556609289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6.2220387556609289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-5.6843418860808015E-14</v>
      </c>
      <c r="EK58" s="18">
        <f>EJ58*VLOOKUP('Données projet'!$B$15,Paramètres!$A$1:$I$89,3,0)*VLOOKUP('Données projet'!$B$15,Paramètres!$A$1:$I$89,5,0)</f>
        <v>-5.1431925385259088E-14</v>
      </c>
      <c r="EL58" s="14" t="e">
        <f t="shared" si="45"/>
        <v>#NUM!</v>
      </c>
      <c r="EM58" s="22" t="e">
        <f t="shared" si="19"/>
        <v>#NUM!</v>
      </c>
      <c r="EN58" s="62" t="e">
        <f t="shared" si="20"/>
        <v>#NUM!</v>
      </c>
      <c r="EO58" s="62">
        <f ca="1">AVERAGE(OFFSET($EN$3,0,0,'Données projet'!$E$15+1,1))-AVERAGE(OFFSET($H$3,0,0,'Données projet'!$E$15+1,1))</f>
        <v>366.86025470473652</v>
      </c>
      <c r="EP58" s="62">
        <f t="shared" si="46"/>
        <v>513.80016421153414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6.4515359165720225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6.4515359165720225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371.7282125501186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24.057091927875103</v>
      </c>
      <c r="AA59" s="23">
        <f>EXP(-LN(2)/25)*AA58+(1-EXP(-LN(2)/25))/(LN(2)/25)*Calculateur!V59*Calculateur!X59*VLOOKUP('Données projet'!$B$9,Paramètres!$A$1:$I$89,3,0)*0.475*44/12</f>
        <v>12.426207944520694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36.483299872395797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154.66464000000002</v>
      </c>
      <c r="AK59" s="14">
        <f t="shared" si="35"/>
        <v>39.636745068698936</v>
      </c>
      <c r="AL59" s="22">
        <f t="shared" si="4"/>
        <v>338.40824566131732</v>
      </c>
      <c r="AM59" s="62">
        <f t="shared" si="5"/>
        <v>631.74157899465058</v>
      </c>
      <c r="AN59" s="62">
        <f ca="1">AVERAGE(OFFSET($AM$3,0,0,'Données projet'!$E$10+1,1))-AVERAGE(OFFSET($H$3,0,0,'Données projet'!$E$10+1,1))</f>
        <v>348.82438445524105</v>
      </c>
      <c r="AO59" s="62">
        <f t="shared" si="36"/>
        <v>218.26721063098552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22.397982139745782</v>
      </c>
      <c r="AV59" s="23">
        <f>EXP(-LN(2)/25)*AV58+(1-EXP(-LN(2)/25))/(LN(2)/25)*Calculateur!AQ59*Calculateur!AS59*VLOOKUP('Données projet'!$B$10,Paramètres!$A$1:$I$89,3,0)*0.475*44/12</f>
        <v>11.569228086277894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33.967210226023674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12.25</v>
      </c>
      <c r="BD59" s="13">
        <f>IF('Données projet'!$A$88&gt;35,BD58+BC59-BL58,IF(A59&lt;'Données projet'!$A$88,$BA$205^A59,IF(A59='Données projet'!$A$88,'Données projet'!$B$88,BD58+BC59-BL58)))</f>
        <v>347.49999999999994</v>
      </c>
      <c r="BE59" s="14">
        <f>BD59*VLOOKUP('Données projet'!$B$11,Paramètres!$A$1:$I$89,3,0)*VLOOKUP('Données projet'!$B$11,Paramètres!$A$1:$I$89,5,0)</f>
        <v>198.76999999999998</v>
      </c>
      <c r="BF59" s="14">
        <f t="shared" si="37"/>
        <v>49.473753977140319</v>
      </c>
      <c r="BG59" s="22">
        <f t="shared" si="7"/>
        <v>432.35787151018599</v>
      </c>
      <c r="BH59" s="62">
        <f t="shared" si="8"/>
        <v>725.69120484351924</v>
      </c>
      <c r="BI59" s="62">
        <f ca="1">AVERAGE(OFFSET($BH$3,0,0,'Données projet'!$E$11+1,1))-AVERAGE(OFFSET($H$3,0,0,'Données projet'!$E$11+1,1))</f>
        <v>309.71642374647882</v>
      </c>
      <c r="BJ59" s="62">
        <f t="shared" si="38"/>
        <v>266.63880397664315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32.978422412269381</v>
      </c>
      <c r="BQ59" s="23">
        <f>EXP(-LN(2)/25)*BQ58+(1-EXP(-LN(2)/25))/(LN(2)/25)*Calculateur!BL59*Calculateur!BN59*VLOOKUP('Données projet'!$B$11,Paramètres!$A$1:$I$89,3,0)*0.475*44/12</f>
        <v>15.973786601856297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48.952209014125678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183.6</v>
      </c>
      <c r="BZ59" s="14">
        <f>BY59*VLOOKUP('Données projet'!$B$12,Paramètres!$A$1:$I$89,3,0)*VLOOKUP('Données projet'!$B$12,Paramètres!$A$1:$I$89,5,0)</f>
        <v>177.57792000000001</v>
      </c>
      <c r="CA59" s="14">
        <f t="shared" si="39"/>
        <v>44.782893853597976</v>
      </c>
      <c r="CB59" s="22">
        <f t="shared" si="10"/>
        <v>387.27841746168315</v>
      </c>
      <c r="CC59" s="62">
        <f t="shared" si="11"/>
        <v>680.61175079501641</v>
      </c>
      <c r="CD59" s="62">
        <f ca="1">AVERAGE(OFFSET($CC$3,0,0,'Données projet'!$E$12+1,1))-AVERAGE(OFFSET($H$3,0,0,'Données projet'!$E$12+1,1))</f>
        <v>394.59880827600006</v>
      </c>
      <c r="CE59" s="62">
        <f t="shared" si="40"/>
        <v>244.45149244446094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25.716201716004413</v>
      </c>
      <c r="CL59" s="23">
        <f>EXP(-LN(2)/25)*CL58+(1-EXP(-LN(2)/25))/(LN(2)/25)*Calculateur!CG59*Calculateur!CI59*VLOOKUP('Données projet'!$B$12,Paramètres!$A$1:$I$89,3,0)*0.475*44/12</f>
        <v>13.283187802763507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38.99938951876792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206.45819999999992</v>
      </c>
      <c r="CV59" s="14">
        <f t="shared" si="41"/>
        <v>51.160848757309516</v>
      </c>
      <c r="CW59" s="22">
        <f t="shared" si="13"/>
        <v>448.68650991898056</v>
      </c>
      <c r="CX59" s="62">
        <f t="shared" si="14"/>
        <v>742.01984325231388</v>
      </c>
      <c r="CY59" s="62">
        <f ca="1">AVERAGE(OFFSET($CX$3,0,0,'Données projet'!$E$13+1,1))-AVERAGE(OFFSET($H$3,0,0,'Données projet'!$E$13+1,1))</f>
        <v>293.90975929253631</v>
      </c>
      <c r="CZ59" s="62">
        <f t="shared" si="42"/>
        <v>288.30197520356643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7.6690124121333865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7.6690124121333865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259.49999999999989</v>
      </c>
      <c r="DP59" s="18">
        <f>DO59*VLOOKUP('Données projet'!$B$14,Paramètres!$A$1:$I$89,3,0)*VLOOKUP('Données projet'!$B$14,Paramètres!$A$1:$I$89,5,0)</f>
        <v>202.40999999999991</v>
      </c>
      <c r="DQ59" s="14">
        <f t="shared" si="43"/>
        <v>50.273442991661817</v>
      </c>
      <c r="DR59" s="22">
        <f t="shared" si="16"/>
        <v>440.09032987714414</v>
      </c>
      <c r="DS59" s="62">
        <f t="shared" si="17"/>
        <v>733.42366321047746</v>
      </c>
      <c r="DT59" s="62">
        <f ca="1">AVERAGE(OFFSET($DS$3,0,0,'Données projet'!$E$14+1,1))-AVERAGE(OFFSET($H$3,0,0,'Données projet'!$E$14+1,1))</f>
        <v>288.82868507674738</v>
      </c>
      <c r="DU59" s="62">
        <f t="shared" si="44"/>
        <v>283.48738729114024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6.1000283707313274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6.1000283707313274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-5.6843418860808015E-14</v>
      </c>
      <c r="EK59" s="18">
        <f>EJ59*VLOOKUP('Données projet'!$B$15,Paramètres!$A$1:$I$89,3,0)*VLOOKUP('Données projet'!$B$15,Paramètres!$A$1:$I$89,5,0)</f>
        <v>-5.1431925385259088E-14</v>
      </c>
      <c r="EL59" s="14" t="e">
        <f t="shared" si="45"/>
        <v>#NUM!</v>
      </c>
      <c r="EM59" s="22" t="e">
        <f t="shared" si="19"/>
        <v>#NUM!</v>
      </c>
      <c r="EN59" s="62" t="e">
        <f t="shared" si="20"/>
        <v>#NUM!</v>
      </c>
      <c r="EO59" s="62">
        <f ca="1">AVERAGE(OFFSET($EN$3,0,0,'Données projet'!$E$15+1,1))-AVERAGE(OFFSET($H$3,0,0,'Données projet'!$E$15+1,1))</f>
        <v>366.86025470473652</v>
      </c>
      <c r="EP59" s="62">
        <f t="shared" si="46"/>
        <v>513.80016421153414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6.3250252322964009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6.3250252322964009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371.7282125501186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23.585347028546671</v>
      </c>
      <c r="AA60" s="23">
        <f>EXP(-LN(2)/25)*AA59+(1-EXP(-LN(2)/25))/(LN(2)/25)*Calculateur!V60*Calculateur!X60*VLOOKUP('Données projet'!$B$9,Paramètres!$A$1:$I$89,3,0)*0.475*44/12</f>
        <v>12.0864126348119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35.671759663358571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161.06688000000003</v>
      </c>
      <c r="AK60" s="14">
        <f t="shared" si="35"/>
        <v>41.083060013501324</v>
      </c>
      <c r="AL60" s="22">
        <f t="shared" si="4"/>
        <v>352.07781219018153</v>
      </c>
      <c r="AM60" s="62">
        <f t="shared" si="5"/>
        <v>645.41114552351485</v>
      </c>
      <c r="AN60" s="62">
        <f ca="1">AVERAGE(OFFSET($AM$3,0,0,'Données projet'!$E$10+1,1))-AVERAGE(OFFSET($H$3,0,0,'Données projet'!$E$10+1,1))</f>
        <v>348.82438445524105</v>
      </c>
      <c r="AO60" s="62">
        <f t="shared" si="36"/>
        <v>218.26721063098552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21.958771371405518</v>
      </c>
      <c r="AV60" s="23">
        <f>EXP(-LN(2)/25)*AV59+(1-EXP(-LN(2)/25))/(LN(2)/25)*Calculateur!AQ60*Calculateur!AS60*VLOOKUP('Données projet'!$B$10,Paramètres!$A$1:$I$89,3,0)*0.475*44/12</f>
        <v>11.252866935859362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33.211638307264877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12.25</v>
      </c>
      <c r="BD60" s="13">
        <f>IF('Données projet'!$A$88&gt;35,BD59+BC60-BL59,IF(A60&lt;'Données projet'!$A$88,$BA$205^A60,IF(A60='Données projet'!$A$88,'Données projet'!$B$88,BD59+BC60-BL59)))</f>
        <v>359.74999999999994</v>
      </c>
      <c r="BE60" s="14">
        <f>BD60*VLOOKUP('Données projet'!$B$11,Paramètres!$A$1:$I$89,3,0)*VLOOKUP('Données projet'!$B$11,Paramètres!$A$1:$I$89,5,0)</f>
        <v>205.77699999999996</v>
      </c>
      <c r="BF60" s="14">
        <f t="shared" si="37"/>
        <v>51.011665720992838</v>
      </c>
      <c r="BG60" s="22">
        <f t="shared" si="7"/>
        <v>447.24025946406249</v>
      </c>
      <c r="BH60" s="62">
        <f t="shared" si="8"/>
        <v>740.5735927973958</v>
      </c>
      <c r="BI60" s="62">
        <f ca="1">AVERAGE(OFFSET($BH$3,0,0,'Données projet'!$E$11+1,1))-AVERAGE(OFFSET($H$3,0,0,'Données projet'!$E$11+1,1))</f>
        <v>309.71642374647882</v>
      </c>
      <c r="BJ60" s="62">
        <f t="shared" si="38"/>
        <v>266.63880397664315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32.331735663616271</v>
      </c>
      <c r="BQ60" s="23">
        <f>EXP(-LN(2)/25)*BQ59+(1-EXP(-LN(2)/25))/(LN(2)/25)*Calculateur!BL60*Calculateur!BN60*VLOOKUP('Données projet'!$B$11,Paramètres!$A$1:$I$89,3,0)*0.475*44/12</f>
        <v>15.536982567203607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47.86871823081988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191.2</v>
      </c>
      <c r="BZ60" s="14">
        <f>BY60*VLOOKUP('Données projet'!$B$12,Paramètres!$A$1:$I$89,3,0)*VLOOKUP('Données projet'!$B$12,Paramètres!$A$1:$I$89,5,0)</f>
        <v>184.92864</v>
      </c>
      <c r="CA60" s="14">
        <f t="shared" si="39"/>
        <v>46.416987887800225</v>
      </c>
      <c r="CB60" s="22">
        <f t="shared" si="10"/>
        <v>402.92696857125202</v>
      </c>
      <c r="CC60" s="62">
        <f t="shared" si="11"/>
        <v>696.26030190458528</v>
      </c>
      <c r="CD60" s="62">
        <f ca="1">AVERAGE(OFFSET($CC$3,0,0,'Données projet'!$E$12+1,1))-AVERAGE(OFFSET($H$3,0,0,'Données projet'!$E$12+1,1))</f>
        <v>394.59880827600006</v>
      </c>
      <c r="CE60" s="62">
        <f t="shared" si="40"/>
        <v>244.45149244446094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25.211922685687814</v>
      </c>
      <c r="CL60" s="23">
        <f>EXP(-LN(2)/25)*CL59+(1-EXP(-LN(2)/25))/(LN(2)/25)*Calculateur!CG60*Calculateur!CI60*VLOOKUP('Données projet'!$B$12,Paramètres!$A$1:$I$89,3,0)*0.475*44/12</f>
        <v>12.919958333764452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38.131881019452265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213.91694999999993</v>
      </c>
      <c r="CV60" s="14">
        <f t="shared" si="41"/>
        <v>52.790615026081127</v>
      </c>
      <c r="CW60" s="22">
        <f t="shared" si="13"/>
        <v>464.51567575375776</v>
      </c>
      <c r="CX60" s="62">
        <f t="shared" si="14"/>
        <v>757.84900908709108</v>
      </c>
      <c r="CY60" s="62">
        <f ca="1">AVERAGE(OFFSET($CX$3,0,0,'Données projet'!$E$13+1,1))-AVERAGE(OFFSET($H$3,0,0,'Données projet'!$E$13+1,1))</f>
        <v>293.90975929253631</v>
      </c>
      <c r="CZ60" s="62">
        <f t="shared" si="42"/>
        <v>288.30197520356643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7.5186277563671444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7.5186277563671444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268.87499999999989</v>
      </c>
      <c r="DP60" s="18">
        <f>DO60*VLOOKUP('Données projet'!$B$14,Paramètres!$A$1:$I$89,3,0)*VLOOKUP('Données projet'!$B$14,Paramètres!$A$1:$I$89,5,0)</f>
        <v>209.72249999999991</v>
      </c>
      <c r="DQ60" s="14">
        <f t="shared" si="43"/>
        <v>51.874940300502246</v>
      </c>
      <c r="DR60" s="22">
        <f t="shared" si="16"/>
        <v>455.61554185670792</v>
      </c>
      <c r="DS60" s="62">
        <f t="shared" si="17"/>
        <v>748.94887519004124</v>
      </c>
      <c r="DT60" s="62">
        <f ca="1">AVERAGE(OFFSET($DS$3,0,0,'Données projet'!$E$14+1,1))-AVERAGE(OFFSET($H$3,0,0,'Données projet'!$E$14+1,1))</f>
        <v>288.82868507674738</v>
      </c>
      <c r="DU60" s="62">
        <f t="shared" si="44"/>
        <v>283.48738729114024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5.9804105350312087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5.9804105350312087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-5.6843418860808015E-14</v>
      </c>
      <c r="EK60" s="18">
        <f>EJ60*VLOOKUP('Données projet'!$B$15,Paramètres!$A$1:$I$89,3,0)*VLOOKUP('Données projet'!$B$15,Paramètres!$A$1:$I$89,5,0)</f>
        <v>-5.1431925385259088E-14</v>
      </c>
      <c r="EL60" s="14" t="e">
        <f t="shared" si="45"/>
        <v>#NUM!</v>
      </c>
      <c r="EM60" s="22" t="e">
        <f t="shared" si="19"/>
        <v>#NUM!</v>
      </c>
      <c r="EN60" s="62" t="e">
        <f t="shared" si="20"/>
        <v>#NUM!</v>
      </c>
      <c r="EO60" s="62">
        <f ca="1">AVERAGE(OFFSET($EN$3,0,0,'Données projet'!$E$15+1,1))-AVERAGE(OFFSET($H$3,0,0,'Données projet'!$E$15+1,1))</f>
        <v>366.86025470473652</v>
      </c>
      <c r="EP60" s="62">
        <f t="shared" si="46"/>
        <v>513.80016421153414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6.2009953453755253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6.2009953453755253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371.7282125501186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23.122852758958093</v>
      </c>
      <c r="AA61" s="23">
        <f>EXP(-LN(2)/25)*AA60+(1-EXP(-LN(2)/25))/(LN(2)/25)*Calculateur!V61*Calculateur!X61*VLOOKUP('Données projet'!$B$9,Paramètres!$A$1:$I$89,3,0)*0.475*44/12</f>
        <v>11.755909045716152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34.878761804674241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167.46912</v>
      </c>
      <c r="AK61" s="14">
        <f t="shared" si="35"/>
        <v>42.52269677930262</v>
      </c>
      <c r="AL61" s="22">
        <f t="shared" si="4"/>
        <v>365.73574755728538</v>
      </c>
      <c r="AM61" s="62">
        <f t="shared" si="5"/>
        <v>659.06908089061869</v>
      </c>
      <c r="AN61" s="62">
        <f ca="1">AVERAGE(OFFSET($AM$3,0,0,'Données projet'!$E$10+1,1))-AVERAGE(OFFSET($H$3,0,0,'Données projet'!$E$10+1,1))</f>
        <v>348.82438445524105</v>
      </c>
      <c r="AO61" s="62">
        <f t="shared" si="36"/>
        <v>218.26721063098552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21.528173258340292</v>
      </c>
      <c r="AV61" s="23">
        <f>EXP(-LN(2)/25)*AV60+(1-EXP(-LN(2)/25))/(LN(2)/25)*Calculateur!AQ61*Calculateur!AS61*VLOOKUP('Données projet'!$B$10,Paramètres!$A$1:$I$89,3,0)*0.475*44/12</f>
        <v>10.945156697735735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32.473329956076029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372</v>
      </c>
      <c r="BB61" s="13">
        <f>VLOOKUP(A61,'Données projet'!$A$87:$I$107,9,0)</f>
        <v>12.25</v>
      </c>
      <c r="BC61" s="13">
        <f t="array" ref="BC61">INDEX(BB:BB,MIN(IF(ISNUMBER(BB61:BB257),ROW(BB61:BB257),"")))</f>
        <v>12.25</v>
      </c>
      <c r="BD61" s="13">
        <f>IF('Données projet'!$A$88&gt;35,BD60+BC61-BL60,IF(A61&lt;'Données projet'!$A$88,$BA$205^A61,IF(A61='Données projet'!$A$88,'Données projet'!$B$88,BD60+BC61-BL60)))</f>
        <v>371.99999999999994</v>
      </c>
      <c r="BE61" s="14">
        <f>BD61*VLOOKUP('Données projet'!$B$11,Paramètres!$A$1:$I$89,3,0)*VLOOKUP('Données projet'!$B$11,Paramètres!$A$1:$I$89,5,0)</f>
        <v>212.78399999999999</v>
      </c>
      <c r="BF61" s="14">
        <f t="shared" si="37"/>
        <v>52.543492641808065</v>
      </c>
      <c r="BG61" s="22">
        <f t="shared" si="7"/>
        <v>462.11204968448237</v>
      </c>
      <c r="BH61" s="62">
        <f t="shared" si="8"/>
        <v>755.44538301781563</v>
      </c>
      <c r="BI61" s="62">
        <f ca="1">AVERAGE(OFFSET($BH$3,0,0,'Données projet'!$E$11+1,1))-AVERAGE(OFFSET($H$3,0,0,'Données projet'!$E$11+1,1))</f>
        <v>309.71642374647882</v>
      </c>
      <c r="BJ61" s="62">
        <f t="shared" si="38"/>
        <v>266.63880397664315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48</v>
      </c>
      <c r="BM61" s="17">
        <f>IF(ISNA(VLOOKUP(A61,'Données projet'!$A$87:$I$107,5,0)),0%,VLOOKUP(A61,'Données projet'!$A$87:$I$107,5,0)*VLOOKUP('Données projet'!$B$11,Paramètres!$A$1:$I$89,7,0))</f>
        <v>0.33750000000000002</v>
      </c>
      <c r="BN61" s="17">
        <f>IF(ISNA(VLOOKUP(A61,'Données projet'!$A$87:$I$107,6,0)),0%,VLOOKUP(A61,'Données projet'!$A$87:$I$107,6,0)*VLOOKUP('Données projet'!$B$11,Paramètres!$A$1:$I$89,7,0))</f>
        <v>0.1125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43.990206917549237</v>
      </c>
      <c r="BQ61" s="23">
        <f>EXP(-LN(2)/25)*BQ60+(1-EXP(-LN(2)/25))/(LN(2)/25)*Calculateur!BL61*Calculateur!BN61*VLOOKUP('Données projet'!$B$11,Paramètres!$A$1:$I$89,3,0)*0.475*44/12</f>
        <v>19.19348186339813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63.183688780947364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198.79999999999998</v>
      </c>
      <c r="BZ61" s="14">
        <f>BY61*VLOOKUP('Données projet'!$B$12,Paramètres!$A$1:$I$89,3,0)*VLOOKUP('Données projet'!$B$12,Paramètres!$A$1:$I$89,5,0)</f>
        <v>192.27936</v>
      </c>
      <c r="CA61" s="14">
        <f t="shared" si="39"/>
        <v>48.04353669645932</v>
      </c>
      <c r="CB61" s="22">
        <f t="shared" si="10"/>
        <v>418.56237841299998</v>
      </c>
      <c r="CC61" s="62">
        <f t="shared" si="11"/>
        <v>711.89571174633329</v>
      </c>
      <c r="CD61" s="62">
        <f ca="1">AVERAGE(OFFSET($CC$3,0,0,'Données projet'!$E$12+1,1))-AVERAGE(OFFSET($H$3,0,0,'Données projet'!$E$12+1,1))</f>
        <v>394.59880827600006</v>
      </c>
      <c r="CE61" s="62">
        <f t="shared" si="40"/>
        <v>244.45149244446094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24.717532259575886</v>
      </c>
      <c r="CL61" s="23">
        <f>EXP(-LN(2)/25)*CL60+(1-EXP(-LN(2)/25))/(LN(2)/25)*Calculateur!CG61*Calculateur!CI61*VLOOKUP('Données projet'!$B$12,Paramètres!$A$1:$I$89,3,0)*0.475*44/12</f>
        <v>12.566661393696583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37.284193653272467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221.37569999999991</v>
      </c>
      <c r="CV61" s="14">
        <f t="shared" si="41"/>
        <v>54.41377875371348</v>
      </c>
      <c r="CW61" s="22">
        <f t="shared" si="13"/>
        <v>480.33334216271754</v>
      </c>
      <c r="CX61" s="62">
        <f t="shared" si="14"/>
        <v>773.66667549605086</v>
      </c>
      <c r="CY61" s="62">
        <f ca="1">AVERAGE(OFFSET($CX$3,0,0,'Données projet'!$E$13+1,1))-AVERAGE(OFFSET($H$3,0,0,'Données projet'!$E$13+1,1))</f>
        <v>293.90975929253631</v>
      </c>
      <c r="CZ61" s="62">
        <f t="shared" si="42"/>
        <v>288.30197520356643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7.3711920519748952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7.3711920519748952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278.24999999999989</v>
      </c>
      <c r="DP61" s="18">
        <f>DO61*VLOOKUP('Données projet'!$B$14,Paramètres!$A$1:$I$89,3,0)*VLOOKUP('Données projet'!$B$14,Paramètres!$A$1:$I$89,5,0)</f>
        <v>217.03499999999991</v>
      </c>
      <c r="DQ61" s="14">
        <f t="shared" si="43"/>
        <v>53.469949591969474</v>
      </c>
      <c r="DR61" s="22">
        <f t="shared" si="16"/>
        <v>471.12945387267996</v>
      </c>
      <c r="DS61" s="62">
        <f t="shared" si="17"/>
        <v>764.46278720601322</v>
      </c>
      <c r="DT61" s="62">
        <f ca="1">AVERAGE(OFFSET($DS$3,0,0,'Données projet'!$E$14+1,1))-AVERAGE(OFFSET($H$3,0,0,'Données projet'!$E$14+1,1))</f>
        <v>288.82868507674738</v>
      </c>
      <c r="DU61" s="62">
        <f t="shared" si="44"/>
        <v>283.48738729114024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5.8631383321294939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5.8631383321294939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-5.6843418860808015E-14</v>
      </c>
      <c r="EK61" s="18">
        <f>EJ61*VLOOKUP('Données projet'!$B$15,Paramètres!$A$1:$I$89,3,0)*VLOOKUP('Données projet'!$B$15,Paramètres!$A$1:$I$89,5,0)</f>
        <v>-5.1431925385259088E-14</v>
      </c>
      <c r="EL61" s="14" t="e">
        <f t="shared" si="45"/>
        <v>#NUM!</v>
      </c>
      <c r="EM61" s="22" t="e">
        <f t="shared" si="19"/>
        <v>#NUM!</v>
      </c>
      <c r="EN61" s="62" t="e">
        <f t="shared" si="20"/>
        <v>#NUM!</v>
      </c>
      <c r="EO61" s="62">
        <f ca="1">AVERAGE(OFFSET($EN$3,0,0,'Données projet'!$E$15+1,1))-AVERAGE(OFFSET($H$3,0,0,'Données projet'!$E$15+1,1))</f>
        <v>366.86025470473652</v>
      </c>
      <c r="EP61" s="62">
        <f t="shared" si="46"/>
        <v>513.80016421153414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6.0793976088864072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6.0793976088864072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371.7282125501186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22.669427719902497</v>
      </c>
      <c r="AA62" s="23">
        <f>EXP(-LN(2)/25)*AA61+(1-EXP(-LN(2)/25))/(LN(2)/25)*Calculateur!V62*Calculateur!X62*VLOOKUP('Données projet'!$B$9,Paramètres!$A$1:$I$89,3,0)*0.475*44/12</f>
        <v>11.434443094644655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34.10387081454715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173.87135999999998</v>
      </c>
      <c r="AK62" s="14">
        <f t="shared" si="35"/>
        <v>43.955939893839961</v>
      </c>
      <c r="AL62" s="22">
        <f t="shared" si="4"/>
        <v>379.3825473151046</v>
      </c>
      <c r="AM62" s="62">
        <f t="shared" si="5"/>
        <v>672.71588064843786</v>
      </c>
      <c r="AN62" s="62">
        <f ca="1">AVERAGE(OFFSET($AM$3,0,0,'Données projet'!$E$10+1,1))-AVERAGE(OFFSET($H$3,0,0,'Données projet'!$E$10+1,1))</f>
        <v>348.82438445524105</v>
      </c>
      <c r="AO62" s="62">
        <f t="shared" si="36"/>
        <v>218.26721063098552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21.10601891163336</v>
      </c>
      <c r="AV62" s="23">
        <f>EXP(-LN(2)/25)*AV61+(1-EXP(-LN(2)/25))/(LN(2)/25)*Calculateur!AQ62*Calculateur!AS62*VLOOKUP('Données projet'!$B$10,Paramètres!$A$1:$I$89,3,0)*0.475*44/12</f>
        <v>10.645860812255377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31.751879723888734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11.375</v>
      </c>
      <c r="BD62" s="13">
        <f>IF('Données projet'!$A$88&gt;35,BD61+BC62-BL61,IF(A62&lt;'Données projet'!$A$88,$BA$205^A62,IF(A62='Données projet'!$A$88,'Données projet'!$B$88,BD61+BC62-BL61)))</f>
        <v>335.37499999999994</v>
      </c>
      <c r="BE62" s="14">
        <f>BD62*VLOOKUP('Données projet'!$B$11,Paramètres!$A$1:$I$89,3,0)*VLOOKUP('Données projet'!$B$11,Paramètres!$A$1:$I$89,5,0)</f>
        <v>191.83449999999996</v>
      </c>
      <c r="BF62" s="14">
        <f t="shared" si="37"/>
        <v>47.945307658140791</v>
      </c>
      <c r="BG62" s="22">
        <f t="shared" si="7"/>
        <v>417.61649833792848</v>
      </c>
      <c r="BH62" s="62">
        <f t="shared" si="8"/>
        <v>710.94983167126179</v>
      </c>
      <c r="BI62" s="62">
        <f ca="1">AVERAGE(OFFSET($BH$3,0,0,'Données projet'!$E$11+1,1))-AVERAGE(OFFSET($H$3,0,0,'Données projet'!$E$11+1,1))</f>
        <v>309.71642374647882</v>
      </c>
      <c r="BJ62" s="62">
        <f t="shared" si="38"/>
        <v>266.63880397664315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43.127585791272935</v>
      </c>
      <c r="BQ62" s="23">
        <f>EXP(-LN(2)/25)*BQ61+(1-EXP(-LN(2)/25))/(LN(2)/25)*Calculateur!BL62*Calculateur!BN62*VLOOKUP('Données projet'!$B$11,Paramètres!$A$1:$I$89,3,0)*0.475*44/12</f>
        <v>18.668635092502164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61.796220883775099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206.39999999999998</v>
      </c>
      <c r="BZ62" s="14">
        <f>BY62*VLOOKUP('Données projet'!$B$12,Paramètres!$A$1:$I$89,3,0)*VLOOKUP('Données projet'!$B$12,Paramètres!$A$1:$I$89,5,0)</f>
        <v>199.63007999999999</v>
      </c>
      <c r="CA62" s="14">
        <f t="shared" si="39"/>
        <v>49.662861748339331</v>
      </c>
      <c r="CB62" s="22">
        <f t="shared" si="10"/>
        <v>434.18520687835763</v>
      </c>
      <c r="CC62" s="62">
        <f t="shared" si="11"/>
        <v>727.51854021169095</v>
      </c>
      <c r="CD62" s="62">
        <f ca="1">AVERAGE(OFFSET($CC$3,0,0,'Données projet'!$E$12+1,1))-AVERAGE(OFFSET($H$3,0,0,'Données projet'!$E$12+1,1))</f>
        <v>394.59880827600006</v>
      </c>
      <c r="CE62" s="62">
        <f t="shared" si="40"/>
        <v>244.45149244446094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24.232836528171632</v>
      </c>
      <c r="CL62" s="23">
        <f>EXP(-LN(2)/25)*CL61+(1-EXP(-LN(2)/25))/(LN(2)/25)*Calculateur!CG62*Calculateur!CI62*VLOOKUP('Données projet'!$B$12,Paramètres!$A$1:$I$89,3,0)*0.475*44/12</f>
        <v>12.223025377033949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36.45586190520558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228.83444999999992</v>
      </c>
      <c r="CV62" s="14">
        <f t="shared" si="41"/>
        <v>56.030587900801024</v>
      </c>
      <c r="CW62" s="22">
        <f t="shared" si="13"/>
        <v>496.13994101056164</v>
      </c>
      <c r="CX62" s="62">
        <f t="shared" si="14"/>
        <v>789.4732743438949</v>
      </c>
      <c r="CY62" s="62">
        <f ca="1">AVERAGE(OFFSET($CX$3,0,0,'Données projet'!$E$13+1,1))-AVERAGE(OFFSET($H$3,0,0,'Données projet'!$E$13+1,1))</f>
        <v>293.90975929253631</v>
      </c>
      <c r="CZ62" s="62">
        <f t="shared" si="42"/>
        <v>288.30197520356643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7.226647471818878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7.226647471818878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287.62499999999989</v>
      </c>
      <c r="DP62" s="18">
        <f>DO62*VLOOKUP('Données projet'!$B$14,Paramètres!$A$1:$I$89,3,0)*VLOOKUP('Données projet'!$B$14,Paramètres!$A$1:$I$89,5,0)</f>
        <v>224.34749999999991</v>
      </c>
      <c r="DQ62" s="14">
        <f t="shared" si="43"/>
        <v>55.058714525680429</v>
      </c>
      <c r="DR62" s="22">
        <f t="shared" si="16"/>
        <v>486.63249029889329</v>
      </c>
      <c r="DS62" s="62">
        <f t="shared" si="17"/>
        <v>779.9658236322266</v>
      </c>
      <c r="DT62" s="62">
        <f ca="1">AVERAGE(OFFSET($DS$3,0,0,'Données projet'!$E$14+1,1))-AVERAGE(OFFSET($H$3,0,0,'Données projet'!$E$14+1,1))</f>
        <v>288.82868507674738</v>
      </c>
      <c r="DU62" s="62">
        <f t="shared" si="44"/>
        <v>283.48738729114024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5.7481657655977001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5.7481657655977001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-5.6843418860808015E-14</v>
      </c>
      <c r="EK62" s="18">
        <f>EJ62*VLOOKUP('Données projet'!$B$15,Paramètres!$A$1:$I$89,3,0)*VLOOKUP('Données projet'!$B$15,Paramètres!$A$1:$I$89,5,0)</f>
        <v>-5.1431925385259088E-14</v>
      </c>
      <c r="EL62" s="14" t="e">
        <f t="shared" si="45"/>
        <v>#NUM!</v>
      </c>
      <c r="EM62" s="22" t="e">
        <f t="shared" si="19"/>
        <v>#NUM!</v>
      </c>
      <c r="EN62" s="62" t="e">
        <f t="shared" si="20"/>
        <v>#NUM!</v>
      </c>
      <c r="EO62" s="62">
        <f ca="1">AVERAGE(OFFSET($EN$3,0,0,'Données projet'!$E$15+1,1))-AVERAGE(OFFSET($H$3,0,0,'Données projet'!$E$15+1,1))</f>
        <v>366.86025470473652</v>
      </c>
      <c r="EP62" s="62">
        <f t="shared" si="46"/>
        <v>513.80016421153414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5.9601843298425452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5.9601843298425452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371.7282125501186</v>
      </c>
      <c r="T63" s="62">
        <f t="shared" si="34"/>
        <v>231.36959598460686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0.32250000000000001</v>
      </c>
      <c r="X63" s="17">
        <f>IF(ISNA(VLOOKUP(A63,'Données projet'!$A$35:$I$55,6,0)),0%,VLOOKUP(A63,'Données projet'!$A$35:$I$55,6,0)*VLOOKUP('Données projet'!$B$9,Paramètres!$A$1:$I$89,7,0))</f>
        <v>0.1075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28.998949031246887</v>
      </c>
      <c r="AA63" s="23">
        <f>EXP(-LN(2)/25)*AA62+(1-EXP(-LN(2)/25))/(LN(2)/25)*Calculateur!V63*Calculateur!X63*VLOOKUP('Données projet'!$B$9,Paramètres!$A$1:$I$89,3,0)*0.475*44/12</f>
        <v>13.370895289058231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42.36984432030512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180.27359999999999</v>
      </c>
      <c r="AK63" s="14">
        <f t="shared" si="35"/>
        <v>45.383051743938047</v>
      </c>
      <c r="AL63" s="22">
        <f t="shared" si="4"/>
        <v>393.01866845402537</v>
      </c>
      <c r="AM63" s="62">
        <f t="shared" si="5"/>
        <v>686.35200178735863</v>
      </c>
      <c r="AN63" s="62">
        <f ca="1">AVERAGE(OFFSET($AM$3,0,0,'Données projet'!$E$10+1,1))-AVERAGE(OFFSET($H$3,0,0,'Données projet'!$E$10+1,1))</f>
        <v>348.82438445524105</v>
      </c>
      <c r="AO63" s="62">
        <f t="shared" si="36"/>
        <v>218.26721063098552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0.32250000000000001</v>
      </c>
      <c r="AS63" s="17">
        <f>IF(ISNA(VLOOKUP(A63,'Données projet'!$A$61:$I$81,6,0)),0%,VLOOKUP(A63,'Données projet'!$A$61:$I$81,6,0)*VLOOKUP('Données projet'!$B$10,Paramètres!$A$1:$I$89,7,0))</f>
        <v>0.1075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26.99902151185055</v>
      </c>
      <c r="AV63" s="23">
        <f>EXP(-LN(2)/25)*AV62+(1-EXP(-LN(2)/25))/(LN(2)/25)*Calculateur!AQ63*Calculateur!AS63*VLOOKUP('Données projet'!$B$10,Paramètres!$A$1:$I$89,3,0)*0.475*44/12</f>
        <v>12.448764579468019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39.447786091318569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11.375</v>
      </c>
      <c r="BD63" s="13">
        <f>IF('Données projet'!$A$88&gt;35,BD62+BC63-BL62,IF(A63&lt;'Données projet'!$A$88,$BA$205^A63,IF(A63='Données projet'!$A$88,'Données projet'!$B$88,BD62+BC63-BL62)))</f>
        <v>346.74999999999994</v>
      </c>
      <c r="BE63" s="14">
        <f>BD63*VLOOKUP('Données projet'!$B$11,Paramètres!$A$1:$I$89,3,0)*VLOOKUP('Données projet'!$B$11,Paramètres!$A$1:$I$89,5,0)</f>
        <v>198.34099999999995</v>
      </c>
      <c r="BF63" s="14">
        <f t="shared" si="37"/>
        <v>49.379393175979537</v>
      </c>
      <c r="BG63" s="22">
        <f t="shared" si="7"/>
        <v>431.44635144816431</v>
      </c>
      <c r="BH63" s="62">
        <f t="shared" si="8"/>
        <v>724.77968478149762</v>
      </c>
      <c r="BI63" s="62">
        <f ca="1">AVERAGE(OFFSET($BH$3,0,0,'Données projet'!$E$11+1,1))-AVERAGE(OFFSET($H$3,0,0,'Données projet'!$E$11+1,1))</f>
        <v>309.71642374647882</v>
      </c>
      <c r="BJ63" s="62">
        <f t="shared" si="38"/>
        <v>266.63880397664315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42.281880139135978</v>
      </c>
      <c r="BQ63" s="23">
        <f>EXP(-LN(2)/25)*BQ62+(1-EXP(-LN(2)/25))/(LN(2)/25)*Calculateur!BL63*Calculateur!BN63*VLOOKUP('Données projet'!$B$11,Paramètres!$A$1:$I$89,3,0)*0.475*44/12</f>
        <v>18.15814028415684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60.440020423292822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213.99999999999997</v>
      </c>
      <c r="BZ63" s="14">
        <f>BY63*VLOOKUP('Données projet'!$B$12,Paramètres!$A$1:$I$89,3,0)*VLOOKUP('Données projet'!$B$12,Paramètres!$A$1:$I$89,5,0)</f>
        <v>206.98079999999996</v>
      </c>
      <c r="CA63" s="14">
        <f t="shared" si="39"/>
        <v>51.275259496675787</v>
      </c>
      <c r="CB63" s="22">
        <f t="shared" si="10"/>
        <v>449.7959702900435</v>
      </c>
      <c r="CC63" s="62">
        <f t="shared" si="11"/>
        <v>743.12930362337681</v>
      </c>
      <c r="CD63" s="62">
        <f ca="1">AVERAGE(OFFSET($CC$3,0,0,'Données projet'!$E$12+1,1))-AVERAGE(OFFSET($H$3,0,0,'Données projet'!$E$12+1,1))</f>
        <v>394.59880827600006</v>
      </c>
      <c r="CE63" s="62">
        <f t="shared" si="40"/>
        <v>244.45149244446094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0.32250000000000001</v>
      </c>
      <c r="CI63" s="17">
        <f>IF(ISNA(VLOOKUP(A63,'Données projet'!$A$113:$I$133,6,0)),0%,VLOOKUP(A63,'Données projet'!$A$113:$I$133,6,0)*VLOOKUP('Données projet'!$B$12,Paramètres!$A$1:$I$89,7,0))</f>
        <v>0.1075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30.998876550643221</v>
      </c>
      <c r="CL63" s="23">
        <f>EXP(-LN(2)/25)*CL62+(1-EXP(-LN(2)/25))/(LN(2)/25)*Calculateur!CG63*Calculateur!CI63*VLOOKUP('Données projet'!$B$12,Paramètres!$A$1:$I$89,3,0)*0.475*44/12</f>
        <v>14.293025998648462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45.291902549291684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236.29319999999993</v>
      </c>
      <c r="CV63" s="14">
        <f t="shared" si="41"/>
        <v>57.641273346077114</v>
      </c>
      <c r="CW63" s="22">
        <f t="shared" si="13"/>
        <v>511.93587441108417</v>
      </c>
      <c r="CX63" s="62">
        <f t="shared" si="14"/>
        <v>805.26920774441749</v>
      </c>
      <c r="CY63" s="62">
        <f ca="1">AVERAGE(OFFSET($CX$3,0,0,'Données projet'!$E$13+1,1))-AVERAGE(OFFSET($H$3,0,0,'Données projet'!$E$13+1,1))</f>
        <v>293.90975929253631</v>
      </c>
      <c r="CZ63" s="62">
        <f t="shared" si="42"/>
        <v>288.30197520356643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7.0849373227162316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7.0849373227162316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296.99999999999989</v>
      </c>
      <c r="DP63" s="18">
        <f>DO63*VLOOKUP('Données projet'!$B$14,Paramètres!$A$1:$I$89,3,0)*VLOOKUP('Données projet'!$B$14,Paramètres!$A$1:$I$89,5,0)</f>
        <v>231.65999999999991</v>
      </c>
      <c r="DQ63" s="14">
        <f t="shared" si="43"/>
        <v>56.641461975682766</v>
      </c>
      <c r="DR63" s="22">
        <f t="shared" si="16"/>
        <v>502.125046274314</v>
      </c>
      <c r="DS63" s="62">
        <f t="shared" si="17"/>
        <v>795.45837960764732</v>
      </c>
      <c r="DT63" s="62">
        <f ca="1">AVERAGE(OFFSET($DS$3,0,0,'Données projet'!$E$14+1,1))-AVERAGE(OFFSET($H$3,0,0,'Données projet'!$E$14+1,1))</f>
        <v>288.82868507674738</v>
      </c>
      <c r="DU63" s="62">
        <f t="shared" si="44"/>
        <v>283.48738729114024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5.635447740969254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5.635447740969254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-5.6843418860808015E-14</v>
      </c>
      <c r="EK63" s="18">
        <f>EJ63*VLOOKUP('Données projet'!$B$15,Paramètres!$A$1:$I$89,3,0)*VLOOKUP('Données projet'!$B$15,Paramètres!$A$1:$I$89,5,0)</f>
        <v>-5.1431925385259088E-14</v>
      </c>
      <c r="EL63" s="14" t="e">
        <f t="shared" si="45"/>
        <v>#NUM!</v>
      </c>
      <c r="EM63" s="22" t="e">
        <f t="shared" si="19"/>
        <v>#NUM!</v>
      </c>
      <c r="EN63" s="62" t="e">
        <f t="shared" si="20"/>
        <v>#NUM!</v>
      </c>
      <c r="EO63" s="62">
        <f ca="1">AVERAGE(OFFSET($EN$3,0,0,'Données projet'!$E$15+1,1))-AVERAGE(OFFSET($H$3,0,0,'Données projet'!$E$15+1,1))</f>
        <v>366.86025470473652</v>
      </c>
      <c r="EP63" s="62">
        <f t="shared" si="46"/>
        <v>513.80016421153414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5.8433087504878127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5.8433087504878127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371.7282125501186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28.430297328356538</v>
      </c>
      <c r="AA64" s="23">
        <f>EXP(-LN(2)/25)*AA63+(1-EXP(-LN(2)/25))/(LN(2)/25)*Calculateur!V64*Calculateur!X64*VLOOKUP('Données projet'!$B$9,Paramètres!$A$1:$I$89,3,0)*0.475*44/12</f>
        <v>13.00526745423411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41.435564782590646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168.64847999999998</v>
      </c>
      <c r="AK64" s="14">
        <f t="shared" si="35"/>
        <v>42.78718759212785</v>
      </c>
      <c r="AL64" s="22">
        <f t="shared" si="4"/>
        <v>368.25045438962269</v>
      </c>
      <c r="AM64" s="62">
        <f t="shared" si="5"/>
        <v>661.583787722956</v>
      </c>
      <c r="AN64" s="62">
        <f ca="1">AVERAGE(OFFSET($AM$3,0,0,'Données projet'!$E$10+1,1))-AVERAGE(OFFSET($H$3,0,0,'Données projet'!$E$10+1,1))</f>
        <v>348.82438445524105</v>
      </c>
      <c r="AO64" s="62">
        <f t="shared" si="36"/>
        <v>218.26721063098552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26.469587167780226</v>
      </c>
      <c r="AV64" s="23">
        <f>EXP(-LN(2)/25)*AV63+(1-EXP(-LN(2)/25))/(LN(2)/25)*Calculateur!AQ64*Calculateur!AS64*VLOOKUP('Données projet'!$B$10,Paramètres!$A$1:$I$89,3,0)*0.475*44/12</f>
        <v>12.108352457390389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38.577939625170615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11.375</v>
      </c>
      <c r="BD64" s="13">
        <f>IF('Données projet'!$A$88&gt;35,BD63+BC64-BL63,IF(A64&lt;'Données projet'!$A$88,$BA$205^A64,IF(A64='Données projet'!$A$88,'Données projet'!$B$88,BD63+BC64-BL63)))</f>
        <v>358.12499999999994</v>
      </c>
      <c r="BE64" s="14">
        <f>BD64*VLOOKUP('Données projet'!$B$11,Paramètres!$A$1:$I$89,3,0)*VLOOKUP('Données projet'!$B$11,Paramètres!$A$1:$I$89,5,0)</f>
        <v>204.8475</v>
      </c>
      <c r="BF64" s="14">
        <f t="shared" si="37"/>
        <v>50.808012105592304</v>
      </c>
      <c r="BG64" s="22">
        <f t="shared" si="7"/>
        <v>445.26668358390657</v>
      </c>
      <c r="BH64" s="62">
        <f t="shared" si="8"/>
        <v>738.60001691723983</v>
      </c>
      <c r="BI64" s="62">
        <f ca="1">AVERAGE(OFFSET($BH$3,0,0,'Données projet'!$E$11+1,1))-AVERAGE(OFFSET($H$3,0,0,'Données projet'!$E$11+1,1))</f>
        <v>309.71642374647882</v>
      </c>
      <c r="BJ64" s="62">
        <f t="shared" si="38"/>
        <v>266.63880397664315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41.452758259007915</v>
      </c>
      <c r="BQ64" s="23">
        <f>EXP(-LN(2)/25)*BQ63+(1-EXP(-LN(2)/25))/(LN(2)/25)*Calculateur!BL64*Calculateur!BN64*VLOOKUP('Données projet'!$B$11,Paramètres!$A$1:$I$89,3,0)*0.475*44/12</f>
        <v>17.661604983191474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59.114363242199389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193.63343999999998</v>
      </c>
      <c r="CA64" s="14">
        <f t="shared" si="39"/>
        <v>48.342367086681229</v>
      </c>
      <c r="CB64" s="22">
        <f t="shared" si="10"/>
        <v>421.44119734263637</v>
      </c>
      <c r="CC64" s="62">
        <f t="shared" si="11"/>
        <v>714.77453067596969</v>
      </c>
      <c r="CD64" s="62">
        <f ca="1">AVERAGE(OFFSET($CC$3,0,0,'Données projet'!$E$12+1,1))-AVERAGE(OFFSET($H$3,0,0,'Données projet'!$E$12+1,1))</f>
        <v>394.59880827600006</v>
      </c>
      <c r="CE64" s="62">
        <f t="shared" si="40"/>
        <v>244.45149244446094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30.391007488932846</v>
      </c>
      <c r="CL64" s="23">
        <f>EXP(-LN(2)/25)*CL63+(1-EXP(-LN(2)/25))/(LN(2)/25)*Calculateur!CG64*Calculateur!CI64*VLOOKUP('Données projet'!$B$12,Paramètres!$A$1:$I$89,3,0)*0.475*44/12</f>
        <v>13.902182451077849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44.293189940010691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205.79519999999994</v>
      </c>
      <c r="CV64" s="14">
        <f t="shared" si="41"/>
        <v>51.015652273911371</v>
      </c>
      <c r="CW64" s="22">
        <f t="shared" si="13"/>
        <v>447.27890104372887</v>
      </c>
      <c r="CX64" s="62">
        <f t="shared" si="14"/>
        <v>740.61223437706212</v>
      </c>
      <c r="CY64" s="62">
        <f ca="1">AVERAGE(OFFSET($CX$3,0,0,'Données projet'!$E$13+1,1))-AVERAGE(OFFSET($H$3,0,0,'Données projet'!$E$13+1,1))</f>
        <v>293.90975929253631</v>
      </c>
      <c r="CZ64" s="62">
        <f t="shared" si="42"/>
        <v>288.30197520356643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6.9460060232028313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6.9460060232028313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258.66666666666657</v>
      </c>
      <c r="DP64" s="18">
        <f>DO64*VLOOKUP('Données projet'!$B$14,Paramètres!$A$1:$I$89,3,0)*VLOOKUP('Données projet'!$B$14,Paramètres!$A$1:$I$89,5,0)</f>
        <v>201.75999999999993</v>
      </c>
      <c r="DQ64" s="14">
        <f t="shared" si="43"/>
        <v>50.130765000424169</v>
      </c>
      <c r="DR64" s="22">
        <f t="shared" si="16"/>
        <v>438.70974904240529</v>
      </c>
      <c r="DS64" s="62">
        <f t="shared" si="17"/>
        <v>732.04308237573855</v>
      </c>
      <c r="DT64" s="62">
        <f ca="1">AVERAGE(OFFSET($DS$3,0,0,'Données projet'!$E$14+1,1))-AVERAGE(OFFSET($H$3,0,0,'Données projet'!$E$14+1,1))</f>
        <v>288.82868507674738</v>
      </c>
      <c r="DU64" s="62">
        <f t="shared" si="44"/>
        <v>283.48738729114024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5.5249400480525654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5.5249400480525654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-5.6843418860808015E-14</v>
      </c>
      <c r="EK64" s="18">
        <f>EJ64*VLOOKUP('Données projet'!$B$15,Paramètres!$A$1:$I$89,3,0)*VLOOKUP('Données projet'!$B$15,Paramètres!$A$1:$I$89,5,0)</f>
        <v>-5.1431925385259088E-14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366.86025470473652</v>
      </c>
      <c r="EP64" s="62">
        <f t="shared" si="46"/>
        <v>513.80016421153414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5.7287250299571619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5.7287250299571619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371.7282125501186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27.872796538516578</v>
      </c>
      <c r="AA65" s="23">
        <f>EXP(-LN(2)/25)*AA64+(1-EXP(-LN(2)/25))/(LN(2)/25)*Calculateur!V65*Calculateur!X65*VLOOKUP('Données projet'!$B$9,Paramètres!$A$1:$I$89,3,0)*0.475*44/12</f>
        <v>12.649637731780787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40.522434270297367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174.71375999999998</v>
      </c>
      <c r="AK65" s="14">
        <f t="shared" si="35"/>
        <v>44.144062647515817</v>
      </c>
      <c r="AL65" s="22">
        <f t="shared" si="4"/>
        <v>381.17737444442332</v>
      </c>
      <c r="AM65" s="62">
        <f t="shared" si="5"/>
        <v>674.51070777775658</v>
      </c>
      <c r="AN65" s="62">
        <f ca="1">AVERAGE(OFFSET($AM$3,0,0,'Données projet'!$E$10+1,1))-AVERAGE(OFFSET($H$3,0,0,'Données projet'!$E$10+1,1))</f>
        <v>348.82438445524105</v>
      </c>
      <c r="AO65" s="62">
        <f t="shared" si="36"/>
        <v>218.26721063098552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25.950534708274056</v>
      </c>
      <c r="AV65" s="23">
        <f>EXP(-LN(2)/25)*AV64+(1-EXP(-LN(2)/25))/(LN(2)/25)*Calculateur!AQ65*Calculateur!AS65*VLOOKUP('Données projet'!$B$10,Paramètres!$A$1:$I$89,3,0)*0.475*44/12</f>
        <v>11.777248922692467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37.72778363096652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11.375</v>
      </c>
      <c r="BD65" s="13">
        <f>IF('Données projet'!$A$88&gt;35,BD64+BC65-BL64,IF(A65&lt;'Données projet'!$A$88,$BA$205^A65,IF(A65='Données projet'!$A$88,'Données projet'!$B$88,BD64+BC65-BL64)))</f>
        <v>369.49999999999994</v>
      </c>
      <c r="BE65" s="14">
        <f>BD65*VLOOKUP('Données projet'!$B$11,Paramètres!$A$1:$I$89,3,0)*VLOOKUP('Données projet'!$B$11,Paramètres!$A$1:$I$89,5,0)</f>
        <v>211.35399999999998</v>
      </c>
      <c r="BF65" s="14">
        <f t="shared" si="37"/>
        <v>52.23135799939994</v>
      </c>
      <c r="BG65" s="22">
        <f t="shared" si="7"/>
        <v>459.07783184895493</v>
      </c>
      <c r="BH65" s="62">
        <f t="shared" si="8"/>
        <v>752.41116518228819</v>
      </c>
      <c r="BI65" s="62">
        <f ca="1">AVERAGE(OFFSET($BH$3,0,0,'Données projet'!$E$11+1,1))-AVERAGE(OFFSET($H$3,0,0,'Données projet'!$E$11+1,1))</f>
        <v>309.71642374647882</v>
      </c>
      <c r="BJ65" s="62">
        <f t="shared" si="38"/>
        <v>266.63880397664315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40.639894953234752</v>
      </c>
      <c r="BQ65" s="23">
        <f>EXP(-LN(2)/25)*BQ64+(1-EXP(-LN(2)/25))/(LN(2)/25)*Calculateur!BL65*Calculateur!BN65*VLOOKUP('Données projet'!$B$11,Paramètres!$A$1:$I$89,3,0)*0.475*44/12</f>
        <v>17.178647466142664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57.818542419377415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200.59727999999996</v>
      </c>
      <c r="CA65" s="14">
        <f t="shared" si="39"/>
        <v>49.875409002022977</v>
      </c>
      <c r="CB65" s="22">
        <f t="shared" si="10"/>
        <v>436.23993334518991</v>
      </c>
      <c r="CC65" s="62">
        <f t="shared" si="11"/>
        <v>729.57326667852317</v>
      </c>
      <c r="CD65" s="62">
        <f ca="1">AVERAGE(OFFSET($CC$3,0,0,'Données projet'!$E$12+1,1))-AVERAGE(OFFSET($H$3,0,0,'Données projet'!$E$12+1,1))</f>
        <v>394.59880827600006</v>
      </c>
      <c r="CE65" s="62">
        <f t="shared" si="40"/>
        <v>244.45149244446094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29.795058368759097</v>
      </c>
      <c r="CL65" s="23">
        <f>EXP(-LN(2)/25)*CL64+(1-EXP(-LN(2)/25))/(LN(2)/25)*Calculateur!CG65*Calculateur!CI65*VLOOKUP('Données projet'!$B$12,Paramètres!$A$1:$I$89,3,0)*0.475*44/12</f>
        <v>13.522026540869124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43.317084909628221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212.69039999999995</v>
      </c>
      <c r="CV65" s="14">
        <f t="shared" si="41"/>
        <v>52.523069495668949</v>
      </c>
      <c r="CW65" s="22">
        <f t="shared" si="13"/>
        <v>461.91345937162333</v>
      </c>
      <c r="CX65" s="62">
        <f t="shared" si="14"/>
        <v>755.24679270495665</v>
      </c>
      <c r="CY65" s="62">
        <f ca="1">AVERAGE(OFFSET($CX$3,0,0,'Données projet'!$E$13+1,1))-AVERAGE(OFFSET($H$3,0,0,'Données projet'!$E$13+1,1))</f>
        <v>293.90975929253631</v>
      </c>
      <c r="CZ65" s="62">
        <f t="shared" si="42"/>
        <v>288.30197520356643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6.8097990817331642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6.8097990817331642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267.33333333333326</v>
      </c>
      <c r="DP65" s="18">
        <f>DO65*VLOOKUP('Données projet'!$B$14,Paramètres!$A$1:$I$89,3,0)*VLOOKUP('Données projet'!$B$14,Paramètres!$A$1:$I$89,5,0)</f>
        <v>208.51999999999995</v>
      </c>
      <c r="DQ65" s="14">
        <f t="shared" si="43"/>
        <v>51.612035456318459</v>
      </c>
      <c r="DR65" s="22">
        <f t="shared" si="16"/>
        <v>453.06329508642119</v>
      </c>
      <c r="DS65" s="62">
        <f t="shared" si="17"/>
        <v>746.39662841975451</v>
      </c>
      <c r="DT65" s="62">
        <f ca="1">AVERAGE(OFFSET($DS$3,0,0,'Données projet'!$E$14+1,1))-AVERAGE(OFFSET($H$3,0,0,'Données projet'!$E$14+1,1))</f>
        <v>288.82868507674738</v>
      </c>
      <c r="DU65" s="62">
        <f t="shared" si="44"/>
        <v>283.48738729114024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5.4165993435909359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5.4165993435909359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-5.6843418860808015E-14</v>
      </c>
      <c r="EK65" s="18">
        <f>EJ65*VLOOKUP('Données projet'!$B$15,Paramètres!$A$1:$I$89,3,0)*VLOOKUP('Données projet'!$B$15,Paramètres!$A$1:$I$89,5,0)</f>
        <v>-5.1431925385259088E-14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366.86025470473652</v>
      </c>
      <c r="EP65" s="62">
        <f t="shared" si="46"/>
        <v>513.80016421153414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5.6163882262969489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5.6163882262969489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371.7282125501186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27.326227999123475</v>
      </c>
      <c r="AA66" s="23">
        <f>EXP(-LN(2)/25)*AA65+(1-EXP(-LN(2)/25))/(LN(2)/25)*Calculateur!V66*Calculateur!X66*VLOOKUP('Données projet'!$B$9,Paramètres!$A$1:$I$89,3,0)*0.475*44/12</f>
        <v>12.303732722789704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39.629960721913179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180.77903999999995</v>
      </c>
      <c r="AK66" s="14">
        <f t="shared" si="35"/>
        <v>45.495464625737284</v>
      </c>
      <c r="AL66" s="22">
        <f t="shared" si="4"/>
        <v>394.09476222315897</v>
      </c>
      <c r="AM66" s="62">
        <f t="shared" si="5"/>
        <v>687.42809555649228</v>
      </c>
      <c r="AN66" s="62">
        <f ca="1">AVERAGE(OFFSET($AM$3,0,0,'Données projet'!$E$10+1,1))-AVERAGE(OFFSET($H$3,0,0,'Données projet'!$E$10+1,1))</f>
        <v>348.82438445524105</v>
      </c>
      <c r="AO66" s="62">
        <f t="shared" si="36"/>
        <v>218.26721063098552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25.441660550908061</v>
      </c>
      <c r="AV66" s="23">
        <f>EXP(-LN(2)/25)*AV65+(1-EXP(-LN(2)/25))/(LN(2)/25)*Calculateur!AQ66*Calculateur!AS66*VLOOKUP('Données projet'!$B$10,Paramètres!$A$1:$I$89,3,0)*0.475*44/12</f>
        <v>11.455199431562837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36.8968599824709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11.375</v>
      </c>
      <c r="BD66" s="13">
        <f>IF('Données projet'!$A$88&gt;35,BD65+BC66-BL65,IF(A66&lt;'Données projet'!$A$88,$BA$205^A66,IF(A66='Données projet'!$A$88,'Données projet'!$B$88,BD65+BC66-BL65)))</f>
        <v>380.87499999999994</v>
      </c>
      <c r="BE66" s="14">
        <f>BD66*VLOOKUP('Données projet'!$B$11,Paramètres!$A$1:$I$89,3,0)*VLOOKUP('Données projet'!$B$11,Paramètres!$A$1:$I$89,5,0)</f>
        <v>217.86049999999997</v>
      </c>
      <c r="BF66" s="14">
        <f t="shared" si="37"/>
        <v>53.64961181582801</v>
      </c>
      <c r="BG66" s="22">
        <f t="shared" si="7"/>
        <v>472.88011141256703</v>
      </c>
      <c r="BH66" s="62">
        <f t="shared" si="8"/>
        <v>766.21344474590035</v>
      </c>
      <c r="BI66" s="62">
        <f ca="1">AVERAGE(OFFSET($BH$3,0,0,'Données projet'!$E$11+1,1))-AVERAGE(OFFSET($H$3,0,0,'Données projet'!$E$11+1,1))</f>
        <v>309.71642374647882</v>
      </c>
      <c r="BJ66" s="62">
        <f t="shared" si="38"/>
        <v>266.63880397664315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39.842971401090139</v>
      </c>
      <c r="BQ66" s="23">
        <f>EXP(-LN(2)/25)*BQ65+(1-EXP(-LN(2)/25))/(LN(2)/25)*Calculateur!BL66*Calculateur!BN66*VLOOKUP('Données projet'!$B$11,Paramètres!$A$1:$I$89,3,0)*0.475*44/12</f>
        <v>16.708896447795183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56.551867848885323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207.56111999999996</v>
      </c>
      <c r="CA66" s="14">
        <f t="shared" si="39"/>
        <v>51.40226725537714</v>
      </c>
      <c r="CB66" s="22">
        <f t="shared" si="10"/>
        <v>451.02789946978169</v>
      </c>
      <c r="CC66" s="62">
        <f t="shared" si="11"/>
        <v>744.36123280311494</v>
      </c>
      <c r="CD66" s="62">
        <f ca="1">AVERAGE(OFFSET($CC$3,0,0,'Données projet'!$E$12+1,1))-AVERAGE(OFFSET($H$3,0,0,'Données projet'!$E$12+1,1))</f>
        <v>394.59880827600006</v>
      </c>
      <c r="CE66" s="62">
        <f t="shared" si="40"/>
        <v>244.45149244446094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29.210795447338882</v>
      </c>
      <c r="CL66" s="23">
        <f>EXP(-LN(2)/25)*CL65+(1-EXP(-LN(2)/25))/(LN(2)/25)*Calculateur!CG66*Calculateur!CI66*VLOOKUP('Données projet'!$B$12,Paramètres!$A$1:$I$89,3,0)*0.475*44/12</f>
        <v>13.152266014016588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42.363061461355471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219.58559999999994</v>
      </c>
      <c r="CV66" s="14">
        <f t="shared" si="41"/>
        <v>54.024808047218549</v>
      </c>
      <c r="CW66" s="22">
        <f t="shared" si="13"/>
        <v>476.53812734890556</v>
      </c>
      <c r="CX66" s="62">
        <f t="shared" si="14"/>
        <v>769.87146068223888</v>
      </c>
      <c r="CY66" s="62">
        <f ca="1">AVERAGE(OFFSET($CX$3,0,0,'Données projet'!$E$13+1,1))-AVERAGE(OFFSET($H$3,0,0,'Données projet'!$E$13+1,1))</f>
        <v>293.90975929253631</v>
      </c>
      <c r="CZ66" s="62">
        <f t="shared" si="42"/>
        <v>288.30197520356643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6.6762630753076859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6.6762630753076859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275.99999999999994</v>
      </c>
      <c r="DP66" s="18">
        <f>DO66*VLOOKUP('Données projet'!$B$14,Paramètres!$A$1:$I$89,3,0)*VLOOKUP('Données projet'!$B$14,Paramètres!$A$1:$I$89,5,0)</f>
        <v>215.27999999999997</v>
      </c>
      <c r="DQ66" s="14">
        <f t="shared" si="43"/>
        <v>53.087725740853138</v>
      </c>
      <c r="DR66" s="22">
        <f t="shared" si="16"/>
        <v>467.40712233198587</v>
      </c>
      <c r="DS66" s="62">
        <f t="shared" si="17"/>
        <v>760.74045566531913</v>
      </c>
      <c r="DT66" s="62">
        <f ca="1">AVERAGE(OFFSET($DS$3,0,0,'Données projet'!$E$14+1,1))-AVERAGE(OFFSET($H$3,0,0,'Données projet'!$E$14+1,1))</f>
        <v>288.82868507674738</v>
      </c>
      <c r="DU66" s="62">
        <f t="shared" si="44"/>
        <v>283.48738729114024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5.3103831342624943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5.3103831342624943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-5.6843418860808015E-14</v>
      </c>
      <c r="EK66" s="18">
        <f>EJ66*VLOOKUP('Données projet'!$B$15,Paramètres!$A$1:$I$89,3,0)*VLOOKUP('Données projet'!$B$15,Paramètres!$A$1:$I$89,5,0)</f>
        <v>-5.1431925385259088E-14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366.86025470473652</v>
      </c>
      <c r="EP66" s="62">
        <f t="shared" si="46"/>
        <v>513.80016421153414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5.5062542788378277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5.5062542788378277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371.7282125501186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26.790377335413979</v>
      </c>
      <c r="AA67" s="23">
        <f>EXP(-LN(2)/25)*AA66+(1-EXP(-LN(2)/25))/(LN(2)/25)*Calculateur!V67*Calculateur!X67*VLOOKUP('Données projet'!$B$9,Paramètres!$A$1:$I$89,3,0)*0.475*44/12</f>
        <v>11.967286504459835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38.757663839873814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186.84431999999995</v>
      </c>
      <c r="AK67" s="14">
        <f t="shared" si="35"/>
        <v>46.841598205171657</v>
      </c>
      <c r="AL67" s="22">
        <f t="shared" si="4"/>
        <v>407.00297420734051</v>
      </c>
      <c r="AM67" s="62">
        <f t="shared" si="5"/>
        <v>700.33630754067383</v>
      </c>
      <c r="AN67" s="62">
        <f ca="1">AVERAGE(OFFSET($AM$3,0,0,'Données projet'!$E$10+1,1))-AVERAGE(OFFSET($H$3,0,0,'Données projet'!$E$10+1,1))</f>
        <v>348.82438445524105</v>
      </c>
      <c r="AO67" s="62">
        <f t="shared" si="36"/>
        <v>218.26721063098552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24.942765105385426</v>
      </c>
      <c r="AV67" s="23">
        <f>EXP(-LN(2)/25)*AV66+(1-EXP(-LN(2)/25))/(LN(2)/25)*Calculateur!AQ67*Calculateur!AS67*VLOOKUP('Données projet'!$B$10,Paramètres!$A$1:$I$89,3,0)*0.475*44/12</f>
        <v>11.141956400703995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36.084721506089423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11.375</v>
      </c>
      <c r="BD67" s="13">
        <f>IF('Données projet'!$A$88&gt;35,BD66+BC67-BL66,IF(A67&lt;'Données projet'!$A$88,$BA$205^A67,IF(A67='Données projet'!$A$88,'Données projet'!$B$88,BD66+BC67-BL66)))</f>
        <v>392.24999999999994</v>
      </c>
      <c r="BE67" s="14">
        <f>BD67*VLOOKUP('Données projet'!$B$11,Paramètres!$A$1:$I$89,3,0)*VLOOKUP('Données projet'!$B$11,Paramètres!$A$1:$I$89,5,0)</f>
        <v>224.36699999999996</v>
      </c>
      <c r="BF67" s="14">
        <f t="shared" si="37"/>
        <v>55.062943090135803</v>
      </c>
      <c r="BG67" s="22">
        <f t="shared" si="7"/>
        <v>486.67381754865318</v>
      </c>
      <c r="BH67" s="62">
        <f t="shared" si="8"/>
        <v>780.00715088198649</v>
      </c>
      <c r="BI67" s="62">
        <f ca="1">AVERAGE(OFFSET($BH$3,0,0,'Données projet'!$E$11+1,1))-AVERAGE(OFFSET($H$3,0,0,'Données projet'!$E$11+1,1))</f>
        <v>309.71642374647882</v>
      </c>
      <c r="BJ67" s="62">
        <f t="shared" si="38"/>
        <v>266.63880397664315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39.06167503372771</v>
      </c>
      <c r="BQ67" s="23">
        <f>EXP(-LN(2)/25)*BQ66+(1-EXP(-LN(2)/25))/(LN(2)/25)*Calculateur!BL67*Calculateur!BN67*VLOOKUP('Données projet'!$B$11,Paramètres!$A$1:$I$89,3,0)*0.475*44/12</f>
        <v>16.251990795747549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55.313665829475255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214.52495999999994</v>
      </c>
      <c r="CA67" s="14">
        <f t="shared" si="39"/>
        <v>52.923173099085716</v>
      </c>
      <c r="CB67" s="22">
        <f t="shared" si="10"/>
        <v>465.80549848090754</v>
      </c>
      <c r="CC67" s="62">
        <f t="shared" si="11"/>
        <v>759.1388318142408</v>
      </c>
      <c r="CD67" s="62">
        <f ca="1">AVERAGE(OFFSET($CC$3,0,0,'Données projet'!$E$12+1,1))-AVERAGE(OFFSET($H$3,0,0,'Données projet'!$E$12+1,1))</f>
        <v>394.59880827600006</v>
      </c>
      <c r="CE67" s="62">
        <f t="shared" si="40"/>
        <v>244.45149244446094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28.637989565442524</v>
      </c>
      <c r="CL67" s="23">
        <f>EXP(-LN(2)/25)*CL66+(1-EXP(-LN(2)/25))/(LN(2)/25)*Calculateur!CG67*Calculateur!CI67*VLOOKUP('Données projet'!$B$12,Paramètres!$A$1:$I$89,3,0)*0.475*44/12</f>
        <v>12.792616608215695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41.430606173658219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226.48079999999999</v>
      </c>
      <c r="CV67" s="14">
        <f t="shared" si="41"/>
        <v>55.521066703161971</v>
      </c>
      <c r="CW67" s="22">
        <f t="shared" si="13"/>
        <v>491.1532511746737</v>
      </c>
      <c r="CX67" s="62">
        <f t="shared" si="14"/>
        <v>784.48658450800701</v>
      </c>
      <c r="CY67" s="62">
        <f ca="1">AVERAGE(OFFSET($CX$3,0,0,'Données projet'!$E$13+1,1))-AVERAGE(OFFSET($H$3,0,0,'Données projet'!$E$13+1,1))</f>
        <v>293.90975929253631</v>
      </c>
      <c r="CZ67" s="62">
        <f t="shared" si="42"/>
        <v>288.30197520356643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6.5453456285192901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6.5453456285192901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284.66666666666663</v>
      </c>
      <c r="DP67" s="18">
        <f>DO67*VLOOKUP('Données projet'!$B$14,Paramètres!$A$1:$I$89,3,0)*VLOOKUP('Données projet'!$B$14,Paramètres!$A$1:$I$89,5,0)</f>
        <v>222.04</v>
      </c>
      <c r="DQ67" s="14">
        <f t="shared" si="43"/>
        <v>54.558031180803546</v>
      </c>
      <c r="DR67" s="22">
        <f t="shared" si="16"/>
        <v>481.74157097323285</v>
      </c>
      <c r="DS67" s="62">
        <f t="shared" si="17"/>
        <v>775.07490430656617</v>
      </c>
      <c r="DT67" s="62">
        <f ca="1">AVERAGE(OFFSET($DS$3,0,0,'Données projet'!$E$14+1,1))-AVERAGE(OFFSET($H$3,0,0,'Données projet'!$E$14+1,1))</f>
        <v>288.82868507674738</v>
      </c>
      <c r="DU67" s="62">
        <f t="shared" si="44"/>
        <v>283.48738729114024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5.2062497600134927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5.2062497600134927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-5.6843418860808015E-14</v>
      </c>
      <c r="EK67" s="18">
        <f>EJ67*VLOOKUP('Données projet'!$B$15,Paramètres!$A$1:$I$89,3,0)*VLOOKUP('Données projet'!$B$15,Paramètres!$A$1:$I$89,5,0)</f>
        <v>-5.1431925385259088E-14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366.86025470473652</v>
      </c>
      <c r="EP67" s="62">
        <f t="shared" si="46"/>
        <v>513.80016421153414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5.3982799909133057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5.3982799909133057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371.7282125501186</v>
      </c>
      <c r="T68" s="62">
        <f t="shared" si="34"/>
        <v>231.36959598460686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0.32250000000000001</v>
      </c>
      <c r="X68" s="17">
        <f>IF(ISNA(VLOOKUP(A68,'Données projet'!$A$35:$I$55,6,0)),0%,VLOOKUP(A68,'Données projet'!$A$35:$I$55,6,0)*VLOOKUP('Données projet'!$B$9,Paramètres!$A$1:$I$89,7,0))</f>
        <v>0.1075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33.039089338329269</v>
      </c>
      <c r="AA68" s="23">
        <f>EXP(-LN(2)/25)*AA67+(1-EXP(-LN(2)/25))/(LN(2)/25)*Calculateur!V68*Calculateur!X68*VLOOKUP('Données projet'!$B$9,Paramètres!$A$1:$I$89,3,0)*0.475*44/12</f>
        <v>13.889168067810999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46.928257406140268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192.90959999999995</v>
      </c>
      <c r="AK68" s="14">
        <f t="shared" si="35"/>
        <v>48.182654021446417</v>
      </c>
      <c r="AL68" s="22">
        <f t="shared" ref="AL68:AL131" si="58">(AJ68+AK68)*0.475*44/12</f>
        <v>419.90234242068573</v>
      </c>
      <c r="AM68" s="62">
        <f t="shared" ref="AM68:AM131" si="59">AL68+(AD68+AE68)*44/12</f>
        <v>713.23567575401898</v>
      </c>
      <c r="AN68" s="62">
        <f ca="1">AVERAGE(OFFSET($AM$3,0,0,'Données projet'!$E$10+1,1))-AVERAGE(OFFSET($H$3,0,0,'Données projet'!$E$10+1,1))</f>
        <v>348.82438445524105</v>
      </c>
      <c r="AO68" s="62">
        <f t="shared" si="36"/>
        <v>218.26721063098552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0.32250000000000001</v>
      </c>
      <c r="AS68" s="17">
        <f>IF(ISNA(VLOOKUP(A68,'Données projet'!$A$61:$I$81,6,0)),0%,VLOOKUP(A68,'Données projet'!$A$61:$I$81,6,0)*VLOOKUP('Données projet'!$B$10,Paramètres!$A$1:$I$89,7,0))</f>
        <v>0.1075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30.760531452927243</v>
      </c>
      <c r="AV68" s="23">
        <f>EXP(-LN(2)/25)*AV67+(1-EXP(-LN(2)/25))/(LN(2)/25)*Calculateur!AQ68*Calculateur!AS68*VLOOKUP('Données projet'!$B$10,Paramètres!$A$1:$I$89,3,0)*0.475*44/12</f>
        <v>12.931294407961975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43.691825860889217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11.375</v>
      </c>
      <c r="BD68" s="13">
        <f>IF('Données projet'!$A$88&gt;35,BD67+BC68-BL67,IF(A68&lt;'Données projet'!$A$88,$BA$205^A68,IF(A68='Données projet'!$A$88,'Données projet'!$B$88,BD67+BC68-BL67)))</f>
        <v>403.62499999999994</v>
      </c>
      <c r="BE68" s="14">
        <f>BD68*VLOOKUP('Données projet'!$B$11,Paramètres!$A$1:$I$89,3,0)*VLOOKUP('Données projet'!$B$11,Paramètres!$A$1:$I$89,5,0)</f>
        <v>230.87349999999998</v>
      </c>
      <c r="BF68" s="14">
        <f t="shared" si="37"/>
        <v>56.471510965615813</v>
      </c>
      <c r="BG68" s="22">
        <f t="shared" ref="BG68:BG131" si="61">(BE68+BF68)*0.475*44/12</f>
        <v>500.45922743178085</v>
      </c>
      <c r="BH68" s="62">
        <f t="shared" ref="BH68:BH131" si="62">BG68+(AY68+AZ68)*44/12</f>
        <v>793.7925607651141</v>
      </c>
      <c r="BI68" s="62">
        <f ca="1">AVERAGE(OFFSET($BH$3,0,0,'Données projet'!$E$11+1,1))-AVERAGE(OFFSET($H$3,0,0,'Données projet'!$E$11+1,1))</f>
        <v>309.71642374647882</v>
      </c>
      <c r="BJ68" s="62">
        <f t="shared" si="38"/>
        <v>266.63880397664315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38.295699411585531</v>
      </c>
      <c r="BQ68" s="23">
        <f>EXP(-LN(2)/25)*BQ67+(1-EXP(-LN(2)/25))/(LN(2)/25)*Calculateur!BL68*Calculateur!BN68*VLOOKUP('Données projet'!$B$11,Paramètres!$A$1:$I$89,3,0)*0.475*44/12</f>
        <v>15.80757925278278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54.103278664368311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221.48879999999991</v>
      </c>
      <c r="CA68" s="14">
        <f t="shared" si="39"/>
        <v>54.43834191952984</v>
      </c>
      <c r="CB68" s="22">
        <f t="shared" ref="CB68:CB131" si="64">(BZ68+CA68)*0.475*44/12</f>
        <v>480.57310550984766</v>
      </c>
      <c r="CC68" s="62">
        <f t="shared" ref="CC68:CC131" si="65">CB68+(BT68+BU68)*44/12</f>
        <v>773.90643884318092</v>
      </c>
      <c r="CD68" s="62">
        <f ca="1">AVERAGE(OFFSET($CC$3,0,0,'Données projet'!$E$12+1,1))-AVERAGE(OFFSET($H$3,0,0,'Données projet'!$E$12+1,1))</f>
        <v>394.59880827600006</v>
      </c>
      <c r="CE68" s="62">
        <f t="shared" si="40"/>
        <v>244.45149244446094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0.32250000000000001</v>
      </c>
      <c r="CI68" s="17">
        <f>IF(ISNA(VLOOKUP(A68,'Données projet'!$A$113:$I$133,6,0)),0%,VLOOKUP(A68,'Données projet'!$A$113:$I$133,6,0)*VLOOKUP('Données projet'!$B$12,Paramètres!$A$1:$I$89,7,0))</f>
        <v>0.1075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35.317647223731278</v>
      </c>
      <c r="CL68" s="23">
        <f>EXP(-LN(2)/25)*CL67+(1-EXP(-LN(2)/25))/(LN(2)/25)*Calculateur!CG68*Calculateur!CI68*VLOOKUP('Données projet'!$B$12,Paramètres!$A$1:$I$89,3,0)*0.475*44/12</f>
        <v>14.847041727660043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50.164688951391319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233.376</v>
      </c>
      <c r="CV68" s="14">
        <f t="shared" si="41"/>
        <v>57.012031446990107</v>
      </c>
      <c r="CW68" s="22">
        <f t="shared" ref="CW68:CW131" si="67">(CU68+CV68)*0.475*44/12</f>
        <v>505.75915477017446</v>
      </c>
      <c r="CX68" s="62">
        <f t="shared" ref="CX68:CX131" si="68">CW68+(CO68+CP68)*44/12</f>
        <v>799.09248810350778</v>
      </c>
      <c r="CY68" s="62">
        <f ca="1">AVERAGE(OFFSET($CX$3,0,0,'Données projet'!$E$13+1,1))-AVERAGE(OFFSET($H$3,0,0,'Données projet'!$E$13+1,1))</f>
        <v>293.90975929253631</v>
      </c>
      <c r="CZ68" s="62">
        <f t="shared" si="42"/>
        <v>288.30197520356643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6.4169953930106569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6.4169953930106569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293.33333333333331</v>
      </c>
      <c r="DP68" s="18">
        <f>DO68*VLOOKUP('Données projet'!$B$14,Paramètres!$A$1:$I$89,3,0)*VLOOKUP('Données projet'!$B$14,Paramètres!$A$1:$I$89,5,0)</f>
        <v>228.79999999999998</v>
      </c>
      <c r="DQ68" s="14">
        <f t="shared" si="43"/>
        <v>56.023134533701196</v>
      </c>
      <c r="DR68" s="22">
        <f t="shared" ref="DR68:DR131" si="70">(DP68+DQ68)*0.475*44/12</f>
        <v>496.06695931286293</v>
      </c>
      <c r="DS68" s="62">
        <f t="shared" ref="DS68:DS131" si="71">DR68+(DJ68+DK68)*44/12</f>
        <v>789.40029264619625</v>
      </c>
      <c r="DT68" s="62">
        <f ca="1">AVERAGE(OFFSET($DS$3,0,0,'Données projet'!$E$14+1,1))-AVERAGE(OFFSET($H$3,0,0,'Données projet'!$E$14+1,1))</f>
        <v>288.82868507674738</v>
      </c>
      <c r="DU68" s="62">
        <f t="shared" si="44"/>
        <v>283.48738729114024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5.1041583777184272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5.1041583777184272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-5.6843418860808015E-14</v>
      </c>
      <c r="EK68" s="18">
        <f>EJ68*VLOOKUP('Données projet'!$B$15,Paramètres!$A$1:$I$89,3,0)*VLOOKUP('Données projet'!$B$15,Paramètres!$A$1:$I$89,5,0)</f>
        <v>-5.1431925385259088E-14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366.86025470473652</v>
      </c>
      <c r="EP68" s="62">
        <f t="shared" si="46"/>
        <v>513.80016421153414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5.2924230129171708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5.2924230129171708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716.30000015441919</v>
      </c>
      <c r="S69" s="62">
        <f ca="1">AVERAGE(OFFSET($R$3,0,0,'Données projet'!$E$9+1,1))-AVERAGE(OFFSET($H$3,0,0,'Données projet'!$E$9+1,1))</f>
        <v>371.7282125501186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32.391212948259302</v>
      </c>
      <c r="AA69" s="23">
        <f>EXP(-LN(2)/25)*AA68+(1-EXP(-LN(2)/25))/(LN(2)/25)*Calculateur!V69*Calculateur!X69*VLOOKUP('Données projet'!$B$9,Paramètres!$A$1:$I$89,3,0)*0.475*44/12</f>
        <v>13.509368036597103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45.900580984856404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180.94751999999994</v>
      </c>
      <c r="AK69" s="14">
        <f t="shared" ref="AK69:AK132" si="89">EXP(-1.0587+0.8836*LN(AJ69)+0.284)</f>
        <v>45.53292745224649</v>
      </c>
      <c r="AL69" s="22">
        <f t="shared" si="58"/>
        <v>394.45344597932922</v>
      </c>
      <c r="AM69" s="62">
        <f t="shared" si="59"/>
        <v>687.78677931266247</v>
      </c>
      <c r="AN69" s="62">
        <f ca="1">AVERAGE(OFFSET($AM$3,0,0,'Données projet'!$E$10+1,1))-AVERAGE(OFFSET($H$3,0,0,'Données projet'!$E$10+1,1))</f>
        <v>348.82438445524105</v>
      </c>
      <c r="AO69" s="62">
        <f t="shared" ref="AO69:AO132" si="90">$AO$3</f>
        <v>218.26721063098552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30.157336193206923</v>
      </c>
      <c r="AV69" s="23">
        <f>EXP(-LN(2)/25)*AV68+(1-EXP(-LN(2)/25))/(LN(2)/25)*Calculateur!AQ69*Calculateur!AS69*VLOOKUP('Données projet'!$B$10,Paramètres!$A$1:$I$89,3,0)*0.475*44/12</f>
        <v>12.577687482349036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42.735023675555958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415</v>
      </c>
      <c r="BB69" s="13">
        <f>VLOOKUP(A69,'Données projet'!$A$87:$I$107,9,0)</f>
        <v>11.375</v>
      </c>
      <c r="BC69" s="13">
        <f t="array" ref="BC69">INDEX(BB:BB,MIN(IF(ISNUMBER(BB69:BB265),ROW(BB69:BB265),"")))</f>
        <v>11.375</v>
      </c>
      <c r="BD69" s="13">
        <f>IF('Données projet'!$A$88&gt;35,BD68+BC69-BL68,IF(A69&lt;'Données projet'!$A$88,$BA$205^A69,IF(A69='Données projet'!$A$88,'Données projet'!$B$88,BD68+BC69-BL68)))</f>
        <v>414.99999999999994</v>
      </c>
      <c r="BE69" s="14">
        <f>BD69*VLOOKUP('Données projet'!$B$11,Paramètres!$A$1:$I$89,3,0)*VLOOKUP('Données projet'!$B$11,Paramètres!$A$1:$I$89,5,0)</f>
        <v>237.37999999999997</v>
      </c>
      <c r="BF69" s="14">
        <f t="shared" ref="BF69:BF132" si="91">EXP(-1.0587+0.8836*LN(BE69)+0.284)</f>
        <v>57.875465105279041</v>
      </c>
      <c r="BG69" s="22">
        <f t="shared" si="61"/>
        <v>514.23660172502764</v>
      </c>
      <c r="BH69" s="62">
        <f t="shared" si="62"/>
        <v>807.5699350583609</v>
      </c>
      <c r="BI69" s="62">
        <f ca="1">AVERAGE(OFFSET($BH$3,0,0,'Données projet'!$E$11+1,1))-AVERAGE(OFFSET($H$3,0,0,'Données projet'!$E$11+1,1))</f>
        <v>309.71642374647882</v>
      </c>
      <c r="BJ69" s="62">
        <f t="shared" ref="BJ69:BJ132" si="92">$BJ$3</f>
        <v>266.63880397664315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50</v>
      </c>
      <c r="BM69" s="17">
        <f>IF(ISNA(VLOOKUP(A69,'Données projet'!$A$87:$I$107,5,0)),0%,VLOOKUP(A69,'Données projet'!$A$87:$I$107,5,0)*VLOOKUP('Données projet'!$B$11,Paramètres!$A$1:$I$89,7,0))</f>
        <v>0.33750000000000002</v>
      </c>
      <c r="BN69" s="17">
        <f>IF(ISNA(VLOOKUP(A69,'Données projet'!$A$87:$I$107,6,0)),0%,VLOOKUP(A69,'Données projet'!$A$87:$I$107,6,0)*VLOOKUP('Données projet'!$B$11,Paramètres!$A$1:$I$89,7,0))</f>
        <v>0.1125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50.349407510324724</v>
      </c>
      <c r="BQ69" s="23">
        <f>EXP(-LN(2)/25)*BQ68+(1-EXP(-LN(2)/25))/(LN(2)/25)*Calculateur!BL69*Calculateur!BN69*VLOOKUP('Données projet'!$B$11,Paramètres!$A$1:$I$89,3,0)*0.475*44/12</f>
        <v>19.626735689277957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69.976143199602689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214.79999999999993</v>
      </c>
      <c r="BZ69" s="14">
        <f>BY69*VLOOKUP('Données projet'!$B$12,Paramètres!$A$1:$I$89,3,0)*VLOOKUP('Données projet'!$B$12,Paramètres!$A$1:$I$89,5,0)</f>
        <v>207.75455999999994</v>
      </c>
      <c r="CA69" s="14">
        <f t="shared" ref="CA69:CA132" si="93">EXP(-1.0587+0.8836*LN(BZ69)+0.284)</f>
        <v>51.444593984782131</v>
      </c>
      <c r="CB69" s="22">
        <f t="shared" si="64"/>
        <v>451.43852652349545</v>
      </c>
      <c r="CC69" s="62">
        <f t="shared" si="65"/>
        <v>744.77185985682877</v>
      </c>
      <c r="CD69" s="62">
        <f ca="1">AVERAGE(OFFSET($CC$3,0,0,'Données projet'!$E$12+1,1))-AVERAGE(OFFSET($H$3,0,0,'Données projet'!$E$12+1,1))</f>
        <v>394.59880827600006</v>
      </c>
      <c r="CE69" s="62">
        <f t="shared" ref="CE69:CE132" si="94">$CE$3</f>
        <v>244.45149244446094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34.625089703311652</v>
      </c>
      <c r="CL69" s="23">
        <f>EXP(-LN(2)/25)*CL68+(1-EXP(-LN(2)/25))/(LN(2)/25)*Calculateur!CG69*Calculateur!CI69*VLOOKUP('Données projet'!$B$12,Paramètres!$A$1:$I$89,3,0)*0.475*44/12</f>
        <v>14.441048590845188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49.066138294156843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240.27120000000002</v>
      </c>
      <c r="CV69" s="14">
        <f t="shared" ref="CV69:CV132" si="95">EXP(-1.0587+0.8836*LN(CU69)+0.284)</f>
        <v>58.497876647502594</v>
      </c>
      <c r="CW69" s="22">
        <f t="shared" si="67"/>
        <v>520.35614182773372</v>
      </c>
      <c r="CX69" s="62">
        <f t="shared" si="68"/>
        <v>813.68947516106709</v>
      </c>
      <c r="CY69" s="62">
        <f ca="1">AVERAGE(OFFSET($CX$3,0,0,'Données projet'!$E$13+1,1))-AVERAGE(OFFSET($H$3,0,0,'Données projet'!$E$13+1,1))</f>
        <v>293.90975929253631</v>
      </c>
      <c r="CZ69" s="62">
        <f t="shared" ref="CZ69:CZ132" si="96">$CZ$3</f>
        <v>288.30197520356643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6.2911620273344342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6.2911620273344342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</v>
      </c>
      <c r="DP69" s="18">
        <f>DO69*VLOOKUP('Données projet'!$B$14,Paramètres!$A$1:$I$89,3,0)*VLOOKUP('Données projet'!$B$14,Paramètres!$A$1:$I$89,5,0)</f>
        <v>235.56</v>
      </c>
      <c r="DQ69" s="14">
        <f t="shared" ref="DQ69:DQ132" si="97">EXP(-1.0587+0.8836*LN(DP69)+0.284)</f>
        <v>57.483207143847721</v>
      </c>
      <c r="DR69" s="22">
        <f t="shared" si="70"/>
        <v>510.38358577553481</v>
      </c>
      <c r="DS69" s="62">
        <f t="shared" si="71"/>
        <v>803.71691910886807</v>
      </c>
      <c r="DT69" s="62">
        <f ca="1">AVERAGE(OFFSET($DS$3,0,0,'Données projet'!$E$14+1,1))-AVERAGE(OFFSET($H$3,0,0,'Données projet'!$E$14+1,1))</f>
        <v>288.82868507674738</v>
      </c>
      <c r="DU69" s="62">
        <f t="shared" ref="DU69:DU132" si="98">$DU$3</f>
        <v>283.48738729114024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5.0040689451605731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5.0040689451605731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-5.6843418860808015E-14</v>
      </c>
      <c r="EK69" s="18">
        <f>EJ69*VLOOKUP('Données projet'!$B$15,Paramètres!$A$1:$I$89,3,0)*VLOOKUP('Données projet'!$B$15,Paramètres!$A$1:$I$89,5,0)</f>
        <v>-5.1431925385259088E-14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366.86025470473652</v>
      </c>
      <c r="EP69" s="62">
        <f t="shared" ref="EP69:EP132" si="100">$EP$3</f>
        <v>513.80016421153414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5.1886418256931588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5.1886418256931588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371.7282125501186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31.756041019033024</v>
      </c>
      <c r="AA70" s="23">
        <f>EXP(-LN(2)/25)*AA69+(1-EXP(-LN(2)/25))/(LN(2)/25)*Calculateur!V70*Calculateur!X70*VLOOKUP('Données projet'!$B$9,Paramètres!$A$1:$I$89,3,0)*0.475*44/12</f>
        <v>13.139953657209565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44.895994676242587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186.67583999999997</v>
      </c>
      <c r="AK70" s="14">
        <f t="shared" si="89"/>
        <v>46.804275023026932</v>
      </c>
      <c r="AL70" s="22">
        <f t="shared" si="58"/>
        <v>406.64453366510514</v>
      </c>
      <c r="AM70" s="62">
        <f t="shared" si="59"/>
        <v>699.97786699843846</v>
      </c>
      <c r="AN70" s="62">
        <f ca="1">AVERAGE(OFFSET($AM$3,0,0,'Données projet'!$E$10+1,1))-AVERAGE(OFFSET($H$3,0,0,'Données projet'!$E$10+1,1))</f>
        <v>348.82438445524105</v>
      </c>
      <c r="AO70" s="62">
        <f t="shared" si="90"/>
        <v>218.26721063098552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29.565969224616943</v>
      </c>
      <c r="AV70" s="23">
        <f>EXP(-LN(2)/25)*AV69+(1-EXP(-LN(2)/25))/(LN(2)/25)*Calculateur!AQ70*Calculateur!AS70*VLOOKUP('Données projet'!$B$10,Paramètres!$A$1:$I$89,3,0)*0.475*44/12</f>
        <v>12.233749956712364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41.799719181329309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6.75</v>
      </c>
      <c r="BD70" s="13">
        <f>IF('Données projet'!$A$88&gt;35,BD69+BC70-BL69,IF(A70&lt;'Données projet'!$A$88,$BA$205^A70,IF(A70='Données projet'!$A$88,'Données projet'!$B$88,BD69+BC70-BL69)))</f>
        <v>371.74999999999994</v>
      </c>
      <c r="BE70" s="14">
        <f>BD70*VLOOKUP('Données projet'!$B$11,Paramètres!$A$1:$I$89,3,0)*VLOOKUP('Données projet'!$B$11,Paramètres!$A$1:$I$89,5,0)</f>
        <v>212.64099999999996</v>
      </c>
      <c r="BF70" s="14">
        <f t="shared" si="91"/>
        <v>52.512290191227322</v>
      </c>
      <c r="BG70" s="22">
        <f t="shared" si="61"/>
        <v>461.80864708305415</v>
      </c>
      <c r="BH70" s="62">
        <f t="shared" si="62"/>
        <v>755.14198041638747</v>
      </c>
      <c r="BI70" s="62">
        <f ca="1">AVERAGE(OFFSET($BH$3,0,0,'Données projet'!$E$11+1,1))-AVERAGE(OFFSET($H$3,0,0,'Données projet'!$E$11+1,1))</f>
        <v>309.71642374647882</v>
      </c>
      <c r="BJ70" s="62">
        <f t="shared" si="92"/>
        <v>266.63880397664315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49.362086339153464</v>
      </c>
      <c r="BQ70" s="23">
        <f>EXP(-LN(2)/25)*BQ69+(1-EXP(-LN(2)/25))/(LN(2)/25)*Calculateur!BL70*Calculateur!BN70*VLOOKUP('Données projet'!$B$11,Paramètres!$A$1:$I$89,3,0)*0.475*44/12</f>
        <v>19.090041569729479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68.452127908882943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221.59999999999994</v>
      </c>
      <c r="BZ70" s="14">
        <f>BY70*VLOOKUP('Données projet'!$B$12,Paramètres!$A$1:$I$89,3,0)*VLOOKUP('Données projet'!$B$12,Paramètres!$A$1:$I$89,5,0)</f>
        <v>214.33151999999995</v>
      </c>
      <c r="CA70" s="14">
        <f t="shared" si="93"/>
        <v>52.881004144461244</v>
      </c>
      <c r="CB70" s="22">
        <f t="shared" si="64"/>
        <v>465.39514621826993</v>
      </c>
      <c r="CC70" s="62">
        <f t="shared" si="65"/>
        <v>758.72847955160319</v>
      </c>
      <c r="CD70" s="62">
        <f ca="1">AVERAGE(OFFSET($CC$3,0,0,'Données projet'!$E$12+1,1))-AVERAGE(OFFSET($H$3,0,0,'Données projet'!$E$12+1,1))</f>
        <v>394.59880827600006</v>
      </c>
      <c r="CE70" s="62">
        <f t="shared" si="94"/>
        <v>244.45149244446094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33.946112813449076</v>
      </c>
      <c r="CL70" s="23">
        <f>EXP(-LN(2)/25)*CL69+(1-EXP(-LN(2)/25))/(LN(2)/25)*Calculateur!CG70*Calculateur!CI70*VLOOKUP('Données projet'!$B$12,Paramètres!$A$1:$I$89,3,0)*0.475*44/12</f>
        <v>14.046157357706786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47.992270171155866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247.16640000000004</v>
      </c>
      <c r="CV70" s="14">
        <f t="shared" si="95"/>
        <v>59.97876609639065</v>
      </c>
      <c r="CW70" s="22">
        <f t="shared" si="67"/>
        <v>534.94449761788053</v>
      </c>
      <c r="CX70" s="62">
        <f t="shared" si="68"/>
        <v>828.2778309512139</v>
      </c>
      <c r="CY70" s="62">
        <f ca="1">AVERAGE(OFFSET($CX$3,0,0,'Données projet'!$E$13+1,1))-AVERAGE(OFFSET($H$3,0,0,'Données projet'!$E$13+1,1))</f>
        <v>293.90975929253631</v>
      </c>
      <c r="CZ70" s="62">
        <f t="shared" si="96"/>
        <v>288.30197520356643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6.1677961772083476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6.1677961772083476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310.66666666666669</v>
      </c>
      <c r="DP70" s="18">
        <f>DO70*VLOOKUP('Données projet'!$B$14,Paramètres!$A$1:$I$89,3,0)*VLOOKUP('Données projet'!$B$14,Paramètres!$A$1:$I$89,5,0)</f>
        <v>242.32000000000002</v>
      </c>
      <c r="DQ70" s="14">
        <f t="shared" si="97"/>
        <v>58.938409961900859</v>
      </c>
      <c r="DR70" s="22">
        <f t="shared" si="70"/>
        <v>524.69173068364398</v>
      </c>
      <c r="DS70" s="62">
        <f t="shared" si="71"/>
        <v>818.02506401697724</v>
      </c>
      <c r="DT70" s="62">
        <f ca="1">AVERAGE(OFFSET($DS$3,0,0,'Données projet'!$E$14+1,1))-AVERAGE(OFFSET($H$3,0,0,'Données projet'!$E$14+1,1))</f>
        <v>288.82868507674738</v>
      </c>
      <c r="DU70" s="62">
        <f t="shared" si="98"/>
        <v>283.48738729114024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4.905942205326653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4.905942205326653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-5.6843418860808015E-14</v>
      </c>
      <c r="EK70" s="18">
        <f>EJ70*VLOOKUP('Données projet'!$B$15,Paramètres!$A$1:$I$89,3,0)*VLOOKUP('Données projet'!$B$15,Paramètres!$A$1:$I$89,5,0)</f>
        <v>-5.1431925385259088E-14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366.86025470473652</v>
      </c>
      <c r="EP70" s="62">
        <f t="shared" si="100"/>
        <v>513.80016421153414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5.0868957242503354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5.0868957242503354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371.7282125501186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31.13332442392225</v>
      </c>
      <c r="AA71" s="23">
        <f>EXP(-LN(2)/25)*AA70+(1-EXP(-LN(2)/25))/(LN(2)/25)*Calculateur!V71*Calculateur!X71*VLOOKUP('Données projet'!$B$9,Paramètres!$A$1:$I$89,3,0)*0.475*44/12</f>
        <v>12.780640933453039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43.913965357375289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192.40415999999999</v>
      </c>
      <c r="AK71" s="14">
        <f t="shared" si="89"/>
        <v>48.071088890795593</v>
      </c>
      <c r="AL71" s="22">
        <f t="shared" si="58"/>
        <v>418.82772515146894</v>
      </c>
      <c r="AM71" s="62">
        <f t="shared" si="59"/>
        <v>712.1610584848022</v>
      </c>
      <c r="AN71" s="62">
        <f ca="1">AVERAGE(OFFSET($AM$3,0,0,'Données projet'!$E$10+1,1))-AVERAGE(OFFSET($H$3,0,0,'Données projet'!$E$10+1,1))</f>
        <v>348.82438445524105</v>
      </c>
      <c r="AO71" s="62">
        <f t="shared" si="90"/>
        <v>218.26721063098552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28.986198601582775</v>
      </c>
      <c r="AV71" s="23">
        <f>EXP(-LN(2)/25)*AV70+(1-EXP(-LN(2)/25))/(LN(2)/25)*Calculateur!AQ71*Calculateur!AS71*VLOOKUP('Données projet'!$B$10,Paramètres!$A$1:$I$89,3,0)*0.475*44/12</f>
        <v>11.899217420801115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40.885416022383893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6.75</v>
      </c>
      <c r="BD71" s="13">
        <f>IF('Données projet'!$A$88&gt;35,BD70+BC71-BL70,IF(A71&lt;'Données projet'!$A$88,$BA$205^A71,IF(A71='Données projet'!$A$88,'Données projet'!$B$88,BD70+BC71-BL70)))</f>
        <v>378.49999999999994</v>
      </c>
      <c r="BE71" s="14">
        <f>BD71*VLOOKUP('Données projet'!$B$11,Paramètres!$A$1:$I$89,3,0)*VLOOKUP('Données projet'!$B$11,Paramètres!$A$1:$I$89,5,0)</f>
        <v>216.50199999999995</v>
      </c>
      <c r="BF71" s="14">
        <f t="shared" si="91"/>
        <v>53.353904963920556</v>
      </c>
      <c r="BG71" s="22">
        <f t="shared" si="61"/>
        <v>469.99903447882821</v>
      </c>
      <c r="BH71" s="62">
        <f t="shared" si="62"/>
        <v>763.33236781216146</v>
      </c>
      <c r="BI71" s="62">
        <f ca="1">AVERAGE(OFFSET($BH$3,0,0,'Données projet'!$E$11+1,1))-AVERAGE(OFFSET($H$3,0,0,'Données projet'!$E$11+1,1))</f>
        <v>309.71642374647882</v>
      </c>
      <c r="BJ71" s="62">
        <f t="shared" si="92"/>
        <v>266.63880397664315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48.394125933942426</v>
      </c>
      <c r="BQ71" s="23">
        <f>EXP(-LN(2)/25)*BQ70+(1-EXP(-LN(2)/25))/(LN(2)/25)*Calculateur!BL71*Calculateur!BN71*VLOOKUP('Données projet'!$B$11,Paramètres!$A$1:$I$89,3,0)*0.475*44/12</f>
        <v>18.568023379103572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66.962149313045998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228.39999999999995</v>
      </c>
      <c r="BZ71" s="14">
        <f>BY71*VLOOKUP('Données projet'!$B$12,Paramètres!$A$1:$I$89,3,0)*VLOOKUP('Données projet'!$B$12,Paramètres!$A$1:$I$89,5,0)</f>
        <v>220.90847999999997</v>
      </c>
      <c r="CA71" s="14">
        <f t="shared" si="93"/>
        <v>54.312291977864817</v>
      </c>
      <c r="CB71" s="22">
        <f t="shared" si="64"/>
        <v>479.34284452811448</v>
      </c>
      <c r="CC71" s="62">
        <f t="shared" si="65"/>
        <v>772.67617786144774</v>
      </c>
      <c r="CD71" s="62">
        <f ca="1">AVERAGE(OFFSET($CC$3,0,0,'Données projet'!$E$12+1,1))-AVERAGE(OFFSET($H$3,0,0,'Données projet'!$E$12+1,1))</f>
        <v>394.59880827600006</v>
      </c>
      <c r="CE71" s="62">
        <f t="shared" si="94"/>
        <v>244.45149244446094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33.280450246261701</v>
      </c>
      <c r="CL71" s="23">
        <f>EXP(-LN(2)/25)*CL70+(1-EXP(-LN(2)/25))/(LN(2)/25)*Calculateur!CG71*Calculateur!CI71*VLOOKUP('Données projet'!$B$12,Paramètres!$A$1:$I$89,3,0)*0.475*44/12</f>
        <v>13.662064446104981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46.942514692366686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254.06160000000003</v>
      </c>
      <c r="CV71" s="14">
        <f t="shared" si="95"/>
        <v>61.454853926783386</v>
      </c>
      <c r="CW71" s="22">
        <f t="shared" si="67"/>
        <v>549.52449058914783</v>
      </c>
      <c r="CX71" s="62">
        <f t="shared" si="68"/>
        <v>842.8578239224812</v>
      </c>
      <c r="CY71" s="62">
        <f ca="1">AVERAGE(OFFSET($CX$3,0,0,'Données projet'!$E$13+1,1))-AVERAGE(OFFSET($H$3,0,0,'Données projet'!$E$13+1,1))</f>
        <v>293.90975929253631</v>
      </c>
      <c r="CZ71" s="62">
        <f t="shared" si="96"/>
        <v>288.30197520356643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6.0468494561574948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6.0468494561574948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319.33333333333337</v>
      </c>
      <c r="DP71" s="18">
        <f>DO71*VLOOKUP('Données projet'!$B$14,Paramètres!$A$1:$I$89,3,0)*VLOOKUP('Données projet'!$B$14,Paramètres!$A$1:$I$89,5,0)</f>
        <v>249.08000000000004</v>
      </c>
      <c r="DQ71" s="14">
        <f t="shared" si="97"/>
        <v>60.388894447487807</v>
      </c>
      <c r="DR71" s="22">
        <f t="shared" si="70"/>
        <v>538.99165782937473</v>
      </c>
      <c r="DS71" s="62">
        <f t="shared" si="71"/>
        <v>832.3249911627081</v>
      </c>
      <c r="DT71" s="62">
        <f ca="1">AVERAGE(OFFSET($DS$3,0,0,'Données projet'!$E$14+1,1))-AVERAGE(OFFSET($H$3,0,0,'Données projet'!$E$14+1,1))</f>
        <v>288.82868507674738</v>
      </c>
      <c r="DU71" s="62">
        <f t="shared" si="98"/>
        <v>283.48738729114024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4.8097396710094751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4.8097396710094751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-5.6843418860808015E-14</v>
      </c>
      <c r="EK71" s="18">
        <f>EJ71*VLOOKUP('Données projet'!$B$15,Paramètres!$A$1:$I$89,3,0)*VLOOKUP('Données projet'!$B$15,Paramètres!$A$1:$I$89,5,0)</f>
        <v>-5.1431925385259088E-14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366.86025470473652</v>
      </c>
      <c r="EP71" s="62">
        <f t="shared" si="100"/>
        <v>513.80016421153414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4.9871448017978119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4.9871448017978119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755.4983401269543</v>
      </c>
      <c r="S72" s="62">
        <f ca="1">AVERAGE(OFFSET($R$3,0,0,'Données projet'!$E$9+1,1))-AVERAGE(OFFSET($H$3,0,0,'Données projet'!$E$9+1,1))</f>
        <v>371.7282125501186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30.52281892142198</v>
      </c>
      <c r="AA72" s="23">
        <f>EXP(-LN(2)/25)*AA71+(1-EXP(-LN(2)/25))/(LN(2)/25)*Calculateur!V72*Calculateur!X72*VLOOKUP('Données projet'!$B$9,Paramètres!$A$1:$I$89,3,0)*0.475*44/12</f>
        <v>12.431153635023071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42.953972556445052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198.13247999999999</v>
      </c>
      <c r="AK72" s="14">
        <f t="shared" si="89"/>
        <v>49.333519530262095</v>
      </c>
      <c r="AL72" s="22">
        <f t="shared" si="58"/>
        <v>431.00328251520642</v>
      </c>
      <c r="AM72" s="62">
        <f t="shared" si="59"/>
        <v>724.33661584853974</v>
      </c>
      <c r="AN72" s="62">
        <f ca="1">AVERAGE(OFFSET($AM$3,0,0,'Données projet'!$E$10+1,1))-AVERAGE(OFFSET($H$3,0,0,'Données projet'!$E$10+1,1))</f>
        <v>348.82438445524105</v>
      </c>
      <c r="AO72" s="62">
        <f t="shared" si="90"/>
        <v>218.26721063098552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28.417796926841145</v>
      </c>
      <c r="AV72" s="23">
        <f>EXP(-LN(2)/25)*AV71+(1-EXP(-LN(2)/25))/(LN(2)/25)*Calculateur!AQ72*Calculateur!AS72*VLOOKUP('Données projet'!$B$10,Paramètres!$A$1:$I$89,3,0)*0.475*44/12</f>
        <v>11.573832694676661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39.991629621517802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6.75</v>
      </c>
      <c r="BD72" s="13">
        <f>IF('Données projet'!$A$88&gt;35,BD71+BC72-BL71,IF(A72&lt;'Données projet'!$A$88,$BA$205^A72,IF(A72='Données projet'!$A$88,'Données projet'!$B$88,BD71+BC72-BL71)))</f>
        <v>385.24999999999994</v>
      </c>
      <c r="BE72" s="14">
        <f>BD72*VLOOKUP('Données projet'!$B$11,Paramètres!$A$1:$I$89,3,0)*VLOOKUP('Données projet'!$B$11,Paramètres!$A$1:$I$89,5,0)</f>
        <v>220.36299999999997</v>
      </c>
      <c r="BF72" s="14">
        <f t="shared" si="91"/>
        <v>54.193774405323978</v>
      </c>
      <c r="BG72" s="22">
        <f t="shared" si="61"/>
        <v>478.18638208927251</v>
      </c>
      <c r="BH72" s="62">
        <f t="shared" si="62"/>
        <v>771.51971542260583</v>
      </c>
      <c r="BI72" s="62">
        <f ca="1">AVERAGE(OFFSET($BH$3,0,0,'Données projet'!$E$11+1,1))-AVERAGE(OFFSET($H$3,0,0,'Données projet'!$E$11+1,1))</f>
        <v>309.71642374647882</v>
      </c>
      <c r="BJ72" s="62">
        <f t="shared" si="92"/>
        <v>266.63880397664315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47.445146641880022</v>
      </c>
      <c r="BQ72" s="23">
        <f>EXP(-LN(2)/25)*BQ71+(1-EXP(-LN(2)/25))/(LN(2)/25)*Calculateur!BL72*Calculateur!BN72*VLOOKUP('Données projet'!$B$11,Paramètres!$A$1:$I$89,3,0)*0.475*44/12</f>
        <v>18.060279803352074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65.505426445232104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235.19999999999996</v>
      </c>
      <c r="BZ72" s="14">
        <f>BY72*VLOOKUP('Données projet'!$B$12,Paramètres!$A$1:$I$89,3,0)*VLOOKUP('Données projet'!$B$12,Paramètres!$A$1:$I$89,5,0)</f>
        <v>227.48543999999998</v>
      </c>
      <c r="CA72" s="14">
        <f t="shared" si="93"/>
        <v>55.738627496252377</v>
      </c>
      <c r="CB72" s="22">
        <f t="shared" si="64"/>
        <v>493.28191755597277</v>
      </c>
      <c r="CC72" s="62">
        <f t="shared" si="65"/>
        <v>786.61525088930603</v>
      </c>
      <c r="CD72" s="62">
        <f ca="1">AVERAGE(OFFSET($CC$3,0,0,'Données projet'!$E$12+1,1))-AVERAGE(OFFSET($H$3,0,0,'Données projet'!$E$12+1,1))</f>
        <v>394.59880827600006</v>
      </c>
      <c r="CE72" s="62">
        <f t="shared" si="94"/>
        <v>244.45149244446094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32.627840916002789</v>
      </c>
      <c r="CL72" s="23">
        <f>EXP(-LN(2)/25)*CL71+(1-EXP(-LN(2)/25))/(LN(2)/25)*Calculateur!CG72*Calculateur!CI72*VLOOKUP('Données projet'!$B$12,Paramètres!$A$1:$I$89,3,0)*0.475*44/12</f>
        <v>13.288474575369497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45.916315491372288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260.95680000000004</v>
      </c>
      <c r="CV72" s="14">
        <f t="shared" si="95"/>
        <v>62.926285429272745</v>
      </c>
      <c r="CW72" s="22">
        <f t="shared" si="67"/>
        <v>564.09637378931677</v>
      </c>
      <c r="CX72" s="62">
        <f t="shared" si="68"/>
        <v>857.42970712265014</v>
      </c>
      <c r="CY72" s="62">
        <f ca="1">AVERAGE(OFFSET($CX$3,0,0,'Données projet'!$E$13+1,1))-AVERAGE(OFFSET($H$3,0,0,'Données projet'!$E$13+1,1))</f>
        <v>293.90975929253631</v>
      </c>
      <c r="CZ72" s="62">
        <f t="shared" si="96"/>
        <v>288.30197520356643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5.9282744265362339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5.9282744265362339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328.00000000000006</v>
      </c>
      <c r="DP72" s="18">
        <f>DO72*VLOOKUP('Données projet'!$B$14,Paramètres!$A$1:$I$89,3,0)*VLOOKUP('Données projet'!$B$14,Paramètres!$A$1:$I$89,5,0)</f>
        <v>255.84000000000006</v>
      </c>
      <c r="DQ72" s="14">
        <f t="shared" si="97"/>
        <v>61.834803371075836</v>
      </c>
      <c r="DR72" s="22">
        <f t="shared" si="70"/>
        <v>553.28361587129041</v>
      </c>
      <c r="DS72" s="62">
        <f t="shared" si="71"/>
        <v>846.61694920462378</v>
      </c>
      <c r="DT72" s="62">
        <f ca="1">AVERAGE(OFFSET($DS$3,0,0,'Données projet'!$E$14+1,1))-AVERAGE(OFFSET($H$3,0,0,'Données projet'!$E$14+1,1))</f>
        <v>288.82868507674738</v>
      </c>
      <c r="DU72" s="62">
        <f t="shared" si="98"/>
        <v>283.48738729114024</v>
      </c>
      <c r="DV72" s="16">
        <f>IF(ISNA(VLOOKUP(A72,'Données projet'!$A$165:$I$185,3,0)),0,VLOOKUP(A72,'Données projet'!$A$165:$I$185,3,0))</f>
        <v>9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4.7154236097125048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4.7154236097125048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-5.6843418860808015E-14</v>
      </c>
      <c r="EK72" s="18">
        <f>EJ72*VLOOKUP('Données projet'!$B$15,Paramètres!$A$1:$I$89,3,0)*VLOOKUP('Données projet'!$B$15,Paramètres!$A$1:$I$89,5,0)</f>
        <v>-5.1431925385259088E-14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366.86025470473652</v>
      </c>
      <c r="EP72" s="62">
        <f t="shared" si="100"/>
        <v>513.80016421153414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4.8893499340925271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4.8893499340925271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371.7282125501186</v>
      </c>
      <c r="T73" s="62">
        <f t="shared" si="88"/>
        <v>231.36959598460686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0.32250000000000001</v>
      </c>
      <c r="X73" s="17">
        <f>IF(ISNA(VLOOKUP(A73,'Données projet'!$A$35:$I$55,6,0)),0%,VLOOKUP(A73,'Données projet'!$A$35:$I$55,6,0)*VLOOKUP('Données projet'!$B$9,Paramètres!$A$1:$I$89,7,0))</f>
        <v>0.1075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36.698340021400227</v>
      </c>
      <c r="AA73" s="23">
        <f>EXP(-LN(2)/25)*AA72+(1-EXP(-LN(2)/25))/(LN(2)/25)*Calculateur!V73*Calculateur!X73*VLOOKUP('Données projet'!$B$9,Paramètres!$A$1:$I$89,3,0)*0.475*44/12</f>
        <v>14.34035072729527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51.038690748695501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203.86080000000001</v>
      </c>
      <c r="AK73" s="14">
        <f t="shared" si="89"/>
        <v>50.591708220421786</v>
      </c>
      <c r="AL73" s="22">
        <f t="shared" si="58"/>
        <v>443.17145181723458</v>
      </c>
      <c r="AM73" s="62">
        <f t="shared" si="59"/>
        <v>736.50478515056784</v>
      </c>
      <c r="AN73" s="62">
        <f ca="1">AVERAGE(OFFSET($AM$3,0,0,'Données projet'!$E$10+1,1))-AVERAGE(OFFSET($H$3,0,0,'Données projet'!$E$10+1,1))</f>
        <v>348.82438445524105</v>
      </c>
      <c r="AO73" s="62">
        <f t="shared" si="90"/>
        <v>218.26721063098552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0.32250000000000001</v>
      </c>
      <c r="AS73" s="17">
        <f>IF(ISNA(VLOOKUP(A73,'Données projet'!$A$61:$I$81,6,0)),0%,VLOOKUP(A73,'Données projet'!$A$61:$I$81,6,0)*VLOOKUP('Données projet'!$B$10,Paramètres!$A$1:$I$89,7,0))</f>
        <v>0.1075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34.167420019924343</v>
      </c>
      <c r="AV73" s="23">
        <f>EXP(-LN(2)/25)*AV72+(1-EXP(-LN(2)/25))/(LN(2)/25)*Calculateur!AQ73*Calculateur!AS73*VLOOKUP('Données projet'!$B$10,Paramètres!$A$1:$I$89,3,0)*0.475*44/12</f>
        <v>13.351361021964571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47.518781041888914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6.75</v>
      </c>
      <c r="BD73" s="13">
        <f>IF('Données projet'!$A$88&gt;35,BD72+BC73-BL72,IF(A73&lt;'Données projet'!$A$88,$BA$205^A73,IF(A73='Données projet'!$A$88,'Données projet'!$B$88,BD72+BC73-BL72)))</f>
        <v>391.99999999999994</v>
      </c>
      <c r="BE73" s="14">
        <f>BD73*VLOOKUP('Données projet'!$B$11,Paramètres!$A$1:$I$89,3,0)*VLOOKUP('Données projet'!$B$11,Paramètres!$A$1:$I$89,5,0)</f>
        <v>224.22399999999999</v>
      </c>
      <c r="BF73" s="14">
        <f t="shared" si="91"/>
        <v>55.031932623797523</v>
      </c>
      <c r="BG73" s="22">
        <f t="shared" si="61"/>
        <v>486.3707493197806</v>
      </c>
      <c r="BH73" s="62">
        <f t="shared" si="62"/>
        <v>779.70408265311391</v>
      </c>
      <c r="BI73" s="62">
        <f ca="1">AVERAGE(OFFSET($BH$3,0,0,'Données projet'!$E$11+1,1))-AVERAGE(OFFSET($H$3,0,0,'Données projet'!$E$11+1,1))</f>
        <v>309.71642374647882</v>
      </c>
      <c r="BJ73" s="62">
        <f t="shared" si="92"/>
        <v>266.63880397664315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46.51477625491475</v>
      </c>
      <c r="BQ73" s="23">
        <f>EXP(-LN(2)/25)*BQ72+(1-EXP(-LN(2)/25))/(LN(2)/25)*Calculateur!BL73*Calculateur!BN73*VLOOKUP('Données projet'!$B$11,Paramètres!$A$1:$I$89,3,0)*0.475*44/12</f>
        <v>17.566420502380574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64.081196757295317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241.99999999999997</v>
      </c>
      <c r="BZ73" s="14">
        <f>BY73*VLOOKUP('Données projet'!$B$12,Paramètres!$A$1:$I$89,3,0)*VLOOKUP('Données projet'!$B$12,Paramètres!$A$1:$I$89,5,0)</f>
        <v>234.0624</v>
      </c>
      <c r="CA73" s="14">
        <f t="shared" si="93"/>
        <v>57.16017032126387</v>
      </c>
      <c r="CB73" s="22">
        <f t="shared" si="64"/>
        <v>507.21264330953454</v>
      </c>
      <c r="CC73" s="62">
        <f t="shared" si="65"/>
        <v>800.5459766428678</v>
      </c>
      <c r="CD73" s="62">
        <f ca="1">AVERAGE(OFFSET($CC$3,0,0,'Données projet'!$E$12+1,1))-AVERAGE(OFFSET($H$3,0,0,'Données projet'!$E$12+1,1))</f>
        <v>394.59880827600006</v>
      </c>
      <c r="CE73" s="62">
        <f t="shared" si="94"/>
        <v>244.45149244446094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0.32250000000000001</v>
      </c>
      <c r="CI73" s="17">
        <f>IF(ISNA(VLOOKUP(A73,'Données projet'!$A$113:$I$133,6,0)),0%,VLOOKUP(A73,'Données projet'!$A$113:$I$133,6,0)*VLOOKUP('Données projet'!$B$12,Paramètres!$A$1:$I$89,7,0))</f>
        <v>0.1075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39.229260022876083</v>
      </c>
      <c r="CL73" s="23">
        <f>EXP(-LN(2)/25)*CL72+(1-EXP(-LN(2)/25))/(LN(2)/25)*Calculateur!CG73*Calculateur!CI73*VLOOKUP('Données projet'!$B$12,Paramètres!$A$1:$I$89,3,0)*0.475*44/12</f>
        <v>15.329340432625987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54.558600455502074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4.5224624045658861E-14</v>
      </c>
      <c r="CV73" s="14">
        <f t="shared" si="95"/>
        <v>7.4514601661523691E-13</v>
      </c>
      <c r="CW73" s="22">
        <f t="shared" si="67"/>
        <v>1.3765621991510601E-12</v>
      </c>
      <c r="CX73" s="62">
        <f t="shared" si="68"/>
        <v>293.33333333333468</v>
      </c>
      <c r="CY73" s="62">
        <f ca="1">AVERAGE(OFFSET($CX$3,0,0,'Données projet'!$E$13+1,1))-AVERAGE(OFFSET($H$3,0,0,'Données projet'!$E$13+1,1))</f>
        <v>293.90975929253631</v>
      </c>
      <c r="CZ73" s="62">
        <f t="shared" si="96"/>
        <v>288.30197520356643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5.8120245809222189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5.8120245809222189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5.6843418860808015E-14</v>
      </c>
      <c r="DP73" s="18">
        <f>DO73*VLOOKUP('Données projet'!$B$14,Paramètres!$A$1:$I$89,3,0)*VLOOKUP('Données projet'!$B$14,Paramètres!$A$1:$I$89,5,0)</f>
        <v>4.4337866711430253E-14</v>
      </c>
      <c r="DQ73" s="14">
        <f t="shared" si="97"/>
        <v>7.3222115536967035E-13</v>
      </c>
      <c r="DR73" s="22">
        <f t="shared" si="70"/>
        <v>1.3525069634579169E-12</v>
      </c>
      <c r="DS73" s="62">
        <f t="shared" si="71"/>
        <v>293.33333333333468</v>
      </c>
      <c r="DT73" s="62">
        <f ca="1">AVERAGE(OFFSET($DS$3,0,0,'Données projet'!$E$14+1,1))-AVERAGE(OFFSET($H$3,0,0,'Données projet'!$E$14+1,1))</f>
        <v>288.82868507674738</v>
      </c>
      <c r="DU73" s="62">
        <f t="shared" si="98"/>
        <v>283.48738729114024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4.6229570288504505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4.6229570288504505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-5.6843418860808015E-14</v>
      </c>
      <c r="EK73" s="18">
        <f>EJ73*VLOOKUP('Données projet'!$B$15,Paramètres!$A$1:$I$89,3,0)*VLOOKUP('Données projet'!$B$15,Paramètres!$A$1:$I$89,5,0)</f>
        <v>-5.1431925385259088E-14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366.86025470473652</v>
      </c>
      <c r="EP73" s="62">
        <f t="shared" si="100"/>
        <v>513.80016421153414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4.7934727640939636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4.7934727640939636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371.7282125501186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35.97870795735777</v>
      </c>
      <c r="AA74" s="23">
        <f>EXP(-LN(2)/25)*AA73+(1-EXP(-LN(2)/25))/(LN(2)/25)*Calculateur!V74*Calculateur!X74*VLOOKUP('Données projet'!$B$9,Paramètres!$A$1:$I$89,3,0)*0.475*44/12</f>
        <v>13.948213082531112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49.926921039888882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191.39327999999998</v>
      </c>
      <c r="AK74" s="14">
        <f t="shared" si="89"/>
        <v>47.847856170442952</v>
      </c>
      <c r="AL74" s="22">
        <f t="shared" si="58"/>
        <v>416.67831216352141</v>
      </c>
      <c r="AM74" s="62">
        <f t="shared" si="59"/>
        <v>710.01164549685473</v>
      </c>
      <c r="AN74" s="62">
        <f ca="1">AVERAGE(OFFSET($AM$3,0,0,'Données projet'!$E$10+1,1))-AVERAGE(OFFSET($H$3,0,0,'Données projet'!$E$10+1,1))</f>
        <v>348.82438445524105</v>
      </c>
      <c r="AO74" s="62">
        <f t="shared" si="90"/>
        <v>218.26721063098552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33.497417753402054</v>
      </c>
      <c r="AV74" s="23">
        <f>EXP(-LN(2)/25)*AV73+(1-EXP(-LN(2)/25))/(LN(2)/25)*Calculateur!AQ74*Calculateur!AS74*VLOOKUP('Données projet'!$B$10,Paramètres!$A$1:$I$89,3,0)*0.475*44/12</f>
        <v>12.98626735270139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46.483685106103444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6.75</v>
      </c>
      <c r="BD74" s="13">
        <f>IF('Données projet'!$A$88&gt;35,BD73+BC74-BL73,IF(A74&lt;'Données projet'!$A$88,$BA$205^A74,IF(A74='Données projet'!$A$88,'Données projet'!$B$88,BD73+BC74-BL73)))</f>
        <v>398.74999999999994</v>
      </c>
      <c r="BE74" s="14">
        <f>BD74*VLOOKUP('Données projet'!$B$11,Paramètres!$A$1:$I$89,3,0)*VLOOKUP('Données projet'!$B$11,Paramètres!$A$1:$I$89,5,0)</f>
        <v>228.08499999999998</v>
      </c>
      <c r="BF74" s="14">
        <f t="shared" si="91"/>
        <v>55.868412485747712</v>
      </c>
      <c r="BG74" s="22">
        <f t="shared" si="61"/>
        <v>494.55219341267713</v>
      </c>
      <c r="BH74" s="62">
        <f t="shared" si="62"/>
        <v>787.88552674601044</v>
      </c>
      <c r="BI74" s="62">
        <f ca="1">AVERAGE(OFFSET($BH$3,0,0,'Données projet'!$E$11+1,1))-AVERAGE(OFFSET($H$3,0,0,'Données projet'!$E$11+1,1))</f>
        <v>309.71642374647882</v>
      </c>
      <c r="BJ74" s="62">
        <f t="shared" si="92"/>
        <v>266.63880397664315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45.602649863767965</v>
      </c>
      <c r="BQ74" s="23">
        <f>EXP(-LN(2)/25)*BQ73+(1-EXP(-LN(2)/25))/(LN(2)/25)*Calculateur!BL74*Calculateur!BN74*VLOOKUP('Données projet'!$B$11,Paramètres!$A$1:$I$89,3,0)*0.475*44/12</f>
        <v>17.086065809965071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62.688715673733036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227.19999999999996</v>
      </c>
      <c r="BZ74" s="14">
        <f>BY74*VLOOKUP('Données projet'!$B$12,Paramètres!$A$1:$I$89,3,0)*VLOOKUP('Données projet'!$B$12,Paramètres!$A$1:$I$89,5,0)</f>
        <v>219.74783999999997</v>
      </c>
      <c r="CA74" s="14">
        <f t="shared" si="93"/>
        <v>54.060076332940561</v>
      </c>
      <c r="CB74" s="22">
        <f t="shared" si="64"/>
        <v>476.88212094653812</v>
      </c>
      <c r="CC74" s="62">
        <f t="shared" si="65"/>
        <v>770.21545427987144</v>
      </c>
      <c r="CD74" s="62">
        <f ca="1">AVERAGE(OFFSET($CC$3,0,0,'Données projet'!$E$12+1,1))-AVERAGE(OFFSET($H$3,0,0,'Données projet'!$E$12+1,1))</f>
        <v>394.59880827600006</v>
      </c>
      <c r="CE74" s="62">
        <f t="shared" si="94"/>
        <v>244.45149244446094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38.459998161313457</v>
      </c>
      <c r="CL74" s="23">
        <f>EXP(-LN(2)/25)*CL73+(1-EXP(-LN(2)/25))/(LN(2)/25)*Calculateur!CG74*Calculateur!CI74*VLOOKUP('Données projet'!$B$12,Paramètres!$A$1:$I$89,3,0)*0.475*44/12</f>
        <v>14.910158812360851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53.370156973674312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4.5224624045658861E-14</v>
      </c>
      <c r="CV74" s="14">
        <f t="shared" si="95"/>
        <v>7.4514601661523691E-13</v>
      </c>
      <c r="CW74" s="22">
        <f t="shared" si="67"/>
        <v>1.3765621991510601E-12</v>
      </c>
      <c r="CX74" s="62">
        <f t="shared" si="68"/>
        <v>293.33333333333468</v>
      </c>
      <c r="CY74" s="62">
        <f ca="1">AVERAGE(OFFSET($CX$3,0,0,'Données projet'!$E$13+1,1))-AVERAGE(OFFSET($H$3,0,0,'Données projet'!$E$13+1,1))</f>
        <v>293.90975929253631</v>
      </c>
      <c r="CZ74" s="62">
        <f t="shared" si="96"/>
        <v>288.30197520356643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5.6980543238752901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5.6980543238752901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5.6843418860808015E-14</v>
      </c>
      <c r="DP74" s="18">
        <f>DO74*VLOOKUP('Données projet'!$B$14,Paramètres!$A$1:$I$89,3,0)*VLOOKUP('Données projet'!$B$14,Paramètres!$A$1:$I$89,5,0)</f>
        <v>4.4337866711430253E-14</v>
      </c>
      <c r="DQ74" s="14">
        <f t="shared" si="97"/>
        <v>7.3222115536967035E-13</v>
      </c>
      <c r="DR74" s="22">
        <f t="shared" si="70"/>
        <v>1.3525069634579169E-12</v>
      </c>
      <c r="DS74" s="62">
        <f t="shared" si="71"/>
        <v>293.33333333333468</v>
      </c>
      <c r="DT74" s="62">
        <f ca="1">AVERAGE(OFFSET($DS$3,0,0,'Données projet'!$E$14+1,1))-AVERAGE(OFFSET($H$3,0,0,'Données projet'!$E$14+1,1))</f>
        <v>288.82868507674738</v>
      </c>
      <c r="DU74" s="62">
        <f t="shared" si="98"/>
        <v>283.48738729114024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4.5323036612400562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4.5323036612400562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-5.6843418860808015E-14</v>
      </c>
      <c r="EK74" s="18">
        <f>EJ74*VLOOKUP('Données projet'!$B$15,Paramètres!$A$1:$I$89,3,0)*VLOOKUP('Données projet'!$B$15,Paramètres!$A$1:$I$89,5,0)</f>
        <v>-5.1431925385259088E-14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366.86025470473652</v>
      </c>
      <c r="EP74" s="62">
        <f t="shared" si="100"/>
        <v>513.80016421153414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4.6994756869197731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4.6994756869197731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371.7282125501186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35.273187439158967</v>
      </c>
      <c r="AA75" s="23">
        <f>EXP(-LN(2)/25)*AA74+(1-EXP(-LN(2)/25))/(LN(2)/25)*Calculateur!V75*Calculateur!X75*VLOOKUP('Données projet'!$B$9,Paramètres!$A$1:$I$89,3,0)*0.475*44/12</f>
        <v>13.566798462284652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48.839985901443619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196.61615999999998</v>
      </c>
      <c r="AK75" s="14">
        <f t="shared" si="89"/>
        <v>48.999765174076551</v>
      </c>
      <c r="AL75" s="22">
        <f t="shared" si="58"/>
        <v>427.78106967818326</v>
      </c>
      <c r="AM75" s="62">
        <f t="shared" si="59"/>
        <v>721.11440301151652</v>
      </c>
      <c r="AN75" s="62">
        <f ca="1">AVERAGE(OFFSET($AM$3,0,0,'Données projet'!$E$10+1,1))-AVERAGE(OFFSET($H$3,0,0,'Données projet'!$E$10+1,1))</f>
        <v>348.82438445524105</v>
      </c>
      <c r="AO75" s="62">
        <f t="shared" si="90"/>
        <v>218.26721063098552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32.840553822665235</v>
      </c>
      <c r="AV75" s="23">
        <f>EXP(-LN(2)/25)*AV74+(1-EXP(-LN(2)/25))/(LN(2)/25)*Calculateur!AQ75*Calculateur!AS75*VLOOKUP('Données projet'!$B$10,Paramètres!$A$1:$I$89,3,0)*0.475*44/12</f>
        <v>12.63115718902365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45.471711011688882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6.75</v>
      </c>
      <c r="BD75" s="13">
        <f>IF('Données projet'!$A$88&gt;35,BD74+BC75-BL74,IF(A75&lt;'Données projet'!$A$88,$BA$205^A75,IF(A75='Données projet'!$A$88,'Données projet'!$B$88,BD74+BC75-BL74)))</f>
        <v>405.49999999999994</v>
      </c>
      <c r="BE75" s="14">
        <f>BD75*VLOOKUP('Données projet'!$B$11,Paramètres!$A$1:$I$89,3,0)*VLOOKUP('Données projet'!$B$11,Paramètres!$A$1:$I$89,5,0)</f>
        <v>231.946</v>
      </c>
      <c r="BF75" s="14">
        <f t="shared" si="91"/>
        <v>56.703245681093705</v>
      </c>
      <c r="BG75" s="22">
        <f t="shared" si="61"/>
        <v>502.73076956123822</v>
      </c>
      <c r="BH75" s="62">
        <f t="shared" si="62"/>
        <v>796.06410289457153</v>
      </c>
      <c r="BI75" s="62">
        <f ca="1">AVERAGE(OFFSET($BH$3,0,0,'Données projet'!$E$11+1,1))-AVERAGE(OFFSET($H$3,0,0,'Données projet'!$E$11+1,1))</f>
        <v>309.71642374647882</v>
      </c>
      <c r="BJ75" s="62">
        <f t="shared" si="92"/>
        <v>266.63880397664315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44.708409714809399</v>
      </c>
      <c r="BQ75" s="23">
        <f>EXP(-LN(2)/25)*BQ74+(1-EXP(-LN(2)/25))/(LN(2)/25)*Calculateur!BL75*Calculateur!BN75*VLOOKUP('Données projet'!$B$11,Paramètres!$A$1:$I$89,3,0)*0.475*44/12</f>
        <v>16.618846441874425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61.327256156683823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233.39999999999995</v>
      </c>
      <c r="BZ75" s="14">
        <f>BY75*VLOOKUP('Données projet'!$B$12,Paramètres!$A$1:$I$89,3,0)*VLOOKUP('Données projet'!$B$12,Paramètres!$A$1:$I$89,5,0)</f>
        <v>225.74447999999995</v>
      </c>
      <c r="CA75" s="14">
        <f t="shared" si="93"/>
        <v>55.36154088431374</v>
      </c>
      <c r="CB75" s="22">
        <f t="shared" si="64"/>
        <v>489.59298637351299</v>
      </c>
      <c r="CC75" s="62">
        <f t="shared" si="65"/>
        <v>782.92631970684624</v>
      </c>
      <c r="CD75" s="62">
        <f ca="1">AVERAGE(OFFSET($CC$3,0,0,'Données projet'!$E$12+1,1))-AVERAGE(OFFSET($H$3,0,0,'Données projet'!$E$12+1,1))</f>
        <v>394.59880827600006</v>
      </c>
      <c r="CE75" s="62">
        <f t="shared" si="94"/>
        <v>244.45149244446094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37.705821055652663</v>
      </c>
      <c r="CL75" s="23">
        <f>EXP(-LN(2)/25)*CL74+(1-EXP(-LN(2)/25))/(LN(2)/25)*Calculateur!CG75*Calculateur!CI75*VLOOKUP('Données projet'!$B$12,Paramètres!$A$1:$I$89,3,0)*0.475*44/12</f>
        <v>14.50243973554567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52.208260791198335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4.5224624045658861E-14</v>
      </c>
      <c r="CV75" s="14">
        <f t="shared" si="95"/>
        <v>7.4514601661523691E-13</v>
      </c>
      <c r="CW75" s="22">
        <f t="shared" si="67"/>
        <v>1.3765621991510601E-12</v>
      </c>
      <c r="CX75" s="62">
        <f t="shared" si="68"/>
        <v>293.33333333333468</v>
      </c>
      <c r="CY75" s="62">
        <f ca="1">AVERAGE(OFFSET($CX$3,0,0,'Données projet'!$E$13+1,1))-AVERAGE(OFFSET($H$3,0,0,'Données projet'!$E$13+1,1))</f>
        <v>293.90975929253631</v>
      </c>
      <c r="CZ75" s="62">
        <f t="shared" si="96"/>
        <v>288.30197520356643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5.5863189540540592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5.5863189540540592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5.6843418860808015E-14</v>
      </c>
      <c r="DP75" s="18">
        <f>DO75*VLOOKUP('Données projet'!$B$14,Paramètres!$A$1:$I$89,3,0)*VLOOKUP('Données projet'!$B$14,Paramètres!$A$1:$I$89,5,0)</f>
        <v>4.4337866711430253E-14</v>
      </c>
      <c r="DQ75" s="14">
        <f t="shared" si="97"/>
        <v>7.3222115536967035E-13</v>
      </c>
      <c r="DR75" s="22">
        <f t="shared" si="70"/>
        <v>1.3525069634579169E-12</v>
      </c>
      <c r="DS75" s="62">
        <f t="shared" si="71"/>
        <v>293.33333333333468</v>
      </c>
      <c r="DT75" s="62">
        <f ca="1">AVERAGE(OFFSET($DS$3,0,0,'Données projet'!$E$14+1,1))-AVERAGE(OFFSET($H$3,0,0,'Données projet'!$E$14+1,1))</f>
        <v>288.82868507674738</v>
      </c>
      <c r="DU75" s="62">
        <f t="shared" si="98"/>
        <v>283.48738729114024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4.4434279508754067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4.4434279508754067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-5.6843418860808015E-14</v>
      </c>
      <c r="EK75" s="18">
        <f>EJ75*VLOOKUP('Données projet'!$B$15,Paramètres!$A$1:$I$89,3,0)*VLOOKUP('Données projet'!$B$15,Paramètres!$A$1:$I$89,5,0)</f>
        <v>-5.1431925385259088E-14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366.86025470473652</v>
      </c>
      <c r="EP75" s="62">
        <f t="shared" si="100"/>
        <v>513.80016421153414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4.6073218350964122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4.6073218350964122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763.94335289202218</v>
      </c>
      <c r="S76" s="62">
        <f ca="1">AVERAGE(OFFSET($R$3,0,0,'Données projet'!$E$9+1,1))-AVERAGE(OFFSET($H$3,0,0,'Données projet'!$E$9+1,1))</f>
        <v>371.7282125501186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34.581501747997017</v>
      </c>
      <c r="AA76" s="23">
        <f>EXP(-LN(2)/25)*AA75+(1-EXP(-LN(2)/25))/(LN(2)/25)*Calculateur!V76*Calculateur!X76*VLOOKUP('Données projet'!$B$9,Paramètres!$A$1:$I$89,3,0)*0.475*44/12</f>
        <v>13.195813644886554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47.777315392883573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201.83903999999998</v>
      </c>
      <c r="AK76" s="14">
        <f t="shared" si="89"/>
        <v>50.148117498343801</v>
      </c>
      <c r="AL76" s="22">
        <f t="shared" si="58"/>
        <v>438.87763264294875</v>
      </c>
      <c r="AM76" s="62">
        <f t="shared" si="59"/>
        <v>732.21096597628207</v>
      </c>
      <c r="AN76" s="62">
        <f ca="1">AVERAGE(OFFSET($AM$3,0,0,'Données projet'!$E$10+1,1))-AVERAGE(OFFSET($H$3,0,0,'Données projet'!$E$10+1,1))</f>
        <v>348.82438445524105</v>
      </c>
      <c r="AO76" s="62">
        <f t="shared" si="90"/>
        <v>218.26721063098552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32.196570592962729</v>
      </c>
      <c r="AV76" s="23">
        <f>EXP(-LN(2)/25)*AV75+(1-EXP(-LN(2)/25))/(LN(2)/25)*Calculateur!AQ76*Calculateur!AS76*VLOOKUP('Données projet'!$B$10,Paramètres!$A$1:$I$89,3,0)*0.475*44/12</f>
        <v>12.28575753144611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44.482328124408838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6.75</v>
      </c>
      <c r="BD76" s="13">
        <f>IF('Données projet'!$A$88&gt;35,BD75+BC76-BL75,IF(A76&lt;'Données projet'!$A$88,$BA$205^A76,IF(A76='Données projet'!$A$88,'Données projet'!$B$88,BD75+BC76-BL75)))</f>
        <v>412.24999999999994</v>
      </c>
      <c r="BE76" s="14">
        <f>BD76*VLOOKUP('Données projet'!$B$11,Paramètres!$A$1:$I$89,3,0)*VLOOKUP('Données projet'!$B$11,Paramètres!$A$1:$I$89,5,0)</f>
        <v>235.80699999999999</v>
      </c>
      <c r="BF76" s="14">
        <f t="shared" si="91"/>
        <v>57.536462784250709</v>
      </c>
      <c r="BG76" s="22">
        <f t="shared" si="61"/>
        <v>510.90653101590328</v>
      </c>
      <c r="BH76" s="62">
        <f t="shared" si="62"/>
        <v>804.23986434923654</v>
      </c>
      <c r="BI76" s="62">
        <f ca="1">AVERAGE(OFFSET($BH$3,0,0,'Données projet'!$E$11+1,1))-AVERAGE(OFFSET($H$3,0,0,'Données projet'!$E$11+1,1))</f>
        <v>309.71642374647882</v>
      </c>
      <c r="BJ76" s="62">
        <f t="shared" si="92"/>
        <v>266.63880397664315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43.831705069739279</v>
      </c>
      <c r="BQ76" s="23">
        <f>EXP(-LN(2)/25)*BQ75+(1-EXP(-LN(2)/25))/(LN(2)/25)*Calculateur!BL76*Calculateur!BN76*VLOOKUP('Données projet'!$B$11,Paramètres!$A$1:$I$89,3,0)*0.475*44/12</f>
        <v>16.164403211974218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59.996108281713497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239.59999999999994</v>
      </c>
      <c r="BZ76" s="14">
        <f>BY76*VLOOKUP('Données projet'!$B$12,Paramètres!$A$1:$I$89,3,0)*VLOOKUP('Données projet'!$B$12,Paramètres!$A$1:$I$89,5,0)</f>
        <v>231.74111999999994</v>
      </c>
      <c r="CA76" s="14">
        <f t="shared" si="93"/>
        <v>56.658986982752438</v>
      </c>
      <c r="CB76" s="22">
        <f t="shared" si="64"/>
        <v>502.29685299496037</v>
      </c>
      <c r="CC76" s="62">
        <f t="shared" si="65"/>
        <v>795.63018632829369</v>
      </c>
      <c r="CD76" s="62">
        <f ca="1">AVERAGE(OFFSET($CC$3,0,0,'Données projet'!$E$12+1,1))-AVERAGE(OFFSET($H$3,0,0,'Données projet'!$E$12+1,1))</f>
        <v>394.59880827600006</v>
      </c>
      <c r="CE76" s="62">
        <f t="shared" si="94"/>
        <v>244.45149244446094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36.966432903031269</v>
      </c>
      <c r="CL76" s="23">
        <f>EXP(-LN(2)/25)*CL75+(1-EXP(-LN(2)/25))/(LN(2)/25)*Calculateur!CG76*Calculateur!CI76*VLOOKUP('Données projet'!$B$12,Paramètres!$A$1:$I$89,3,0)*0.475*44/12</f>
        <v>14.105869758327014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51.072302661358279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4.5224624045658861E-14</v>
      </c>
      <c r="CV76" s="14">
        <f t="shared" si="95"/>
        <v>7.4514601661523691E-13</v>
      </c>
      <c r="CW76" s="22">
        <f t="shared" si="67"/>
        <v>1.3765621991510601E-12</v>
      </c>
      <c r="CX76" s="62">
        <f t="shared" si="68"/>
        <v>293.33333333333468</v>
      </c>
      <c r="CY76" s="62">
        <f ca="1">AVERAGE(OFFSET($CX$3,0,0,'Données projet'!$E$13+1,1))-AVERAGE(OFFSET($H$3,0,0,'Données projet'!$E$13+1,1))</f>
        <v>293.90975929253631</v>
      </c>
      <c r="CZ76" s="62">
        <f t="shared" si="96"/>
        <v>288.30197520356643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5.4767746466831762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5.4767746466831762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5.6843418860808015E-14</v>
      </c>
      <c r="DP76" s="18">
        <f>DO76*VLOOKUP('Données projet'!$B$14,Paramètres!$A$1:$I$89,3,0)*VLOOKUP('Données projet'!$B$14,Paramètres!$A$1:$I$89,5,0)</f>
        <v>4.4337866711430253E-14</v>
      </c>
      <c r="DQ76" s="14">
        <f t="shared" si="97"/>
        <v>7.3222115536967035E-13</v>
      </c>
      <c r="DR76" s="22">
        <f t="shared" si="70"/>
        <v>1.3525069634579169E-12</v>
      </c>
      <c r="DS76" s="62">
        <f t="shared" si="71"/>
        <v>293.33333333333468</v>
      </c>
      <c r="DT76" s="62">
        <f ca="1">AVERAGE(OFFSET($DS$3,0,0,'Données projet'!$E$14+1,1))-AVERAGE(OFFSET($H$3,0,0,'Données projet'!$E$14+1,1))</f>
        <v>288.82868507674738</v>
      </c>
      <c r="DU76" s="62">
        <f t="shared" si="98"/>
        <v>283.48738729114024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4.3562950389821777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4.3562950389821777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-5.6843418860808015E-14</v>
      </c>
      <c r="EK76" s="18">
        <f>EJ76*VLOOKUP('Données projet'!$B$15,Paramètres!$A$1:$I$89,3,0)*VLOOKUP('Données projet'!$B$15,Paramètres!$A$1:$I$89,5,0)</f>
        <v>-5.1431925385259088E-14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366.86025470473652</v>
      </c>
      <c r="EP76" s="62">
        <f t="shared" si="100"/>
        <v>513.80016421153414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4.5169750640990083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4.5169750640990083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371.7282125501186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33.903379591352135</v>
      </c>
      <c r="AA77" s="23">
        <f>EXP(-LN(2)/25)*AA76+(1-EXP(-LN(2)/25))/(LN(2)/25)*Calculateur!V77*Calculateur!X77*VLOOKUP('Données projet'!$B$9,Paramètres!$A$1:$I$89,3,0)*0.475*44/12</f>
        <v>12.834973426829452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46.738353018181584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207.06191999999996</v>
      </c>
      <c r="AK77" s="14">
        <f t="shared" si="89"/>
        <v>51.293015758902222</v>
      </c>
      <c r="AL77" s="22">
        <f t="shared" si="58"/>
        <v>449.96817978008789</v>
      </c>
      <c r="AM77" s="62">
        <f t="shared" si="59"/>
        <v>743.30151311342115</v>
      </c>
      <c r="AN77" s="62">
        <f ca="1">AVERAGE(OFFSET($AM$3,0,0,'Données projet'!$E$10+1,1))-AVERAGE(OFFSET($H$3,0,0,'Données projet'!$E$10+1,1))</f>
        <v>348.82438445524105</v>
      </c>
      <c r="AO77" s="62">
        <f t="shared" si="90"/>
        <v>218.26721063098552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31.565215481603705</v>
      </c>
      <c r="AV77" s="23">
        <f>EXP(-LN(2)/25)*AV76+(1-EXP(-LN(2)/25))/(LN(2)/25)*Calculateur!AQ77*Calculateur!AS77*VLOOKUP('Données projet'!$B$10,Paramètres!$A$1:$I$89,3,0)*0.475*44/12</f>
        <v>11.949802845668808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43.515018327272514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419</v>
      </c>
      <c r="BB77" s="13">
        <f>VLOOKUP(A77,'Données projet'!$A$87:$I$107,9,0)</f>
        <v>6.75</v>
      </c>
      <c r="BC77" s="13">
        <f t="array" ref="BC77">INDEX(BB:BB,MIN(IF(ISNUMBER(BB77:BB273),ROW(BB77:BB273),"")))</f>
        <v>6.75</v>
      </c>
      <c r="BD77" s="13">
        <f>IF('Données projet'!$A$88&gt;35,BD76+BC77-BL76,IF(A77&lt;'Données projet'!$A$88,$BA$205^A77,IF(A77='Données projet'!$A$88,'Données projet'!$B$88,BD76+BC77-BL76)))</f>
        <v>418.99999999999994</v>
      </c>
      <c r="BE77" s="14">
        <f>BD77*VLOOKUP('Données projet'!$B$11,Paramètres!$A$1:$I$89,3,0)*VLOOKUP('Données projet'!$B$11,Paramètres!$A$1:$I$89,5,0)</f>
        <v>239.66799999999998</v>
      </c>
      <c r="BF77" s="14">
        <f t="shared" si="91"/>
        <v>58.368093311006277</v>
      </c>
      <c r="BG77" s="22">
        <f t="shared" si="61"/>
        <v>519.07952918333581</v>
      </c>
      <c r="BH77" s="62">
        <f t="shared" si="62"/>
        <v>812.41286251666907</v>
      </c>
      <c r="BI77" s="62">
        <f ca="1">AVERAGE(OFFSET($BH$3,0,0,'Données projet'!$E$11+1,1))-AVERAGE(OFFSET($H$3,0,0,'Données projet'!$E$11+1,1))</f>
        <v>309.71642374647882</v>
      </c>
      <c r="BJ77" s="62">
        <f t="shared" si="92"/>
        <v>266.63880397664315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20</v>
      </c>
      <c r="BM77" s="17">
        <f>IF(ISNA(VLOOKUP(A77,'Données projet'!$A$87:$I$107,5,0)),0%,VLOOKUP(A77,'Données projet'!$A$87:$I$107,5,0)*VLOOKUP('Données projet'!$B$11,Paramètres!$A$1:$I$89,7,0))</f>
        <v>0.33750000000000002</v>
      </c>
      <c r="BN77" s="17">
        <f>IF(ISNA(VLOOKUP(A77,'Données projet'!$A$87:$I$107,6,0)),0%,VLOOKUP(A77,'Données projet'!$A$87:$I$107,6,0)*VLOOKUP('Données projet'!$B$11,Paramètres!$A$1:$I$89,7,0))</f>
        <v>0.1125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48.094057430474017</v>
      </c>
      <c r="BQ77" s="23">
        <f>EXP(-LN(2)/25)*BQ76+(1-EXP(-LN(2)/25))/(LN(2)/25)*Calculateur!BL77*Calculateur!BN77*VLOOKUP('Données projet'!$B$11,Paramètres!$A$1:$I$89,3,0)*0.475*44/12</f>
        <v>17.422952965072557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65.517010395546578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245.79999999999993</v>
      </c>
      <c r="BZ77" s="14">
        <f>BY77*VLOOKUP('Données projet'!$B$12,Paramètres!$A$1:$I$89,3,0)*VLOOKUP('Données projet'!$B$12,Paramètres!$A$1:$I$89,5,0)</f>
        <v>237.73775999999995</v>
      </c>
      <c r="CA77" s="14">
        <f t="shared" si="93"/>
        <v>57.952530566790166</v>
      </c>
      <c r="CB77" s="22">
        <f t="shared" si="64"/>
        <v>514.99392273715944</v>
      </c>
      <c r="CC77" s="62">
        <f t="shared" si="65"/>
        <v>808.32725607049269</v>
      </c>
      <c r="CD77" s="62">
        <f ca="1">AVERAGE(OFFSET($CC$3,0,0,'Données projet'!$E$12+1,1))-AVERAGE(OFFSET($H$3,0,0,'Données projet'!$E$12+1,1))</f>
        <v>394.59880827600006</v>
      </c>
      <c r="CE77" s="62">
        <f t="shared" si="94"/>
        <v>244.45149244446094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36.241543701100532</v>
      </c>
      <c r="CL77" s="23">
        <f>EXP(-LN(2)/25)*CL76+(1-EXP(-LN(2)/25))/(LN(2)/25)*Calculateur!CG77*Calculateur!CI77*VLOOKUP('Données projet'!$B$12,Paramètres!$A$1:$I$89,3,0)*0.475*44/12</f>
        <v>13.720144007990111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49.96168770909064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4.5224624045658861E-14</v>
      </c>
      <c r="CV77" s="14">
        <f t="shared" si="95"/>
        <v>7.4514601661523691E-13</v>
      </c>
      <c r="CW77" s="22">
        <f t="shared" si="67"/>
        <v>1.3765621991510601E-12</v>
      </c>
      <c r="CX77" s="62">
        <f t="shared" si="68"/>
        <v>293.33333333333468</v>
      </c>
      <c r="CY77" s="62">
        <f ca="1">AVERAGE(OFFSET($CX$3,0,0,'Données projet'!$E$13+1,1))-AVERAGE(OFFSET($H$3,0,0,'Données projet'!$E$13+1,1))</f>
        <v>293.90975929253631</v>
      </c>
      <c r="CZ77" s="62">
        <f t="shared" si="96"/>
        <v>288.30197520356643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5.3693784363644061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5.3693784363644061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5.6843418860808015E-14</v>
      </c>
      <c r="DP77" s="18">
        <f>DO77*VLOOKUP('Données projet'!$B$14,Paramètres!$A$1:$I$89,3,0)*VLOOKUP('Données projet'!$B$14,Paramètres!$A$1:$I$89,5,0)</f>
        <v>4.4337866711430253E-14</v>
      </c>
      <c r="DQ77" s="14">
        <f t="shared" si="97"/>
        <v>7.3222115536967035E-13</v>
      </c>
      <c r="DR77" s="22">
        <f t="shared" si="70"/>
        <v>1.3525069634579169E-12</v>
      </c>
      <c r="DS77" s="62">
        <f t="shared" si="71"/>
        <v>293.33333333333468</v>
      </c>
      <c r="DT77" s="62">
        <f ca="1">AVERAGE(OFFSET($DS$3,0,0,'Données projet'!$E$14+1,1))-AVERAGE(OFFSET($H$3,0,0,'Données projet'!$E$14+1,1))</f>
        <v>288.82868507674738</v>
      </c>
      <c r="DU77" s="62">
        <f t="shared" si="98"/>
        <v>283.48738729114024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4.2708707503453462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4.2708707503453462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-5.6843418860808015E-14</v>
      </c>
      <c r="EK77" s="18">
        <f>EJ77*VLOOKUP('Données projet'!$B$15,Paramètres!$A$1:$I$89,3,0)*VLOOKUP('Données projet'!$B$15,Paramètres!$A$1:$I$89,5,0)</f>
        <v>-5.1431925385259088E-14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366.86025470473652</v>
      </c>
      <c r="EP77" s="62">
        <f t="shared" si="100"/>
        <v>513.80016421153414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4.4283999381747741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4.4283999381747741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787.72578207012941</v>
      </c>
      <c r="S78" s="62">
        <f ca="1">AVERAGE(OFFSET($R$3,0,0,'Données projet'!$E$9+1,1))-AVERAGE(OFFSET($H$3,0,0,'Données projet'!$E$9+1,1))</f>
        <v>371.7282125501186</v>
      </c>
      <c r="T78" s="62">
        <f t="shared" si="88"/>
        <v>231.36959598460686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33.238554996585385</v>
      </c>
      <c r="AA78" s="23">
        <f>EXP(-LN(2)/25)*AA77+(1-EXP(-LN(2)/25))/(LN(2)/25)*Calculateur!V78*Calculateur!X78*VLOOKUP('Données projet'!$B$9,Paramètres!$A$1:$I$89,3,0)*0.475*44/12</f>
        <v>12.484000403510882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45.722555400096269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212.28479999999993</v>
      </c>
      <c r="AK78" s="14">
        <f t="shared" si="89"/>
        <v>52.434557099704143</v>
      </c>
      <c r="AL78" s="22">
        <f t="shared" si="58"/>
        <v>461.05288028198464</v>
      </c>
      <c r="AM78" s="62">
        <f t="shared" si="59"/>
        <v>754.38621361531796</v>
      </c>
      <c r="AN78" s="62">
        <f ca="1">AVERAGE(OFFSET($AM$3,0,0,'Données projet'!$E$10+1,1))-AVERAGE(OFFSET($H$3,0,0,'Données projet'!$E$10+1,1))</f>
        <v>348.82438445524105</v>
      </c>
      <c r="AO78" s="62">
        <f t="shared" si="90"/>
        <v>218.26721063098552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30.946240858889837</v>
      </c>
      <c r="AV78" s="23">
        <f>EXP(-LN(2)/25)*AV77+(1-EXP(-LN(2)/25))/(LN(2)/25)*Calculateur!AQ78*Calculateur!AS78*VLOOKUP('Données projet'!$B$10,Paramètres!$A$1:$I$89,3,0)*0.475*44/12</f>
        <v>11.623034858441175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42.56927571733101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5.625</v>
      </c>
      <c r="BD78" s="13">
        <f>IF('Données projet'!$A$88&gt;35,BD77+BC78-BL77,IF(A78&lt;'Données projet'!$A$88,$BA$205^A78,IF(A78='Données projet'!$A$88,'Données projet'!$B$88,BD77+BC78-BL77)))</f>
        <v>404.62499999999994</v>
      </c>
      <c r="BE78" s="14">
        <f>BD78*VLOOKUP('Données projet'!$B$11,Paramètres!$A$1:$I$89,3,0)*VLOOKUP('Données projet'!$B$11,Paramètres!$A$1:$I$89,5,0)</f>
        <v>231.44549999999995</v>
      </c>
      <c r="BF78" s="14">
        <f t="shared" si="91"/>
        <v>56.595118370327334</v>
      </c>
      <c r="BG78" s="22">
        <f t="shared" si="61"/>
        <v>501.67074366165338</v>
      </c>
      <c r="BH78" s="62">
        <f t="shared" si="62"/>
        <v>795.00407699498669</v>
      </c>
      <c r="BI78" s="62">
        <f ca="1">AVERAGE(OFFSET($BH$3,0,0,'Données projet'!$E$11+1,1))-AVERAGE(OFFSET($H$3,0,0,'Données projet'!$E$11+1,1))</f>
        <v>309.71642374647882</v>
      </c>
      <c r="BJ78" s="62">
        <f t="shared" si="92"/>
        <v>266.63880397664315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47.150962298740914</v>
      </c>
      <c r="BQ78" s="23">
        <f>EXP(-LN(2)/25)*BQ77+(1-EXP(-LN(2)/25))/(LN(2)/25)*Calculateur!BL78*Calculateur!BN78*VLOOKUP('Données projet'!$B$11,Paramètres!$A$1:$I$89,3,0)*0.475*44/12</f>
        <v>16.946521400009374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64.097483698750295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251.99999999999991</v>
      </c>
      <c r="BZ78" s="14">
        <f>BY78*VLOOKUP('Données projet'!$B$12,Paramètres!$A$1:$I$89,3,0)*VLOOKUP('Données projet'!$B$12,Paramètres!$A$1:$I$89,5,0)</f>
        <v>243.73439999999994</v>
      </c>
      <c r="CA78" s="14">
        <f t="shared" si="93"/>
        <v>59.242281392848767</v>
      </c>
      <c r="CB78" s="22">
        <f t="shared" si="64"/>
        <v>527.68438675921141</v>
      </c>
      <c r="CC78" s="62">
        <f t="shared" si="65"/>
        <v>821.01772009254478</v>
      </c>
      <c r="CD78" s="62">
        <f ca="1">AVERAGE(OFFSET($CC$3,0,0,'Données projet'!$E$12+1,1))-AVERAGE(OFFSET($H$3,0,0,'Données projet'!$E$12+1,1))</f>
        <v>394.59880827600006</v>
      </c>
      <c r="CE78" s="62">
        <f t="shared" si="94"/>
        <v>244.45149244446094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35.530869134280906</v>
      </c>
      <c r="CL78" s="23">
        <f>EXP(-LN(2)/25)*CL77+(1-EXP(-LN(2)/25))/(LN(2)/25)*Calculateur!CG78*Calculateur!CI78*VLOOKUP('Données projet'!$B$12,Paramètres!$A$1:$I$89,3,0)*0.475*44/12</f>
        <v>13.344965948580606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48.875835082861514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4.5224624045658861E-14</v>
      </c>
      <c r="CV78" s="14">
        <f t="shared" si="95"/>
        <v>7.4514601661523691E-13</v>
      </c>
      <c r="CW78" s="22">
        <f t="shared" si="67"/>
        <v>1.3765621991510601E-12</v>
      </c>
      <c r="CX78" s="62">
        <f t="shared" si="68"/>
        <v>293.33333333333468</v>
      </c>
      <c r="CY78" s="62">
        <f ca="1">AVERAGE(OFFSET($CX$3,0,0,'Données projet'!$E$13+1,1))-AVERAGE(OFFSET($H$3,0,0,'Données projet'!$E$13+1,1))</f>
        <v>293.90975929253631</v>
      </c>
      <c r="CZ78" s="62">
        <f t="shared" si="96"/>
        <v>288.30197520356643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5.2640882002247675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5.2640882002247675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5.6843418860808015E-14</v>
      </c>
      <c r="DP78" s="18">
        <f>DO78*VLOOKUP('Données projet'!$B$14,Paramètres!$A$1:$I$89,3,0)*VLOOKUP('Données projet'!$B$14,Paramètres!$A$1:$I$89,5,0)</f>
        <v>4.4337866711430253E-14</v>
      </c>
      <c r="DQ78" s="14">
        <f t="shared" si="97"/>
        <v>7.3222115536967035E-13</v>
      </c>
      <c r="DR78" s="22">
        <f t="shared" si="70"/>
        <v>1.3525069634579169E-12</v>
      </c>
      <c r="DS78" s="62">
        <f t="shared" si="71"/>
        <v>293.33333333333468</v>
      </c>
      <c r="DT78" s="62">
        <f ca="1">AVERAGE(OFFSET($DS$3,0,0,'Données projet'!$E$14+1,1))-AVERAGE(OFFSET($H$3,0,0,'Données projet'!$E$14+1,1))</f>
        <v>288.82868507674738</v>
      </c>
      <c r="DU78" s="62">
        <f t="shared" si="98"/>
        <v>283.48738729114024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4.1871215799050123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4.1871215799050123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-5.6843418860808015E-14</v>
      </c>
      <c r="EK78" s="18">
        <f>EJ78*VLOOKUP('Données projet'!$B$15,Paramètres!$A$1:$I$89,3,0)*VLOOKUP('Données projet'!$B$15,Paramètres!$A$1:$I$89,5,0)</f>
        <v>-5.1431925385259088E-14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366.86025470473652</v>
      </c>
      <c r="EP78" s="62">
        <f t="shared" si="100"/>
        <v>513.80016421153414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4.3415617164444216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4.3415617164444216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371.7282125501186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32.586767206619051</v>
      </c>
      <c r="AA79" s="23">
        <f>EXP(-LN(2)/25)*AA78+(1-EXP(-LN(2)/25))/(LN(2)/25)*Calculateur!V79*Calculateur!X79*VLOOKUP('Données projet'!$B$9,Paramètres!$A$1:$I$89,3,0)*0.475*44/12</f>
        <v>12.142624755971827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44.729391962590881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199.64879999999994</v>
      </c>
      <c r="AK79" s="14">
        <f t="shared" si="89"/>
        <v>49.666976701936271</v>
      </c>
      <c r="AL79" s="22">
        <f t="shared" si="58"/>
        <v>434.22497775587226</v>
      </c>
      <c r="AM79" s="62">
        <f t="shared" si="59"/>
        <v>727.55831108920552</v>
      </c>
      <c r="AN79" s="62">
        <f ca="1">AVERAGE(OFFSET($AM$3,0,0,'Données projet'!$E$10+1,1))-AVERAGE(OFFSET($H$3,0,0,'Données projet'!$E$10+1,1))</f>
        <v>348.82438445524105</v>
      </c>
      <c r="AO79" s="62">
        <f t="shared" si="90"/>
        <v>218.26721063098552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30.339403950990146</v>
      </c>
      <c r="AV79" s="23">
        <f>EXP(-LN(2)/25)*AV78+(1-EXP(-LN(2)/25))/(LN(2)/25)*Calculateur!AQ79*Calculateur!AS79*VLOOKUP('Données projet'!$B$10,Paramètres!$A$1:$I$89,3,0)*0.475*44/12</f>
        <v>11.305202359008263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41.644606309998409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5.625</v>
      </c>
      <c r="BD79" s="13">
        <f>IF('Données projet'!$A$88&gt;35,BD78+BC79-BL78,IF(A79&lt;'Données projet'!$A$88,$BA$205^A79,IF(A79='Données projet'!$A$88,'Données projet'!$B$88,BD78+BC79-BL78)))</f>
        <v>410.24999999999994</v>
      </c>
      <c r="BE79" s="14">
        <f>BD79*VLOOKUP('Données projet'!$B$11,Paramètres!$A$1:$I$89,3,0)*VLOOKUP('Données projet'!$B$11,Paramètres!$A$1:$I$89,5,0)</f>
        <v>234.66299999999995</v>
      </c>
      <c r="BF79" s="14">
        <f t="shared" si="91"/>
        <v>57.289750356834169</v>
      </c>
      <c r="BG79" s="22">
        <f t="shared" si="61"/>
        <v>508.48437353815274</v>
      </c>
      <c r="BH79" s="62">
        <f t="shared" si="62"/>
        <v>801.81770687148605</v>
      </c>
      <c r="BI79" s="62">
        <f ca="1">AVERAGE(OFFSET($BH$3,0,0,'Données projet'!$E$11+1,1))-AVERAGE(OFFSET($H$3,0,0,'Données projet'!$E$11+1,1))</f>
        <v>309.71642374647882</v>
      </c>
      <c r="BJ79" s="62">
        <f t="shared" si="92"/>
        <v>266.63880397664315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46.226360687309871</v>
      </c>
      <c r="BQ79" s="23">
        <f>EXP(-LN(2)/25)*BQ78+(1-EXP(-LN(2)/25))/(LN(2)/25)*Calculateur!BL79*Calculateur!BN79*VLOOKUP('Données projet'!$B$11,Paramètres!$A$1:$I$89,3,0)*0.475*44/12</f>
        <v>16.48311788114729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62.709478568457158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236.99999999999989</v>
      </c>
      <c r="BZ79" s="14">
        <f>BY79*VLOOKUP('Données projet'!$B$12,Paramètres!$A$1:$I$89,3,0)*VLOOKUP('Données projet'!$B$12,Paramètres!$A$1:$I$89,5,0)</f>
        <v>229.22639999999993</v>
      </c>
      <c r="CA79" s="14">
        <f t="shared" si="93"/>
        <v>56.115378339388542</v>
      </c>
      <c r="CB79" s="22">
        <f t="shared" si="64"/>
        <v>496.97026394110162</v>
      </c>
      <c r="CC79" s="62">
        <f t="shared" si="65"/>
        <v>790.30359727443488</v>
      </c>
      <c r="CD79" s="62">
        <f ca="1">AVERAGE(OFFSET($CC$3,0,0,'Données projet'!$E$12+1,1))-AVERAGE(OFFSET($H$3,0,0,'Données projet'!$E$12+1,1))</f>
        <v>394.59880827600006</v>
      </c>
      <c r="CE79" s="62">
        <f t="shared" si="94"/>
        <v>244.45149244446094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34.834130462247927</v>
      </c>
      <c r="CL79" s="23">
        <f>EXP(-LN(2)/25)*CL78+(1-EXP(-LN(2)/25))/(LN(2)/25)*Calculateur!CG79*Calculateur!CI79*VLOOKUP('Données projet'!$B$12,Paramètres!$A$1:$I$89,3,0)*0.475*44/12</f>
        <v>12.980047152935411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47.81417761518334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4.5224624045658861E-14</v>
      </c>
      <c r="CV79" s="14">
        <f t="shared" si="95"/>
        <v>7.4514601661523691E-13</v>
      </c>
      <c r="CW79" s="22">
        <f t="shared" si="67"/>
        <v>1.3765621991510601E-12</v>
      </c>
      <c r="CX79" s="62">
        <f t="shared" si="68"/>
        <v>293.33333333333468</v>
      </c>
      <c r="CY79" s="62">
        <f ca="1">AVERAGE(OFFSET($CX$3,0,0,'Données projet'!$E$13+1,1))-AVERAGE(OFFSET($H$3,0,0,'Données projet'!$E$13+1,1))</f>
        <v>293.90975929253631</v>
      </c>
      <c r="CZ79" s="62">
        <f t="shared" si="96"/>
        <v>288.30197520356643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5.1608626413951244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5.1608626413951244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5.6843418860808015E-14</v>
      </c>
      <c r="DP79" s="18">
        <f>DO79*VLOOKUP('Données projet'!$B$14,Paramètres!$A$1:$I$89,3,0)*VLOOKUP('Données projet'!$B$14,Paramètres!$A$1:$I$89,5,0)</f>
        <v>4.4337866711430253E-14</v>
      </c>
      <c r="DQ79" s="14">
        <f t="shared" si="97"/>
        <v>7.3222115536967035E-13</v>
      </c>
      <c r="DR79" s="22">
        <f t="shared" si="70"/>
        <v>1.3525069634579169E-12</v>
      </c>
      <c r="DS79" s="62">
        <f t="shared" si="71"/>
        <v>293.33333333333468</v>
      </c>
      <c r="DT79" s="62">
        <f ca="1">AVERAGE(OFFSET($DS$3,0,0,'Données projet'!$E$14+1,1))-AVERAGE(OFFSET($H$3,0,0,'Données projet'!$E$14+1,1))</f>
        <v>288.82868507674738</v>
      </c>
      <c r="DU79" s="62">
        <f t="shared" si="98"/>
        <v>283.48738729114024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4.1050146796150626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4.1050146796150626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-5.6843418860808015E-14</v>
      </c>
      <c r="EK79" s="18">
        <f>EJ79*VLOOKUP('Données projet'!$B$15,Paramètres!$A$1:$I$89,3,0)*VLOOKUP('Données projet'!$B$15,Paramètres!$A$1:$I$89,5,0)</f>
        <v>-5.1431925385259088E-14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366.86025470473652</v>
      </c>
      <c r="EP79" s="62">
        <f t="shared" si="100"/>
        <v>513.80016421153414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4.2564263392761159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4.2564263392761159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371.7282125501186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31.94776057766266</v>
      </c>
      <c r="AA80" s="23">
        <f>EXP(-LN(2)/25)*AA79+(1-EXP(-LN(2)/25))/(LN(2)/25)*Calculateur!V80*Calculateur!X80*VLOOKUP('Données projet'!$B$9,Paramètres!$A$1:$I$89,3,0)*0.475*44/12</f>
        <v>11.810584043466894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43.758344621129552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204.70319999999992</v>
      </c>
      <c r="AK80" s="14">
        <f t="shared" si="89"/>
        <v>50.776386315598728</v>
      </c>
      <c r="AL80" s="22">
        <f t="shared" si="58"/>
        <v>444.96027949966765</v>
      </c>
      <c r="AM80" s="62">
        <f t="shared" si="59"/>
        <v>738.29361283300091</v>
      </c>
      <c r="AN80" s="62">
        <f ca="1">AVERAGE(OFFSET($AM$3,0,0,'Données projet'!$E$10+1,1))-AVERAGE(OFFSET($H$3,0,0,'Données projet'!$E$10+1,1))</f>
        <v>348.82438445524105</v>
      </c>
      <c r="AO80" s="62">
        <f t="shared" si="90"/>
        <v>218.26721063098552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29.744466744720402</v>
      </c>
      <c r="AV80" s="23">
        <f>EXP(-LN(2)/25)*AV79+(1-EXP(-LN(2)/25))/(LN(2)/25)*Calculateur!AQ80*Calculateur!AS80*VLOOKUP('Données projet'!$B$10,Paramètres!$A$1:$I$89,3,0)*0.475*44/12</f>
        <v>10.996061005986428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40.740527750706832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5.625</v>
      </c>
      <c r="BD80" s="13">
        <f>IF('Données projet'!$A$88&gt;35,BD79+BC80-BL79,IF(A80&lt;'Données projet'!$A$88,$BA$205^A80,IF(A80='Données projet'!$A$88,'Données projet'!$B$88,BD79+BC80-BL79)))</f>
        <v>415.87499999999994</v>
      </c>
      <c r="BE80" s="14">
        <f>BD80*VLOOKUP('Données projet'!$B$11,Paramètres!$A$1:$I$89,3,0)*VLOOKUP('Données projet'!$B$11,Paramètres!$A$1:$I$89,5,0)</f>
        <v>237.88049999999998</v>
      </c>
      <c r="BF80" s="14">
        <f t="shared" si="91"/>
        <v>57.983274573421546</v>
      </c>
      <c r="BG80" s="22">
        <f t="shared" si="61"/>
        <v>515.2960740487091</v>
      </c>
      <c r="BH80" s="62">
        <f t="shared" si="62"/>
        <v>808.62940738204247</v>
      </c>
      <c r="BI80" s="62">
        <f ca="1">AVERAGE(OFFSET($BH$3,0,0,'Données projet'!$E$11+1,1))-AVERAGE(OFFSET($H$3,0,0,'Données projet'!$E$11+1,1))</f>
        <v>309.71642374647882</v>
      </c>
      <c r="BJ80" s="62">
        <f t="shared" si="92"/>
        <v>266.63880397664315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45.319889949527692</v>
      </c>
      <c r="BQ80" s="23">
        <f>EXP(-LN(2)/25)*BQ79+(1-EXP(-LN(2)/25))/(LN(2)/25)*Calculateur!BL80*Calculateur!BN80*VLOOKUP('Données projet'!$B$11,Paramètres!$A$1:$I$89,3,0)*0.475*44/12</f>
        <v>16.03238615587782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61.352276105405508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242.99999999999989</v>
      </c>
      <c r="BZ80" s="14">
        <f>BY80*VLOOKUP('Données projet'!$B$12,Paramètres!$A$1:$I$89,3,0)*VLOOKUP('Données projet'!$B$12,Paramètres!$A$1:$I$89,5,0)</f>
        <v>235.0295999999999</v>
      </c>
      <c r="CA80" s="14">
        <f t="shared" si="93"/>
        <v>57.368825686861157</v>
      </c>
      <c r="CB80" s="22">
        <f t="shared" si="64"/>
        <v>509.26059140461626</v>
      </c>
      <c r="CC80" s="62">
        <f t="shared" si="65"/>
        <v>802.59392473794958</v>
      </c>
      <c r="CD80" s="62">
        <f ca="1">AVERAGE(OFFSET($CC$3,0,0,'Données projet'!$E$12+1,1))-AVERAGE(OFFSET($H$3,0,0,'Données projet'!$E$12+1,1))</f>
        <v>394.59880827600006</v>
      </c>
      <c r="CE80" s="62">
        <f t="shared" si="94"/>
        <v>244.45149244446094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34.151054410604885</v>
      </c>
      <c r="CL80" s="23">
        <f>EXP(-LN(2)/25)*CL79+(1-EXP(-LN(2)/25))/(LN(2)/25)*Calculateur!CG80*Calculateur!CI80*VLOOKUP('Données projet'!$B$12,Paramètres!$A$1:$I$89,3,0)*0.475*44/12</f>
        <v>12.625107080947378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46.776161491552266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4.5224624045658861E-14</v>
      </c>
      <c r="CV80" s="14">
        <f t="shared" si="95"/>
        <v>7.4514601661523691E-13</v>
      </c>
      <c r="CW80" s="22">
        <f t="shared" si="67"/>
        <v>1.3765621991510601E-12</v>
      </c>
      <c r="CX80" s="62">
        <f t="shared" si="68"/>
        <v>293.33333333333468</v>
      </c>
      <c r="CY80" s="62">
        <f ca="1">AVERAGE(OFFSET($CX$3,0,0,'Données projet'!$E$13+1,1))-AVERAGE(OFFSET($H$3,0,0,'Données projet'!$E$13+1,1))</f>
        <v>293.90975929253631</v>
      </c>
      <c r="CZ80" s="62">
        <f t="shared" si="96"/>
        <v>288.30197520356643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5.0596612728127566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5.0596612728127566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5.6843418860808015E-14</v>
      </c>
      <c r="DP80" s="18">
        <f>DO80*VLOOKUP('Données projet'!$B$14,Paramètres!$A$1:$I$89,3,0)*VLOOKUP('Données projet'!$B$14,Paramètres!$A$1:$I$89,5,0)</f>
        <v>4.4337866711430253E-14</v>
      </c>
      <c r="DQ80" s="14">
        <f t="shared" si="97"/>
        <v>7.3222115536967035E-13</v>
      </c>
      <c r="DR80" s="22">
        <f t="shared" si="70"/>
        <v>1.3525069634579169E-12</v>
      </c>
      <c r="DS80" s="62">
        <f t="shared" si="71"/>
        <v>293.33333333333468</v>
      </c>
      <c r="DT80" s="62">
        <f ca="1">AVERAGE(OFFSET($DS$3,0,0,'Données projet'!$E$14+1,1))-AVERAGE(OFFSET($H$3,0,0,'Données projet'!$E$14+1,1))</f>
        <v>288.82868507674738</v>
      </c>
      <c r="DU80" s="62">
        <f t="shared" si="98"/>
        <v>283.48738729114024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4.0245178455595347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4.0245178455595347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-5.6843418860808015E-14</v>
      </c>
      <c r="EK80" s="18">
        <f>EJ80*VLOOKUP('Données projet'!$B$15,Paramètres!$A$1:$I$89,3,0)*VLOOKUP('Données projet'!$B$15,Paramètres!$A$1:$I$89,5,0)</f>
        <v>-5.1431925385259088E-14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366.86025470473652</v>
      </c>
      <c r="EP80" s="62">
        <f t="shared" si="100"/>
        <v>513.80016421153414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4.1729604149266279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4.1729604149266279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371.7282125501186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31.321284478944545</v>
      </c>
      <c r="AA81" s="23">
        <f>EXP(-LN(2)/25)*AA80+(1-EXP(-LN(2)/25))/(LN(2)/25)*Calculateur!V81*Calculateur!X81*VLOOKUP('Données projet'!$B$9,Paramètres!$A$1:$I$89,3,0)*0.475*44/12</f>
        <v>11.487623001706671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42.808907480651214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209.75759999999994</v>
      </c>
      <c r="AK81" s="14">
        <f t="shared" si="89"/>
        <v>51.88261163954845</v>
      </c>
      <c r="AL81" s="22">
        <f t="shared" si="58"/>
        <v>455.69003527221344</v>
      </c>
      <c r="AM81" s="62">
        <f t="shared" si="59"/>
        <v>749.02336860554669</v>
      </c>
      <c r="AN81" s="62">
        <f ca="1">AVERAGE(OFFSET($AM$3,0,0,'Données projet'!$E$10+1,1))-AVERAGE(OFFSET($H$3,0,0,'Données projet'!$E$10+1,1))</f>
        <v>348.82438445524105</v>
      </c>
      <c r="AO81" s="62">
        <f t="shared" si="90"/>
        <v>218.26721063098552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29.161195894189742</v>
      </c>
      <c r="AV81" s="23">
        <f>EXP(-LN(2)/25)*AV80+(1-EXP(-LN(2)/25))/(LN(2)/25)*Calculateur!AQ81*Calculateur!AS81*VLOOKUP('Données projet'!$B$10,Paramètres!$A$1:$I$89,3,0)*0.475*44/12</f>
        <v>10.695373139520013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39.856569033709754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5.625</v>
      </c>
      <c r="BD81" s="13">
        <f>IF('Données projet'!$A$88&gt;35,BD80+BC81-BL80,IF(A81&lt;'Données projet'!$A$88,$BA$205^A81,IF(A81='Données projet'!$A$88,'Données projet'!$B$88,BD80+BC81-BL80)))</f>
        <v>421.49999999999994</v>
      </c>
      <c r="BE81" s="14">
        <f>BD81*VLOOKUP('Données projet'!$B$11,Paramètres!$A$1:$I$89,3,0)*VLOOKUP('Données projet'!$B$11,Paramètres!$A$1:$I$89,5,0)</f>
        <v>241.09799999999998</v>
      </c>
      <c r="BF81" s="14">
        <f t="shared" si="91"/>
        <v>58.675707735379945</v>
      </c>
      <c r="BG81" s="22">
        <f t="shared" si="61"/>
        <v>522.10587430578664</v>
      </c>
      <c r="BH81" s="62">
        <f t="shared" si="62"/>
        <v>815.43920763912001</v>
      </c>
      <c r="BI81" s="62">
        <f ca="1">AVERAGE(OFFSET($BH$3,0,0,'Données projet'!$E$11+1,1))-AVERAGE(OFFSET($H$3,0,0,'Données projet'!$E$11+1,1))</f>
        <v>309.71642374647882</v>
      </c>
      <c r="BJ81" s="62">
        <f t="shared" si="92"/>
        <v>266.63880397664315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44.431194550020862</v>
      </c>
      <c r="BQ81" s="23">
        <f>EXP(-LN(2)/25)*BQ80+(1-EXP(-LN(2)/25))/(LN(2)/25)*Calculateur!BL81*Calculateur!BN81*VLOOKUP('Données projet'!$B$11,Paramètres!$A$1:$I$89,3,0)*0.475*44/12</f>
        <v>15.593979713338795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60.025174263359659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248.99999999999989</v>
      </c>
      <c r="BZ81" s="14">
        <f>BY81*VLOOKUP('Données projet'!$B$12,Paramètres!$A$1:$I$89,3,0)*VLOOKUP('Données projet'!$B$12,Paramètres!$A$1:$I$89,5,0)</f>
        <v>240.83279999999991</v>
      </c>
      <c r="CA81" s="14">
        <f t="shared" si="93"/>
        <v>58.618675319436669</v>
      </c>
      <c r="CB81" s="22">
        <f t="shared" si="64"/>
        <v>521.5446528480187</v>
      </c>
      <c r="CC81" s="62">
        <f t="shared" si="65"/>
        <v>814.87798618135207</v>
      </c>
      <c r="CD81" s="62">
        <f ca="1">AVERAGE(OFFSET($CC$3,0,0,'Données projet'!$E$12+1,1))-AVERAGE(OFFSET($H$3,0,0,'Données projet'!$E$12+1,1))</f>
        <v>394.59880827600006</v>
      </c>
      <c r="CE81" s="62">
        <f t="shared" si="94"/>
        <v>244.45149244446094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33.481373063699316</v>
      </c>
      <c r="CL81" s="23">
        <f>EXP(-LN(2)/25)*CL80+(1-EXP(-LN(2)/25))/(LN(2)/25)*Calculateur!CG81*Calculateur!CI81*VLOOKUP('Données projet'!$B$12,Paramètres!$A$1:$I$89,3,0)*0.475*44/12</f>
        <v>12.279872863893345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45.761245927592661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4.5224624045658861E-14</v>
      </c>
      <c r="CV81" s="14">
        <f t="shared" si="95"/>
        <v>7.4514601661523691E-13</v>
      </c>
      <c r="CW81" s="22">
        <f t="shared" si="67"/>
        <v>1.3765621991510601E-12</v>
      </c>
      <c r="CX81" s="62">
        <f t="shared" si="68"/>
        <v>293.33333333333468</v>
      </c>
      <c r="CY81" s="62">
        <f ca="1">AVERAGE(OFFSET($CX$3,0,0,'Données projet'!$E$13+1,1))-AVERAGE(OFFSET($H$3,0,0,'Données projet'!$E$13+1,1))</f>
        <v>293.90975929253631</v>
      </c>
      <c r="CZ81" s="62">
        <f t="shared" si="96"/>
        <v>288.30197520356643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4.9604444013415492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4.9604444013415492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5.6843418860808015E-14</v>
      </c>
      <c r="DP81" s="18">
        <f>DO81*VLOOKUP('Données projet'!$B$14,Paramètres!$A$1:$I$89,3,0)*VLOOKUP('Données projet'!$B$14,Paramètres!$A$1:$I$89,5,0)</f>
        <v>4.4337866711430253E-14</v>
      </c>
      <c r="DQ81" s="14">
        <f t="shared" si="97"/>
        <v>7.3222115536967035E-13</v>
      </c>
      <c r="DR81" s="22">
        <f t="shared" si="70"/>
        <v>1.3525069634579169E-12</v>
      </c>
      <c r="DS81" s="62">
        <f t="shared" si="71"/>
        <v>293.33333333333468</v>
      </c>
      <c r="DT81" s="62">
        <f ca="1">AVERAGE(OFFSET($DS$3,0,0,'Données projet'!$E$14+1,1))-AVERAGE(OFFSET($H$3,0,0,'Données projet'!$E$14+1,1))</f>
        <v>288.82868507674738</v>
      </c>
      <c r="DU81" s="62">
        <f t="shared" si="98"/>
        <v>283.48738729114024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3.9455995053216153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3.9455995053216153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-5.6843418860808015E-14</v>
      </c>
      <c r="EK81" s="18">
        <f>EJ81*VLOOKUP('Données projet'!$B$15,Paramètres!$A$1:$I$89,3,0)*VLOOKUP('Données projet'!$B$15,Paramètres!$A$1:$I$89,5,0)</f>
        <v>-5.1431925385259088E-14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366.86025470473652</v>
      </c>
      <c r="EP81" s="62">
        <f t="shared" si="100"/>
        <v>513.80016421153414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4.0911312064444472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4.0911312064444472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371.7282125501186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30.707093194409602</v>
      </c>
      <c r="AA82" s="23">
        <f>EXP(-LN(2)/25)*AA81+(1-EXP(-LN(2)/25))/(LN(2)/25)*Calculateur!V82*Calculateur!X82*VLOOKUP('Données projet'!$B$9,Paramètres!$A$1:$I$89,3,0)*0.475*44/12</f>
        <v>11.173493346617164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41.880586541026766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214.81199999999995</v>
      </c>
      <c r="AK82" s="14">
        <f t="shared" si="89"/>
        <v>52.985738231738054</v>
      </c>
      <c r="AL82" s="22">
        <f t="shared" si="58"/>
        <v>466.41439408694367</v>
      </c>
      <c r="AM82" s="62">
        <f t="shared" si="59"/>
        <v>759.74772742027699</v>
      </c>
      <c r="AN82" s="62">
        <f ca="1">AVERAGE(OFFSET($AM$3,0,0,'Données projet'!$E$10+1,1))-AVERAGE(OFFSET($H$3,0,0,'Données projet'!$E$10+1,1))</f>
        <v>348.82438445524105</v>
      </c>
      <c r="AO82" s="62">
        <f t="shared" si="90"/>
        <v>218.26721063098552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28.589362629277897</v>
      </c>
      <c r="AV82" s="23">
        <f>EXP(-LN(2)/25)*AV81+(1-EXP(-LN(2)/25))/(LN(2)/25)*Calculateur!AQ82*Calculateur!AS82*VLOOKUP('Données projet'!$B$10,Paramètres!$A$1:$I$89,3,0)*0.475*44/12</f>
        <v>10.402907598574609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38.992270227852508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5.625</v>
      </c>
      <c r="BD82" s="13">
        <f>IF('Données projet'!$A$88&gt;35,BD81+BC82-BL81,IF(A82&lt;'Données projet'!$A$88,$BA$205^A82,IF(A82='Données projet'!$A$88,'Données projet'!$B$88,BD81+BC82-BL81)))</f>
        <v>427.12499999999994</v>
      </c>
      <c r="BE82" s="14">
        <f>BD82*VLOOKUP('Données projet'!$B$11,Paramètres!$A$1:$I$89,3,0)*VLOOKUP('Données projet'!$B$11,Paramètres!$A$1:$I$89,5,0)</f>
        <v>244.31549999999999</v>
      </c>
      <c r="BF82" s="14">
        <f t="shared" si="91"/>
        <v>59.36706608622147</v>
      </c>
      <c r="BG82" s="22">
        <f t="shared" si="61"/>
        <v>528.91380260016911</v>
      </c>
      <c r="BH82" s="62">
        <f t="shared" si="62"/>
        <v>822.24713593350248</v>
      </c>
      <c r="BI82" s="62">
        <f ca="1">AVERAGE(OFFSET($BH$3,0,0,'Données projet'!$E$11+1,1))-AVERAGE(OFFSET($H$3,0,0,'Données projet'!$E$11+1,1))</f>
        <v>309.71642374647882</v>
      </c>
      <c r="BJ82" s="62">
        <f t="shared" si="92"/>
        <v>266.63880397664315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43.55992592524769</v>
      </c>
      <c r="BQ82" s="23">
        <f>EXP(-LN(2)/25)*BQ81+(1-EXP(-LN(2)/25))/(LN(2)/25)*Calculateur!BL82*Calculateur!BN82*VLOOKUP('Données projet'!$B$11,Paramètres!$A$1:$I$89,3,0)*0.475*44/12</f>
        <v>15.167561518025794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58.727487443273482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254.99999999999989</v>
      </c>
      <c r="BZ82" s="14">
        <f>BY82*VLOOKUP('Données projet'!$B$12,Paramètres!$A$1:$I$89,3,0)*VLOOKUP('Données projet'!$B$12,Paramètres!$A$1:$I$89,5,0)</f>
        <v>246.63599999999991</v>
      </c>
      <c r="CA82" s="14">
        <f t="shared" si="93"/>
        <v>59.865023903294535</v>
      </c>
      <c r="CB82" s="22">
        <f t="shared" si="64"/>
        <v>533.82261663157112</v>
      </c>
      <c r="CC82" s="62">
        <f t="shared" si="65"/>
        <v>827.15594996490449</v>
      </c>
      <c r="CD82" s="62">
        <f ca="1">AVERAGE(OFFSET($CC$3,0,0,'Données projet'!$E$12+1,1))-AVERAGE(OFFSET($H$3,0,0,'Données projet'!$E$12+1,1))</f>
        <v>394.59880827600006</v>
      </c>
      <c r="CE82" s="62">
        <f t="shared" si="94"/>
        <v>244.45149244446094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32.824823759541275</v>
      </c>
      <c r="CL82" s="23">
        <f>EXP(-LN(2)/25)*CL81+(1-EXP(-LN(2)/25))/(LN(2)/25)*Calculateur!CG82*Calculateur!CI82*VLOOKUP('Données projet'!$B$12,Paramètres!$A$1:$I$89,3,0)*0.475*44/12</f>
        <v>11.944079094659735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44.768902854201009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4.5224624045658861E-14</v>
      </c>
      <c r="CV82" s="14">
        <f t="shared" si="95"/>
        <v>7.4514601661523691E-13</v>
      </c>
      <c r="CW82" s="22">
        <f t="shared" si="67"/>
        <v>1.3765621991510601E-12</v>
      </c>
      <c r="CX82" s="62">
        <f t="shared" si="68"/>
        <v>293.33333333333468</v>
      </c>
      <c r="CY82" s="62">
        <f ca="1">AVERAGE(OFFSET($CX$3,0,0,'Données projet'!$E$13+1,1))-AVERAGE(OFFSET($H$3,0,0,'Données projet'!$E$13+1,1))</f>
        <v>293.90975929253631</v>
      </c>
      <c r="CZ82" s="62">
        <f t="shared" si="96"/>
        <v>288.30197520356643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4.863173112203576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4.863173112203576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5.6843418860808015E-14</v>
      </c>
      <c r="DP82" s="18">
        <f>DO82*VLOOKUP('Données projet'!$B$14,Paramètres!$A$1:$I$89,3,0)*VLOOKUP('Données projet'!$B$14,Paramètres!$A$1:$I$89,5,0)</f>
        <v>4.4337866711430253E-14</v>
      </c>
      <c r="DQ82" s="14">
        <f t="shared" si="97"/>
        <v>7.3222115536967035E-13</v>
      </c>
      <c r="DR82" s="22">
        <f t="shared" si="70"/>
        <v>1.3525069634579169E-12</v>
      </c>
      <c r="DS82" s="62">
        <f t="shared" si="71"/>
        <v>293.33333333333468</v>
      </c>
      <c r="DT82" s="62">
        <f ca="1">AVERAGE(OFFSET($DS$3,0,0,'Données projet'!$E$14+1,1))-AVERAGE(OFFSET($H$3,0,0,'Données projet'!$E$14+1,1))</f>
        <v>288.82868507674738</v>
      </c>
      <c r="DU82" s="62">
        <f t="shared" si="98"/>
        <v>283.48738729114024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3.8682287056003268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3.8682287056003268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-5.6843418860808015E-14</v>
      </c>
      <c r="EK82" s="18">
        <f>EJ82*VLOOKUP('Données projet'!$B$15,Paramètres!$A$1:$I$89,3,0)*VLOOKUP('Données projet'!$B$15,Paramètres!$A$1:$I$89,5,0)</f>
        <v>-5.1431925385259088E-14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366.86025470473652</v>
      </c>
      <c r="EP82" s="62">
        <f t="shared" si="100"/>
        <v>513.80016421153414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4.0109066188297131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4.0109066188297131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371.7282125501186</v>
      </c>
      <c r="T83" s="62">
        <f t="shared" si="88"/>
        <v>231.36959598460686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30.104945826344697</v>
      </c>
      <c r="AA83" s="23">
        <f>EXP(-LN(2)/25)*AA82+(1-EXP(-LN(2)/25))/(LN(2)/25)*Calculateur!V83*Calculateur!X83*VLOOKUP('Données projet'!$B$9,Paramètres!$A$1:$I$89,3,0)*0.475*44/12</f>
        <v>10.867953583465439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40.97289940981014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219.86639999999991</v>
      </c>
      <c r="AK83" s="14">
        <f t="shared" si="89"/>
        <v>54.085847394182416</v>
      </c>
      <c r="AL83" s="22">
        <f t="shared" si="58"/>
        <v>477.13349754486757</v>
      </c>
      <c r="AM83" s="62">
        <f t="shared" si="59"/>
        <v>770.46683087820088</v>
      </c>
      <c r="AN83" s="62">
        <f ca="1">AVERAGE(OFFSET($AM$3,0,0,'Données projet'!$E$10+1,1))-AVERAGE(OFFSET($H$3,0,0,'Données projet'!$E$10+1,1))</f>
        <v>348.82438445524105</v>
      </c>
      <c r="AO83" s="62">
        <f t="shared" si="90"/>
        <v>218.26721063098552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28.028742665907121</v>
      </c>
      <c r="AV83" s="23">
        <f>EXP(-LN(2)/25)*AV82+(1-EXP(-LN(2)/25))/(LN(2)/25)*Calculateur!AQ83*Calculateur!AS83*VLOOKUP('Données projet'!$B$10,Paramètres!$A$1:$I$89,3,0)*0.475*44/12</f>
        <v>10.118439543226453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38.147182209133575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5.625</v>
      </c>
      <c r="BD83" s="13">
        <f>IF('Données projet'!$A$88&gt;35,BD82+BC83-BL82,IF(A83&lt;'Données projet'!$A$88,$BA$205^A83,IF(A83='Données projet'!$A$88,'Données projet'!$B$88,BD82+BC83-BL82)))</f>
        <v>432.74999999999994</v>
      </c>
      <c r="BE83" s="14">
        <f>BD83*VLOOKUP('Données projet'!$B$11,Paramètres!$A$1:$I$89,3,0)*VLOOKUP('Données projet'!$B$11,Paramètres!$A$1:$I$89,5,0)</f>
        <v>247.53299999999996</v>
      </c>
      <c r="BF83" s="14">
        <f t="shared" si="91"/>
        <v>60.057365417030148</v>
      </c>
      <c r="BG83" s="22">
        <f t="shared" si="61"/>
        <v>535.71988643466068</v>
      </c>
      <c r="BH83" s="62">
        <f t="shared" si="62"/>
        <v>829.05321976799405</v>
      </c>
      <c r="BI83" s="62">
        <f ca="1">AVERAGE(OFFSET($BH$3,0,0,'Données projet'!$E$11+1,1))-AVERAGE(OFFSET($H$3,0,0,'Données projet'!$E$11+1,1))</f>
        <v>309.71642374647882</v>
      </c>
      <c r="BJ83" s="62">
        <f t="shared" si="92"/>
        <v>266.63880397664315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42.70574234678493</v>
      </c>
      <c r="BQ83" s="23">
        <f>EXP(-LN(2)/25)*BQ82+(1-EXP(-LN(2)/25))/(LN(2)/25)*Calculateur!BL83*Calculateur!BN83*VLOOKUP('Données projet'!$B$11,Paramètres!$A$1:$I$89,3,0)*0.475*44/12</f>
        <v>14.752803750687985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57.458546097472919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261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260.99999999999989</v>
      </c>
      <c r="BZ83" s="14">
        <f>BY83*VLOOKUP('Données projet'!$B$12,Paramètres!$A$1:$I$89,3,0)*VLOOKUP('Données projet'!$B$12,Paramètres!$A$1:$I$89,5,0)</f>
        <v>252.43919999999991</v>
      </c>
      <c r="CA83" s="14">
        <f t="shared" si="93"/>
        <v>61.107963296116218</v>
      </c>
      <c r="CB83" s="22">
        <f t="shared" si="64"/>
        <v>546.09464274073559</v>
      </c>
      <c r="CC83" s="62">
        <f t="shared" si="65"/>
        <v>839.42797607406897</v>
      </c>
      <c r="CD83" s="62">
        <f ca="1">AVERAGE(OFFSET($CC$3,0,0,'Données projet'!$E$12+1,1))-AVERAGE(OFFSET($H$3,0,0,'Données projet'!$E$12+1,1))</f>
        <v>394.59880827600006</v>
      </c>
      <c r="CE83" s="62">
        <f t="shared" si="94"/>
        <v>244.45149244446094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32.18114898678224</v>
      </c>
      <c r="CL83" s="23">
        <f>EXP(-LN(2)/25)*CL82+(1-EXP(-LN(2)/25))/(LN(2)/25)*Calculateur!CG83*Calculateur!CI83*VLOOKUP('Données projet'!$B$12,Paramètres!$A$1:$I$89,3,0)*0.475*44/12</f>
        <v>11.617467623704442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43.798616610486683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4.5224624045658861E-14</v>
      </c>
      <c r="CV83" s="14">
        <f t="shared" si="95"/>
        <v>7.4514601661523691E-13</v>
      </c>
      <c r="CW83" s="22">
        <f t="shared" si="67"/>
        <v>1.3765621991510601E-12</v>
      </c>
      <c r="CX83" s="62">
        <f t="shared" si="68"/>
        <v>293.33333333333468</v>
      </c>
      <c r="CY83" s="62">
        <f ca="1">AVERAGE(OFFSET($CX$3,0,0,'Données projet'!$E$13+1,1))-AVERAGE(OFFSET($H$3,0,0,'Données projet'!$E$13+1,1))</f>
        <v>293.90975929253631</v>
      </c>
      <c r="CZ83" s="62">
        <f t="shared" si="96"/>
        <v>288.30197520356643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4.7678092537159698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4.7678092537159698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5.6843418860808015E-14</v>
      </c>
      <c r="DP83" s="18">
        <f>DO83*VLOOKUP('Données projet'!$B$14,Paramètres!$A$1:$I$89,3,0)*VLOOKUP('Données projet'!$B$14,Paramètres!$A$1:$I$89,5,0)</f>
        <v>4.4337866711430253E-14</v>
      </c>
      <c r="DQ83" s="14">
        <f t="shared" si="97"/>
        <v>7.3222115536967035E-13</v>
      </c>
      <c r="DR83" s="22">
        <f t="shared" si="70"/>
        <v>1.3525069634579169E-12</v>
      </c>
      <c r="DS83" s="62">
        <f t="shared" si="71"/>
        <v>293.33333333333468</v>
      </c>
      <c r="DT83" s="62">
        <f ca="1">AVERAGE(OFFSET($DS$3,0,0,'Données projet'!$E$14+1,1))-AVERAGE(OFFSET($H$3,0,0,'Données projet'!$E$14+1,1))</f>
        <v>288.82868507674738</v>
      </c>
      <c r="DU83" s="62">
        <f t="shared" si="98"/>
        <v>283.48738729114024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3.792375100070045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3.792375100070045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-5.6843418860808015E-14</v>
      </c>
      <c r="EK83" s="18">
        <f>EJ83*VLOOKUP('Données projet'!$B$15,Paramètres!$A$1:$I$89,3,0)*VLOOKUP('Données projet'!$B$15,Paramètres!$A$1:$I$89,5,0)</f>
        <v>-5.1431925385259088E-14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366.86025470473652</v>
      </c>
      <c r="EP83" s="62">
        <f t="shared" si="100"/>
        <v>513.80016421153414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3.932255186445937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3.932255186445937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</v>
      </c>
      <c r="O84" s="14">
        <f>N84*VLOOKUP('Données projet'!$B$9,Paramètres!$A$1:$I$89,3,0)*VLOOKUP('Données projet'!$B$9,Paramètres!$A$1:$I$89,5,0)</f>
        <v>222.3998399999999</v>
      </c>
      <c r="P84" s="14">
        <f t="shared" si="87"/>
        <v>54.636149281681448</v>
      </c>
      <c r="Q84" s="22">
        <f t="shared" si="54"/>
        <v>482.50434799892832</v>
      </c>
      <c r="R84" s="62">
        <f t="shared" si="55"/>
        <v>775.83768133226158</v>
      </c>
      <c r="S84" s="62">
        <f ca="1">AVERAGE(OFFSET($R$3,0,0,'Données projet'!$E$9+1,1))-AVERAGE(OFFSET($H$3,0,0,'Données projet'!$E$9+1,1))</f>
        <v>371.7282125501186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29.514606200893915</v>
      </c>
      <c r="AA84" s="23">
        <f>EXP(-LN(2)/25)*AA83+(1-EXP(-LN(2)/25))/(LN(2)/25)*Calculateur!V84*Calculateur!X84*VLOOKUP('Données projet'!$B$9,Paramètres!$A$1:$I$89,3,0)*0.475*44/12</f>
        <v>10.570768821204737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40.085375022098653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207.06191999999993</v>
      </c>
      <c r="AK84" s="14">
        <f t="shared" si="89"/>
        <v>51.293015758902222</v>
      </c>
      <c r="AL84" s="22">
        <f t="shared" si="58"/>
        <v>449.96817978008789</v>
      </c>
      <c r="AM84" s="62">
        <f t="shared" si="59"/>
        <v>743.30151311342115</v>
      </c>
      <c r="AN84" s="62">
        <f ca="1">AVERAGE(OFFSET($AM$3,0,0,'Données projet'!$E$10+1,1))-AVERAGE(OFFSET($H$3,0,0,'Données projet'!$E$10+1,1))</f>
        <v>348.82438445524105</v>
      </c>
      <c r="AO84" s="62">
        <f t="shared" si="90"/>
        <v>218.26721063098552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27.479116118073634</v>
      </c>
      <c r="AV84" s="23">
        <f>EXP(-LN(2)/25)*AV83+(1-EXP(-LN(2)/25))/(LN(2)/25)*Calculateur!AQ84*Calculateur!AS84*VLOOKUP('Données projet'!$B$10,Paramètres!$A$1:$I$89,3,0)*0.475*44/12</f>
        <v>9.8417502818113149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37.320866399884949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5.625</v>
      </c>
      <c r="BD84" s="13">
        <f>IF('Données projet'!$A$88&gt;35,BD83+BC84-BL83,IF(A84&lt;'Données projet'!$A$88,$BA$205^A84,IF(A84='Données projet'!$A$88,'Données projet'!$B$88,BD83+BC84-BL83)))</f>
        <v>438.37499999999994</v>
      </c>
      <c r="BE84" s="14">
        <f>BD84*VLOOKUP('Données projet'!$B$11,Paramètres!$A$1:$I$89,3,0)*VLOOKUP('Données projet'!$B$11,Paramètres!$A$1:$I$89,5,0)</f>
        <v>250.75049999999996</v>
      </c>
      <c r="BF84" s="14">
        <f t="shared" si="91"/>
        <v>60.746621084776628</v>
      </c>
      <c r="BG84" s="22">
        <f t="shared" si="61"/>
        <v>542.52415255598589</v>
      </c>
      <c r="BH84" s="62">
        <f t="shared" si="62"/>
        <v>835.85748588931915</v>
      </c>
      <c r="BI84" s="62">
        <f ca="1">AVERAGE(OFFSET($BH$3,0,0,'Données projet'!$E$11+1,1))-AVERAGE(OFFSET($H$3,0,0,'Données projet'!$E$11+1,1))</f>
        <v>309.71642374647882</v>
      </c>
      <c r="BJ84" s="62">
        <f t="shared" si="92"/>
        <v>266.63880397664315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41.868308787295291</v>
      </c>
      <c r="BQ84" s="23">
        <f>EXP(-LN(2)/25)*BQ83+(1-EXP(-LN(2)/25))/(LN(2)/25)*Calculateur!BL84*Calculateur!BN84*VLOOKUP('Données projet'!$B$11,Paramètres!$A$1:$I$89,3,0)*0.475*44/12</f>
        <v>14.349387556309191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56.21769634360448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5.8</v>
      </c>
      <c r="BY84" s="13">
        <f>IF('Données projet'!$A$114&gt;35,BY83+BX84-CG83,IF(A84&lt;'Données projet'!$A$114,$BV$205^A84,IF(A84='Données projet'!$A$114,'Données projet'!$B$114,BY83+BX84-CG83)))</f>
        <v>245.7999999999999</v>
      </c>
      <c r="BZ84" s="14">
        <f>BY84*VLOOKUP('Données projet'!$B$12,Paramètres!$A$1:$I$89,3,0)*VLOOKUP('Données projet'!$B$12,Paramètres!$A$1:$I$89,5,0)</f>
        <v>237.73775999999989</v>
      </c>
      <c r="CA84" s="14">
        <f t="shared" si="93"/>
        <v>57.952530566790166</v>
      </c>
      <c r="CB84" s="22">
        <f t="shared" si="64"/>
        <v>514.99392273715932</v>
      </c>
      <c r="CC84" s="62">
        <f t="shared" si="65"/>
        <v>808.32725607049269</v>
      </c>
      <c r="CD84" s="62">
        <f ca="1">AVERAGE(OFFSET($CC$3,0,0,'Données projet'!$E$12+1,1))-AVERAGE(OFFSET($H$3,0,0,'Données projet'!$E$12+1,1))</f>
        <v>394.59880827600006</v>
      </c>
      <c r="CE84" s="62">
        <f t="shared" si="94"/>
        <v>244.45149244446094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31.550096283714161</v>
      </c>
      <c r="CL84" s="23">
        <f>EXP(-LN(2)/25)*CL83+(1-EXP(-LN(2)/25))/(LN(2)/25)*Calculateur!CG84*Calculateur!CI84*VLOOKUP('Données projet'!$B$12,Paramètres!$A$1:$I$89,3,0)*0.475*44/12</f>
        <v>11.299787360598174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42.849883644312335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4.5224624045658861E-14</v>
      </c>
      <c r="CV84" s="14">
        <f t="shared" si="95"/>
        <v>7.4514601661523691E-13</v>
      </c>
      <c r="CW84" s="22">
        <f t="shared" si="67"/>
        <v>1.3765621991510601E-12</v>
      </c>
      <c r="CX84" s="62">
        <f t="shared" si="68"/>
        <v>293.33333333333468</v>
      </c>
      <c r="CY84" s="62">
        <f ca="1">AVERAGE(OFFSET($CX$3,0,0,'Données projet'!$E$13+1,1))-AVERAGE(OFFSET($H$3,0,0,'Données projet'!$E$13+1,1))</f>
        <v>293.90975929253631</v>
      </c>
      <c r="CZ84" s="62">
        <f t="shared" si="96"/>
        <v>288.30197520356643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4.674315422327096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4.674315422327096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5.6843418860808015E-14</v>
      </c>
      <c r="DP84" s="18">
        <f>DO84*VLOOKUP('Données projet'!$B$14,Paramètres!$A$1:$I$89,3,0)*VLOOKUP('Données projet'!$B$14,Paramètres!$A$1:$I$89,5,0)</f>
        <v>4.4337866711430253E-14</v>
      </c>
      <c r="DQ84" s="14">
        <f t="shared" si="97"/>
        <v>7.3222115536967035E-13</v>
      </c>
      <c r="DR84" s="22">
        <f t="shared" si="70"/>
        <v>1.3525069634579169E-12</v>
      </c>
      <c r="DS84" s="62">
        <f t="shared" si="71"/>
        <v>293.33333333333468</v>
      </c>
      <c r="DT84" s="62">
        <f ca="1">AVERAGE(OFFSET($DS$3,0,0,'Données projet'!$E$14+1,1))-AVERAGE(OFFSET($H$3,0,0,'Données projet'!$E$14+1,1))</f>
        <v>288.82868507674738</v>
      </c>
      <c r="DU84" s="62">
        <f t="shared" si="98"/>
        <v>283.48738729114024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3.7180089374780807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3.7180089374780807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-5.6843418860808015E-14</v>
      </c>
      <c r="EK84" s="18">
        <f>EJ84*VLOOKUP('Données projet'!$B$15,Paramètres!$A$1:$I$89,3,0)*VLOOKUP('Données projet'!$B$15,Paramètres!$A$1:$I$89,5,0)</f>
        <v>-5.1431925385259088E-14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366.86025470473652</v>
      </c>
      <c r="EP84" s="62">
        <f t="shared" si="100"/>
        <v>513.80016421153414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3.8551460606785697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3.8551460606785697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251.59999999999991</v>
      </c>
      <c r="O85" s="14">
        <f>N85*VLOOKUP('Données projet'!$B$9,Paramètres!$A$1:$I$89,3,0)*VLOOKUP('Données projet'!$B$9,Paramètres!$A$1:$I$89,5,0)</f>
        <v>227.64767999999992</v>
      </c>
      <c r="P85" s="14">
        <f t="shared" si="87"/>
        <v>55.773751036838313</v>
      </c>
      <c r="Q85" s="22">
        <f t="shared" si="54"/>
        <v>493.62565905582659</v>
      </c>
      <c r="R85" s="62">
        <f t="shared" si="55"/>
        <v>786.9589923891599</v>
      </c>
      <c r="S85" s="62">
        <f ca="1">AVERAGE(OFFSET($R$3,0,0,'Données projet'!$E$9+1,1))-AVERAGE(OFFSET($H$3,0,0,'Données projet'!$E$9+1,1))</f>
        <v>371.7282125501186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28.935842775426604</v>
      </c>
      <c r="AA85" s="23">
        <f>EXP(-LN(2)/25)*AA84+(1-EXP(-LN(2)/25))/(LN(2)/25)*Calculateur!V85*Calculateur!X85*VLOOKUP('Données projet'!$B$9,Paramètres!$A$1:$I$89,3,0)*0.475*44/12</f>
        <v>10.281710591896321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39.217553367322921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211.94783999999993</v>
      </c>
      <c r="AK85" s="14">
        <f t="shared" si="89"/>
        <v>52.361008754780862</v>
      </c>
      <c r="AL85" s="22">
        <f t="shared" si="58"/>
        <v>460.33791158124319</v>
      </c>
      <c r="AM85" s="62">
        <f t="shared" si="59"/>
        <v>753.6712449145765</v>
      </c>
      <c r="AN85" s="62">
        <f ca="1">AVERAGE(OFFSET($AM$3,0,0,'Données projet'!$E$10+1,1))-AVERAGE(OFFSET($H$3,0,0,'Données projet'!$E$10+1,1))</f>
        <v>348.82438445524105</v>
      </c>
      <c r="AO85" s="62">
        <f t="shared" si="90"/>
        <v>218.26721063098552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26.940267411604069</v>
      </c>
      <c r="AV85" s="23">
        <f>EXP(-LN(2)/25)*AV84+(1-EXP(-LN(2)/25))/(LN(2)/25)*Calculateur!AQ85*Calculateur!AS85*VLOOKUP('Données projet'!$B$10,Paramètres!$A$1:$I$89,3,0)*0.475*44/12</f>
        <v>9.5726271028000305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36.512894514404096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444</v>
      </c>
      <c r="BB85" s="13">
        <f>VLOOKUP(A85,'Données projet'!$A$87:$I$107,9,0)</f>
        <v>5.625</v>
      </c>
      <c r="BC85" s="13">
        <f t="array" ref="BC85">INDEX(BB:BB,MIN(IF(ISNUMBER(BB85:BB281),ROW(BB85:BB281),"")))</f>
        <v>5.625</v>
      </c>
      <c r="BD85" s="13">
        <f>IF('Données projet'!$A$88&gt;35,BD84+BC85-BL84,IF(A85&lt;'Données projet'!$A$88,$BA$205^A85,IF(A85='Données projet'!$A$88,'Données projet'!$B$88,BD84+BC85-BL84)))</f>
        <v>443.99999999999994</v>
      </c>
      <c r="BE85" s="14">
        <f>BD85*VLOOKUP('Données projet'!$B$11,Paramètres!$A$1:$I$89,3,0)*VLOOKUP('Données projet'!$B$11,Paramètres!$A$1:$I$89,5,0)</f>
        <v>253.96799999999999</v>
      </c>
      <c r="BF85" s="14">
        <f t="shared" si="91"/>
        <v>61.434848029666512</v>
      </c>
      <c r="BG85" s="22">
        <f t="shared" si="61"/>
        <v>549.32662698500246</v>
      </c>
      <c r="BH85" s="62">
        <f t="shared" si="62"/>
        <v>842.65996031833583</v>
      </c>
      <c r="BI85" s="62">
        <f ca="1">AVERAGE(OFFSET($BH$3,0,0,'Données projet'!$E$11+1,1))-AVERAGE(OFFSET($H$3,0,0,'Données projet'!$E$11+1,1))</f>
        <v>309.71642374647882</v>
      </c>
      <c r="BJ85" s="62">
        <f t="shared" si="92"/>
        <v>266.63880397664315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444</v>
      </c>
      <c r="BM85" s="17">
        <f>IF(ISNA(VLOOKUP(A85,'Données projet'!$A$87:$I$107,5,0)),0%,VLOOKUP(A85,'Données projet'!$A$87:$I$107,5,0)*VLOOKUP('Données projet'!$B$11,Paramètres!$A$1:$I$89,7,0))</f>
        <v>0.45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192.65451151770435</v>
      </c>
      <c r="BQ85" s="23">
        <f>EXP(-LN(2)/25)*BQ84+(1-EXP(-LN(2)/25))/(LN(2)/25)*Calculateur!BL85*Calculateur!BN85*VLOOKUP('Données projet'!$B$11,Paramètres!$A$1:$I$89,3,0)*0.475*44/12</f>
        <v>13.957002798980421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206.61151431668478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5.8</v>
      </c>
      <c r="BY85" s="13">
        <f>IF('Données projet'!$A$114&gt;35,BY84+BX85-CG84,IF(A85&lt;'Données projet'!$A$114,$BV$205^A85,IF(A85='Données projet'!$A$114,'Données projet'!$B$114,BY84+BX85-CG84)))</f>
        <v>251.59999999999991</v>
      </c>
      <c r="BZ85" s="14">
        <f>BY85*VLOOKUP('Données projet'!$B$12,Paramètres!$A$1:$I$89,3,0)*VLOOKUP('Données projet'!$B$12,Paramètres!$A$1:$I$89,5,0)</f>
        <v>243.34751999999992</v>
      </c>
      <c r="CA85" s="14">
        <f t="shared" si="93"/>
        <v>59.159184061872203</v>
      </c>
      <c r="CB85" s="22">
        <f t="shared" si="64"/>
        <v>526.86584290776057</v>
      </c>
      <c r="CC85" s="62">
        <f t="shared" si="65"/>
        <v>820.19917624109394</v>
      </c>
      <c r="CD85" s="62">
        <f ca="1">AVERAGE(OFFSET($CC$3,0,0,'Données projet'!$E$12+1,1))-AVERAGE(OFFSET($H$3,0,0,'Données projet'!$E$12+1,1))</f>
        <v>394.59880827600006</v>
      </c>
      <c r="CE85" s="62">
        <f t="shared" si="94"/>
        <v>244.45149244446094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30.931418139249107</v>
      </c>
      <c r="CL85" s="23">
        <f>EXP(-LN(2)/25)*CL84+(1-EXP(-LN(2)/25))/(LN(2)/25)*Calculateur!CG85*Calculateur!CI85*VLOOKUP('Données projet'!$B$12,Paramètres!$A$1:$I$89,3,0)*0.475*44/12</f>
        <v>10.990794080992625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41.922212220241732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4.5224624045658861E-14</v>
      </c>
      <c r="CV85" s="14">
        <f t="shared" si="95"/>
        <v>7.4514601661523691E-13</v>
      </c>
      <c r="CW85" s="22">
        <f t="shared" si="67"/>
        <v>1.3765621991510601E-12</v>
      </c>
      <c r="CX85" s="62">
        <f t="shared" si="68"/>
        <v>293.33333333333468</v>
      </c>
      <c r="CY85" s="62">
        <f ca="1">AVERAGE(OFFSET($CX$3,0,0,'Données projet'!$E$13+1,1))-AVERAGE(OFFSET($H$3,0,0,'Données projet'!$E$13+1,1))</f>
        <v>293.90975929253631</v>
      </c>
      <c r="CZ85" s="62">
        <f t="shared" si="96"/>
        <v>288.30197520356643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4.5826549479461516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4.5826549479461516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5.6843418860808015E-14</v>
      </c>
      <c r="DP85" s="18">
        <f>DO85*VLOOKUP('Données projet'!$B$14,Paramètres!$A$1:$I$89,3,0)*VLOOKUP('Données projet'!$B$14,Paramètres!$A$1:$I$89,5,0)</f>
        <v>4.4337866711430253E-14</v>
      </c>
      <c r="DQ85" s="14">
        <f t="shared" si="97"/>
        <v>7.3222115536967035E-13</v>
      </c>
      <c r="DR85" s="22">
        <f t="shared" si="70"/>
        <v>1.3525069634579169E-12</v>
      </c>
      <c r="DS85" s="62">
        <f t="shared" si="71"/>
        <v>293.33333333333468</v>
      </c>
      <c r="DT85" s="62">
        <f ca="1">AVERAGE(OFFSET($DS$3,0,0,'Données projet'!$E$14+1,1))-AVERAGE(OFFSET($H$3,0,0,'Données projet'!$E$14+1,1))</f>
        <v>288.82868507674738</v>
      </c>
      <c r="DU85" s="62">
        <f t="shared" si="98"/>
        <v>283.48738729114024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3.6451010499756644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3.6451010499756644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-5.6843418860808015E-14</v>
      </c>
      <c r="EK85" s="18">
        <f>EJ85*VLOOKUP('Données projet'!$B$15,Paramètres!$A$1:$I$89,3,0)*VLOOKUP('Données projet'!$B$15,Paramètres!$A$1:$I$89,5,0)</f>
        <v>-5.1431925385259088E-14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366.86025470473652</v>
      </c>
      <c r="EP85" s="62">
        <f t="shared" si="100"/>
        <v>513.80016421153414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3.7795489978355779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3.7795489978355779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257.39999999999992</v>
      </c>
      <c r="O86" s="14">
        <f>N86*VLOOKUP('Données projet'!$B$9,Paramètres!$A$1:$I$89,3,0)*VLOOKUP('Données projet'!$B$9,Paramètres!$A$1:$I$89,5,0)</f>
        <v>232.89551999999992</v>
      </c>
      <c r="P86" s="14">
        <f t="shared" si="87"/>
        <v>56.908304063818662</v>
      </c>
      <c r="Q86" s="22">
        <f t="shared" si="54"/>
        <v>504.74166024448397</v>
      </c>
      <c r="R86" s="62">
        <f t="shared" si="55"/>
        <v>798.07499357781728</v>
      </c>
      <c r="S86" s="62">
        <f ca="1">AVERAGE(OFFSET($R$3,0,0,'Données projet'!$E$9+1,1))-AVERAGE(OFFSET($H$3,0,0,'Données projet'!$E$9+1,1))</f>
        <v>371.7282125501186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28.368428547721876</v>
      </c>
      <c r="AA86" s="23">
        <f>EXP(-LN(2)/25)*AA85+(1-EXP(-LN(2)/25))/(LN(2)/25)*Calculateur!V86*Calculateur!X86*VLOOKUP('Données projet'!$B$9,Paramètres!$A$1:$I$89,3,0)*0.475*44/12</f>
        <v>10.000556675069255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38.368985222791132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216.83375999999993</v>
      </c>
      <c r="AK86" s="14">
        <f t="shared" si="89"/>
        <v>53.426139571233229</v>
      </c>
      <c r="AL86" s="22">
        <f t="shared" si="58"/>
        <v>470.70265841989777</v>
      </c>
      <c r="AM86" s="62">
        <f t="shared" si="59"/>
        <v>764.03599175323109</v>
      </c>
      <c r="AN86" s="62">
        <f ca="1">AVERAGE(OFFSET($AM$3,0,0,'Données projet'!$E$10+1,1))-AVERAGE(OFFSET($H$3,0,0,'Données projet'!$E$10+1,1))</f>
        <v>348.82438445524105</v>
      </c>
      <c r="AO86" s="62">
        <f t="shared" si="90"/>
        <v>218.26721063098552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26.411985199603116</v>
      </c>
      <c r="AV86" s="23">
        <f>EXP(-LN(2)/25)*AV85+(1-EXP(-LN(2)/25))/(LN(2)/25)*Calculateur!AQ86*Calculateur!AS86*VLOOKUP('Données projet'!$B$10,Paramètres!$A$1:$I$89,3,0)*0.475*44/12</f>
        <v>9.3108631112713827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35.722848310874497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-3.2514435588382188E-14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309.71642374647882</v>
      </c>
      <c r="BJ86" s="62">
        <f t="shared" si="92"/>
        <v>266.63880397664315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188.87667405449128</v>
      </c>
      <c r="BQ86" s="23">
        <f>EXP(-LN(2)/25)*BQ85+(1-EXP(-LN(2)/25))/(LN(2)/25)*Calculateur!BL86*Calculateur!BN86*VLOOKUP('Données projet'!$B$11,Paramètres!$A$1:$I$89,3,0)*0.475*44/12</f>
        <v>13.575347823475424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202.4520218779667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5.8</v>
      </c>
      <c r="BY86" s="13">
        <f>IF('Données projet'!$A$114&gt;35,BY85+BX86-CG85,IF(A86&lt;'Données projet'!$A$114,$BV$205^A86,IF(A86='Données projet'!$A$114,'Données projet'!$B$114,BY85+BX86-CG85)))</f>
        <v>257.39999999999992</v>
      </c>
      <c r="BZ86" s="14">
        <f>BY86*VLOOKUP('Données projet'!$B$12,Paramètres!$A$1:$I$89,3,0)*VLOOKUP('Données projet'!$B$12,Paramètres!$A$1:$I$89,5,0)</f>
        <v>248.95727999999991</v>
      </c>
      <c r="CA86" s="14">
        <f t="shared" si="93"/>
        <v>60.362603772817359</v>
      </c>
      <c r="CB86" s="22">
        <f t="shared" si="64"/>
        <v>538.7321309043233</v>
      </c>
      <c r="CC86" s="62">
        <f t="shared" si="65"/>
        <v>832.06546423765667</v>
      </c>
      <c r="CD86" s="62">
        <f ca="1">AVERAGE(OFFSET($CC$3,0,0,'Données projet'!$E$12+1,1))-AVERAGE(OFFSET($H$3,0,0,'Données projet'!$E$12+1,1))</f>
        <v>394.59880827600006</v>
      </c>
      <c r="CE86" s="62">
        <f t="shared" si="94"/>
        <v>244.45149244446094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30.324871895840605</v>
      </c>
      <c r="CL86" s="23">
        <f>EXP(-LN(2)/25)*CL85+(1-EXP(-LN(2)/25))/(LN(2)/25)*Calculateur!CG86*Calculateur!CI86*VLOOKUP('Données projet'!$B$12,Paramètres!$A$1:$I$89,3,0)*0.475*44/12</f>
        <v>10.69025023886714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41.015122134707745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4.5224624045658861E-14</v>
      </c>
      <c r="CV86" s="14">
        <f t="shared" si="95"/>
        <v>7.4514601661523691E-13</v>
      </c>
      <c r="CW86" s="22">
        <f t="shared" si="67"/>
        <v>1.3765621991510601E-12</v>
      </c>
      <c r="CX86" s="62">
        <f t="shared" si="68"/>
        <v>293.33333333333468</v>
      </c>
      <c r="CY86" s="62">
        <f ca="1">AVERAGE(OFFSET($CX$3,0,0,'Données projet'!$E$13+1,1))-AVERAGE(OFFSET($H$3,0,0,'Données projet'!$E$13+1,1))</f>
        <v>293.90975929253631</v>
      </c>
      <c r="CZ86" s="62">
        <f t="shared" si="96"/>
        <v>288.30197520356643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4.492791879560448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4.492791879560448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5.6843418860808015E-14</v>
      </c>
      <c r="DP86" s="18">
        <f>DO86*VLOOKUP('Données projet'!$B$14,Paramètres!$A$1:$I$89,3,0)*VLOOKUP('Données projet'!$B$14,Paramètres!$A$1:$I$89,5,0)</f>
        <v>4.4337866711430253E-14</v>
      </c>
      <c r="DQ86" s="14">
        <f t="shared" si="97"/>
        <v>7.3222115536967035E-13</v>
      </c>
      <c r="DR86" s="22">
        <f t="shared" si="70"/>
        <v>1.3525069634579169E-12</v>
      </c>
      <c r="DS86" s="62">
        <f t="shared" si="71"/>
        <v>293.33333333333468</v>
      </c>
      <c r="DT86" s="62">
        <f ca="1">AVERAGE(OFFSET($DS$3,0,0,'Données projet'!$E$14+1,1))-AVERAGE(OFFSET($H$3,0,0,'Données projet'!$E$14+1,1))</f>
        <v>288.82868507674738</v>
      </c>
      <c r="DU86" s="62">
        <f t="shared" si="98"/>
        <v>283.48738729114024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3.5736228416777505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3.5736228416777505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-5.6843418860808015E-14</v>
      </c>
      <c r="EK86" s="18">
        <f>EJ86*VLOOKUP('Données projet'!$B$15,Paramètres!$A$1:$I$89,3,0)*VLOOKUP('Données projet'!$B$15,Paramètres!$A$1:$I$89,5,0)</f>
        <v>-5.1431925385259088E-14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366.86025470473652</v>
      </c>
      <c r="EP86" s="62">
        <f t="shared" si="100"/>
        <v>513.80016421153414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3.7054343472852818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3.7054343472852818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263.19999999999993</v>
      </c>
      <c r="O87" s="14">
        <f>N87*VLOOKUP('Données projet'!$B$9,Paramètres!$A$1:$I$89,3,0)*VLOOKUP('Données projet'!$B$9,Paramètres!$A$1:$I$89,5,0)</f>
        <v>238.14335999999992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809.18581832036466</v>
      </c>
      <c r="S87" s="62">
        <f ca="1">AVERAGE(OFFSET($R$3,0,0,'Données projet'!$E$9+1,1))-AVERAGE(OFFSET($H$3,0,0,'Données projet'!$E$9+1,1))</f>
        <v>371.7282125501186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27.812140966933931</v>
      </c>
      <c r="AA87" s="23">
        <f>EXP(-LN(2)/25)*AA86+(1-EXP(-LN(2)/25))/(LN(2)/25)*Calculateur!V87*Calculateur!X87*VLOOKUP('Données projet'!$B$9,Paramètres!$A$1:$I$89,3,0)*0.475*44/12</f>
        <v>9.7270909268830668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37.539231893816996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221.71967999999998</v>
      </c>
      <c r="AK87" s="14">
        <f t="shared" si="89"/>
        <v>54.488480126819368</v>
      </c>
      <c r="AL87" s="22">
        <f t="shared" si="58"/>
        <v>481.06254555421032</v>
      </c>
      <c r="AM87" s="62">
        <f t="shared" si="59"/>
        <v>774.39587888754363</v>
      </c>
      <c r="AN87" s="62">
        <f ca="1">AVERAGE(OFFSET($AM$3,0,0,'Données projet'!$E$10+1,1))-AVERAGE(OFFSET($H$3,0,0,'Données projet'!$E$10+1,1))</f>
        <v>348.82438445524105</v>
      </c>
      <c r="AO87" s="62">
        <f t="shared" si="90"/>
        <v>218.26721063098552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25.894062279559169</v>
      </c>
      <c r="AV87" s="23">
        <f>EXP(-LN(2)/25)*AV86+(1-EXP(-LN(2)/25))/(LN(2)/25)*Calculateur!AQ87*Calculateur!AS87*VLOOKUP('Données projet'!$B$10,Paramètres!$A$1:$I$89,3,0)*0.475*44/12</f>
        <v>9.056257069856656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34.950319349415821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-3.2514435588382188E-14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309.71642374647882</v>
      </c>
      <c r="BJ87" s="62">
        <f t="shared" si="92"/>
        <v>266.63880397664315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185.17291767967848</v>
      </c>
      <c r="BQ87" s="23">
        <f>EXP(-LN(2)/25)*BQ86+(1-EXP(-LN(2)/25))/(LN(2)/25)*Calculateur!BL87*Calculateur!BN87*VLOOKUP('Données projet'!$B$11,Paramètres!$A$1:$I$89,3,0)*0.475*44/12</f>
        <v>13.204129223345973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198.37704690302445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5.8</v>
      </c>
      <c r="BY87" s="13">
        <f>IF('Données projet'!$A$114&gt;35,BY86+BX87-CG86,IF(A87&lt;'Données projet'!$A$114,$BV$205^A87,IF(A87='Données projet'!$A$114,'Données projet'!$B$114,BY86+BX87-CG86)))</f>
        <v>263.19999999999993</v>
      </c>
      <c r="BZ87" s="14">
        <f>BY87*VLOOKUP('Données projet'!$B$12,Paramètres!$A$1:$I$89,3,0)*VLOOKUP('Données projet'!$B$12,Paramètres!$A$1:$I$89,5,0)</f>
        <v>254.56703999999996</v>
      </c>
      <c r="CA87" s="14">
        <f t="shared" si="93"/>
        <v>61.562870955572436</v>
      </c>
      <c r="CB87" s="22">
        <f t="shared" si="64"/>
        <v>550.5929282476219</v>
      </c>
      <c r="CC87" s="62">
        <f t="shared" si="65"/>
        <v>843.92626158095527</v>
      </c>
      <c r="CD87" s="62">
        <f ca="1">AVERAGE(OFFSET($CC$3,0,0,'Données projet'!$E$12+1,1))-AVERAGE(OFFSET($H$3,0,0,'Données projet'!$E$12+1,1))</f>
        <v>394.59880827600006</v>
      </c>
      <c r="CE87" s="62">
        <f t="shared" si="94"/>
        <v>244.45149244446094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29.730219654308666</v>
      </c>
      <c r="CL87" s="23">
        <f>EXP(-LN(2)/25)*CL86+(1-EXP(-LN(2)/25))/(LN(2)/25)*Calculateur!CG87*Calculateur!CI87*VLOOKUP('Données projet'!$B$12,Paramètres!$A$1:$I$89,3,0)*0.475*44/12</f>
        <v>10.397924783909492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40.128144438218158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4.5224624045658861E-14</v>
      </c>
      <c r="CV87" s="14">
        <f t="shared" si="95"/>
        <v>7.4514601661523691E-13</v>
      </c>
      <c r="CW87" s="22">
        <f t="shared" si="67"/>
        <v>1.3765621991510601E-12</v>
      </c>
      <c r="CX87" s="62">
        <f t="shared" si="68"/>
        <v>293.33333333333468</v>
      </c>
      <c r="CY87" s="62">
        <f ca="1">AVERAGE(OFFSET($CX$3,0,0,'Données projet'!$E$13+1,1))-AVERAGE(OFFSET($H$3,0,0,'Données projet'!$E$13+1,1))</f>
        <v>293.90975929253631</v>
      </c>
      <c r="CZ87" s="62">
        <f t="shared" si="96"/>
        <v>288.30197520356643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4.4046909711347286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4.4046909711347286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5.6843418860808015E-14</v>
      </c>
      <c r="DP87" s="18">
        <f>DO87*VLOOKUP('Données projet'!$B$14,Paramètres!$A$1:$I$89,3,0)*VLOOKUP('Données projet'!$B$14,Paramètres!$A$1:$I$89,5,0)</f>
        <v>4.4337866711430253E-14</v>
      </c>
      <c r="DQ87" s="14">
        <f t="shared" si="97"/>
        <v>7.3222115536967035E-13</v>
      </c>
      <c r="DR87" s="22">
        <f t="shared" si="70"/>
        <v>1.3525069634579169E-12</v>
      </c>
      <c r="DS87" s="62">
        <f t="shared" si="71"/>
        <v>293.33333333333468</v>
      </c>
      <c r="DT87" s="62">
        <f ca="1">AVERAGE(OFFSET($DS$3,0,0,'Données projet'!$E$14+1,1))-AVERAGE(OFFSET($H$3,0,0,'Données projet'!$E$14+1,1))</f>
        <v>288.82868507674738</v>
      </c>
      <c r="DU87" s="62">
        <f t="shared" si="98"/>
        <v>283.48738729114024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3.5035462774471564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3.5035462774471564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-5.6843418860808015E-14</v>
      </c>
      <c r="EK87" s="18">
        <f>EJ87*VLOOKUP('Données projet'!$B$15,Paramètres!$A$1:$I$89,3,0)*VLOOKUP('Données projet'!$B$15,Paramètres!$A$1:$I$89,5,0)</f>
        <v>-5.1431925385259088E-14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366.86025470473652</v>
      </c>
      <c r="EP87" s="62">
        <f t="shared" si="100"/>
        <v>513.80016421153414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3.6327730398268039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3.6327730398268039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268.99999999999994</v>
      </c>
      <c r="O88" s="14">
        <f>N88*VLOOKUP('Données projet'!$B$9,Paramètres!$A$1:$I$89,3,0)*VLOOKUP('Données projet'!$B$9,Paramètres!$A$1:$I$89,5,0)</f>
        <v>243.39119999999994</v>
      </c>
      <c r="P88" s="14">
        <f t="shared" si="87"/>
        <v>59.168566788241527</v>
      </c>
      <c r="Q88" s="22">
        <f t="shared" si="54"/>
        <v>526.95826048952051</v>
      </c>
      <c r="R88" s="62">
        <f t="shared" si="55"/>
        <v>820.29159382285388</v>
      </c>
      <c r="S88" s="62">
        <f ca="1">AVERAGE(OFFSET($R$3,0,0,'Données projet'!$E$9+1,1))-AVERAGE(OFFSET($H$3,0,0,'Données projet'!$E$9+1,1))</f>
        <v>371.7282125501186</v>
      </c>
      <c r="T88" s="62">
        <f t="shared" si="88"/>
        <v>231.36959598460686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27.266761846303318</v>
      </c>
      <c r="AA88" s="23">
        <f>EXP(-LN(2)/25)*AA87+(1-EXP(-LN(2)/25))/(LN(2)/25)*Calculateur!V88*Calculateur!X88*VLOOKUP('Données projet'!$B$9,Paramètres!$A$1:$I$89,3,0)*0.475*44/12</f>
        <v>9.4611031139619683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36.727864960265286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226.60559999999998</v>
      </c>
      <c r="AK88" s="14">
        <f t="shared" si="89"/>
        <v>55.548098989444924</v>
      </c>
      <c r="AL88" s="22">
        <f t="shared" si="58"/>
        <v>491.41769240661648</v>
      </c>
      <c r="AM88" s="62">
        <f t="shared" si="59"/>
        <v>784.7510257399498</v>
      </c>
      <c r="AN88" s="62">
        <f ca="1">AVERAGE(OFFSET($AM$3,0,0,'Données projet'!$E$10+1,1))-AVERAGE(OFFSET($H$3,0,0,'Données projet'!$E$10+1,1))</f>
        <v>348.82438445524105</v>
      </c>
      <c r="AO88" s="62">
        <f t="shared" si="90"/>
        <v>218.26721063098552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25.386295512075495</v>
      </c>
      <c r="AV88" s="23">
        <f>EXP(-LN(2)/25)*AV87+(1-EXP(-LN(2)/25))/(LN(2)/25)*Calculateur!AQ88*Calculateur!AS88*VLOOKUP('Données projet'!$B$10,Paramètres!$A$1:$I$89,3,0)*0.475*44/12</f>
        <v>8.8086132440335643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34.194908756109058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-3.2514435588382188E-14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309.71642374647882</v>
      </c>
      <c r="BJ88" s="62">
        <f t="shared" si="92"/>
        <v>266.63880397664315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181.54178970830745</v>
      </c>
      <c r="BQ88" s="23">
        <f>EXP(-LN(2)/25)*BQ87+(1-EXP(-LN(2)/25))/(LN(2)/25)*Calculateur!BL88*Calculateur!BN88*VLOOKUP('Données projet'!$B$11,Paramètres!$A$1:$I$89,3,0)*0.475*44/12</f>
        <v>12.8430616153586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194.38485132366606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5.8</v>
      </c>
      <c r="BX88" s="13">
        <f t="array" ref="BX88">INDEX(BW:BW,MIN(IF(ISNUMBER(BW88:BW284),ROW(BW88:BW284),"")))</f>
        <v>5.8</v>
      </c>
      <c r="BY88" s="13">
        <f>IF('Données projet'!$A$114&gt;35,BY87+BX88-CG87,IF(A88&lt;'Données projet'!$A$114,$BV$205^A88,IF(A88='Données projet'!$A$114,'Données projet'!$B$114,BY87+BX88-CG87)))</f>
        <v>268.99999999999994</v>
      </c>
      <c r="BZ88" s="14">
        <f>BY88*VLOOKUP('Données projet'!$B$12,Paramètres!$A$1:$I$89,3,0)*VLOOKUP('Données projet'!$B$12,Paramètres!$A$1:$I$89,5,0)</f>
        <v>260.17679999999996</v>
      </c>
      <c r="CA88" s="14">
        <f t="shared" si="93"/>
        <v>62.760063080404699</v>
      </c>
      <c r="CB88" s="22">
        <f t="shared" si="64"/>
        <v>562.44836986503799</v>
      </c>
      <c r="CC88" s="62">
        <f t="shared" si="65"/>
        <v>855.78170319837136</v>
      </c>
      <c r="CD88" s="62">
        <f ca="1">AVERAGE(OFFSET($CC$3,0,0,'Données projet'!$E$12+1,1))-AVERAGE(OFFSET($H$3,0,0,'Données projet'!$E$12+1,1))</f>
        <v>394.59880827600006</v>
      </c>
      <c r="CE88" s="62">
        <f t="shared" si="94"/>
        <v>244.45149244446094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29.147228180531112</v>
      </c>
      <c r="CL88" s="23">
        <f>EXP(-LN(2)/25)*CL87+(1-EXP(-LN(2)/25))/(LN(2)/25)*Calculateur!CG88*Calculateur!CI88*VLOOKUP('Données projet'!$B$12,Paramètres!$A$1:$I$89,3,0)*0.475*44/12</f>
        <v>10.113592983890387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39.2608211644215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4.5224624045658861E-14</v>
      </c>
      <c r="CV88" s="14">
        <f t="shared" si="95"/>
        <v>7.4514601661523691E-13</v>
      </c>
      <c r="CW88" s="22">
        <f t="shared" si="67"/>
        <v>1.3765621991510601E-12</v>
      </c>
      <c r="CX88" s="62">
        <f t="shared" si="68"/>
        <v>293.33333333333468</v>
      </c>
      <c r="CY88" s="62">
        <f ca="1">AVERAGE(OFFSET($CX$3,0,0,'Données projet'!$E$13+1,1))-AVERAGE(OFFSET($H$3,0,0,'Données projet'!$E$13+1,1))</f>
        <v>293.90975929253631</v>
      </c>
      <c r="CZ88" s="62">
        <f t="shared" si="96"/>
        <v>288.30197520356643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4.3183176677869897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4.3183176677869897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5.6843418860808015E-14</v>
      </c>
      <c r="DP88" s="18">
        <f>DO88*VLOOKUP('Données projet'!$B$14,Paramètres!$A$1:$I$89,3,0)*VLOOKUP('Données projet'!$B$14,Paramètres!$A$1:$I$89,5,0)</f>
        <v>4.4337866711430253E-14</v>
      </c>
      <c r="DQ88" s="14">
        <f t="shared" si="97"/>
        <v>7.3222115536967035E-13</v>
      </c>
      <c r="DR88" s="22">
        <f t="shared" si="70"/>
        <v>1.3525069634579169E-12</v>
      </c>
      <c r="DS88" s="62">
        <f t="shared" si="71"/>
        <v>293.33333333333468</v>
      </c>
      <c r="DT88" s="62">
        <f ca="1">AVERAGE(OFFSET($DS$3,0,0,'Données projet'!$E$14+1,1))-AVERAGE(OFFSET($H$3,0,0,'Données projet'!$E$14+1,1))</f>
        <v>288.82868507674738</v>
      </c>
      <c r="DU88" s="62">
        <f t="shared" si="98"/>
        <v>283.48738729114024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3.4348438718986403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3.4348438718986403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-5.6843418860808015E-14</v>
      </c>
      <c r="EK88" s="18">
        <f>EJ88*VLOOKUP('Données projet'!$B$15,Paramètres!$A$1:$I$89,3,0)*VLOOKUP('Données projet'!$B$15,Paramètres!$A$1:$I$89,5,0)</f>
        <v>-5.1431925385259088E-14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366.86025470473652</v>
      </c>
      <c r="EP88" s="62">
        <f t="shared" si="100"/>
        <v>513.80016421153414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3.5615365762885651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3.5615365762885651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253.39999999999992</v>
      </c>
      <c r="O89" s="14">
        <f>N89*VLOOKUP('Données projet'!$B$9,Paramètres!$A$1:$I$89,3,0)*VLOOKUP('Données projet'!$B$9,Paramètres!$A$1:$I$89,5,0)</f>
        <v>229.27631999999994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790.40934773559275</v>
      </c>
      <c r="S89" s="62">
        <f ca="1">AVERAGE(OFFSET($R$3,0,0,'Données projet'!$E$9+1,1))-AVERAGE(OFFSET($H$3,0,0,'Données projet'!$E$9+1,1))</f>
        <v>371.7282125501186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26.732077277579855</v>
      </c>
      <c r="AA89" s="23">
        <f>EXP(-LN(2)/25)*AA88+(1-EXP(-LN(2)/25))/(LN(2)/25)*Calculateur!V89*Calculateur!X89*VLOOKUP('Données projet'!$B$9,Paramètres!$A$1:$I$89,3,0)*0.475*44/12</f>
        <v>9.2023887517728884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35.934466029352741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213.46415999999994</v>
      </c>
      <c r="AK89" s="14">
        <f t="shared" si="89"/>
        <v>52.691869461482241</v>
      </c>
      <c r="AL89" s="22">
        <f t="shared" si="58"/>
        <v>463.55508464541475</v>
      </c>
      <c r="AM89" s="62">
        <f t="shared" si="59"/>
        <v>756.88841797874807</v>
      </c>
      <c r="AN89" s="62">
        <f ca="1">AVERAGE(OFFSET($AM$3,0,0,'Données projet'!$E$10+1,1))-AVERAGE(OFFSET($H$3,0,0,'Données projet'!$E$10+1,1))</f>
        <v>348.82438445524105</v>
      </c>
      <c r="AO89" s="62">
        <f t="shared" si="90"/>
        <v>218.26721063098552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24.88848574119503</v>
      </c>
      <c r="AV89" s="23">
        <f>EXP(-LN(2)/25)*AV88+(1-EXP(-LN(2)/25))/(LN(2)/25)*Calculateur!AQ89*Calculateur!AS89*VLOOKUP('Données projet'!$B$10,Paramètres!$A$1:$I$89,3,0)*0.475*44/12</f>
        <v>8.5677412516506291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33.456226992845657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-3.2514435588382188E-14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309.71642374647882</v>
      </c>
      <c r="BJ89" s="62">
        <f t="shared" si="92"/>
        <v>266.63880397664315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177.98186594168561</v>
      </c>
      <c r="BQ89" s="23">
        <f>EXP(-LN(2)/25)*BQ88+(1-EXP(-LN(2)/25))/(LN(2)/25)*Calculateur!BL89*Calculateur!BN89*VLOOKUP('Données projet'!$B$11,Paramètres!$A$1:$I$89,3,0)*0.475*44/12</f>
        <v>12.491867420099362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190.47373336178498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253.39999999999992</v>
      </c>
      <c r="BZ89" s="14">
        <f>BY89*VLOOKUP('Données projet'!$B$12,Paramètres!$A$1:$I$89,3,0)*VLOOKUP('Données projet'!$B$12,Paramètres!$A$1:$I$89,5,0)</f>
        <v>245.08847999999992</v>
      </c>
      <c r="CA89" s="14">
        <f t="shared" si="93"/>
        <v>59.533001333771132</v>
      </c>
      <c r="CB89" s="22">
        <f t="shared" si="64"/>
        <v>530.5490799896512</v>
      </c>
      <c r="CC89" s="62">
        <f t="shared" si="65"/>
        <v>823.88241332298458</v>
      </c>
      <c r="CD89" s="62">
        <f ca="1">AVERAGE(OFFSET($CC$3,0,0,'Données projet'!$E$12+1,1))-AVERAGE(OFFSET($H$3,0,0,'Données projet'!$E$12+1,1))</f>
        <v>394.59880827600006</v>
      </c>
      <c r="CE89" s="62">
        <f t="shared" si="94"/>
        <v>244.45149244446094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28.575668813964651</v>
      </c>
      <c r="CL89" s="23">
        <f>EXP(-LN(2)/25)*CL88+(1-EXP(-LN(2)/25))/(LN(2)/25)*Calculateur!CG89*Calculateur!CI89*VLOOKUP('Données projet'!$B$12,Paramètres!$A$1:$I$89,3,0)*0.475*44/12</f>
        <v>9.8370362518951637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38.412705065859811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4.5224624045658861E-14</v>
      </c>
      <c r="CV89" s="14">
        <f t="shared" si="95"/>
        <v>7.4514601661523691E-13</v>
      </c>
      <c r="CW89" s="22">
        <f t="shared" si="67"/>
        <v>1.3765621991510601E-12</v>
      </c>
      <c r="CX89" s="62">
        <f t="shared" si="68"/>
        <v>293.33333333333468</v>
      </c>
      <c r="CY89" s="62">
        <f ca="1">AVERAGE(OFFSET($CX$3,0,0,'Données projet'!$E$13+1,1))-AVERAGE(OFFSET($H$3,0,0,'Données projet'!$E$13+1,1))</f>
        <v>293.90975929253631</v>
      </c>
      <c r="CZ89" s="62">
        <f t="shared" si="96"/>
        <v>288.30197520356643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4.2336380922353865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4.2336380922353865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5.6843418860808015E-14</v>
      </c>
      <c r="DP89" s="18">
        <f>DO89*VLOOKUP('Données projet'!$B$14,Paramètres!$A$1:$I$89,3,0)*VLOOKUP('Données projet'!$B$14,Paramètres!$A$1:$I$89,5,0)</f>
        <v>4.4337866711430253E-14</v>
      </c>
      <c r="DQ89" s="14">
        <f t="shared" si="97"/>
        <v>7.3222115536967035E-13</v>
      </c>
      <c r="DR89" s="22">
        <f t="shared" si="70"/>
        <v>1.3525069634579169E-12</v>
      </c>
      <c r="DS89" s="62">
        <f t="shared" si="71"/>
        <v>293.33333333333468</v>
      </c>
      <c r="DT89" s="62">
        <f ca="1">AVERAGE(OFFSET($DS$3,0,0,'Données projet'!$E$14+1,1))-AVERAGE(OFFSET($H$3,0,0,'Données projet'!$E$14+1,1))</f>
        <v>288.82868507674738</v>
      </c>
      <c r="DU89" s="62">
        <f t="shared" si="98"/>
        <v>283.48738729114024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3.3674886786186011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3.3674886786186011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-5.6843418860808015E-14</v>
      </c>
      <c r="EK89" s="18">
        <f>EJ89*VLOOKUP('Données projet'!$B$15,Paramètres!$A$1:$I$89,3,0)*VLOOKUP('Données projet'!$B$15,Paramètres!$A$1:$I$89,5,0)</f>
        <v>-5.1431925385259088E-14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366.86025470473652</v>
      </c>
      <c r="EP89" s="62">
        <f t="shared" si="100"/>
        <v>513.80016421153414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3.4916970163503587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3.4916970163503587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</v>
      </c>
      <c r="O90" s="14">
        <f>N90*VLOOKUP('Données projet'!$B$9,Paramètres!$A$1:$I$89,3,0)*VLOOKUP('Données projet'!$B$9,Paramètres!$A$1:$I$89,5,0)</f>
        <v>234.16223999999988</v>
      </c>
      <c r="P90" s="14">
        <f t="shared" si="87"/>
        <v>57.181713578143047</v>
      </c>
      <c r="Q90" s="22">
        <f t="shared" si="54"/>
        <v>507.42405248193222</v>
      </c>
      <c r="R90" s="62">
        <f t="shared" si="55"/>
        <v>800.75738581526548</v>
      </c>
      <c r="S90" s="62">
        <f ca="1">AVERAGE(OFFSET($R$3,0,0,'Données projet'!$E$9+1,1))-AVERAGE(OFFSET($H$3,0,0,'Données projet'!$E$9+1,1))</f>
        <v>371.7282125501186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26.207877547123672</v>
      </c>
      <c r="AA90" s="23">
        <f>EXP(-LN(2)/25)*AA89+(1-EXP(-LN(2)/25))/(LN(2)/25)*Calculateur!V90*Calculateur!X90*VLOOKUP('Données projet'!$B$9,Paramètres!$A$1:$I$89,3,0)*0.475*44/12</f>
        <v>8.950748947423067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35.158626494546738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218.01311999999993</v>
      </c>
      <c r="AK90" s="14">
        <f t="shared" si="89"/>
        <v>53.68281941985461</v>
      </c>
      <c r="AL90" s="22">
        <f t="shared" si="58"/>
        <v>473.20376115624663</v>
      </c>
      <c r="AM90" s="62">
        <f t="shared" si="59"/>
        <v>766.53709448957989</v>
      </c>
      <c r="AN90" s="62">
        <f ca="1">AVERAGE(OFFSET($AM$3,0,0,'Données projet'!$E$10+1,1))-AVERAGE(OFFSET($H$3,0,0,'Données projet'!$E$10+1,1))</f>
        <v>348.82438445524105</v>
      </c>
      <c r="AO90" s="62">
        <f t="shared" si="90"/>
        <v>218.26721063098552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24.400437716287549</v>
      </c>
      <c r="AV90" s="23">
        <f>EXP(-LN(2)/25)*AV89+(1-EXP(-LN(2)/25))/(LN(2)/25)*Calculateur!AQ90*Calculateur!AS90*VLOOKUP('Données projet'!$B$10,Paramètres!$A$1:$I$89,3,0)*0.475*44/12</f>
        <v>8.3334559165663116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32.733893632853864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-3.2514435588382188E-14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309.71642374647882</v>
      </c>
      <c r="BJ90" s="62">
        <f t="shared" si="92"/>
        <v>266.63880397664315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174.49175010878815</v>
      </c>
      <c r="BQ90" s="23">
        <f>EXP(-LN(2)/25)*BQ89+(1-EXP(-LN(2)/25))/(LN(2)/25)*Calculateur!BL90*Calculateur!BN90*VLOOKUP('Données projet'!$B$11,Paramètres!$A$1:$I$89,3,0)*0.475*44/12</f>
        <v>12.150276648577988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186.64202675736615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258.7999999999999</v>
      </c>
      <c r="BZ90" s="14">
        <f>BY90*VLOOKUP('Données projet'!$B$12,Paramètres!$A$1:$I$89,3,0)*VLOOKUP('Données projet'!$B$12,Paramètres!$A$1:$I$89,5,0)</f>
        <v>250.31135999999989</v>
      </c>
      <c r="CA90" s="14">
        <f t="shared" si="93"/>
        <v>60.65260907964182</v>
      </c>
      <c r="CB90" s="22">
        <f t="shared" si="64"/>
        <v>541.59557948037605</v>
      </c>
      <c r="CC90" s="62">
        <f t="shared" si="65"/>
        <v>834.9289128137093</v>
      </c>
      <c r="CD90" s="62">
        <f ca="1">AVERAGE(OFFSET($CC$3,0,0,'Données projet'!$E$12+1,1))-AVERAGE(OFFSET($H$3,0,0,'Données projet'!$E$12+1,1))</f>
        <v>394.59880827600006</v>
      </c>
      <c r="CE90" s="62">
        <f t="shared" si="94"/>
        <v>244.45149244446094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28.015317377959768</v>
      </c>
      <c r="CL90" s="23">
        <f>EXP(-LN(2)/25)*CL89+(1-EXP(-LN(2)/25))/(LN(2)/25)*Calculateur!CG90*Calculateur!CI90*VLOOKUP('Données projet'!$B$12,Paramètres!$A$1:$I$89,3,0)*0.475*44/12</f>
        <v>9.5680419782798367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37.583359356239605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4.5224624045658861E-14</v>
      </c>
      <c r="CV90" s="14">
        <f t="shared" si="95"/>
        <v>7.4514601661523691E-13</v>
      </c>
      <c r="CW90" s="22">
        <f t="shared" si="67"/>
        <v>1.3765621991510601E-12</v>
      </c>
      <c r="CX90" s="62">
        <f t="shared" si="68"/>
        <v>293.33333333333468</v>
      </c>
      <c r="CY90" s="62">
        <f ca="1">AVERAGE(OFFSET($CX$3,0,0,'Données projet'!$E$13+1,1))-AVERAGE(OFFSET($H$3,0,0,'Données projet'!$E$13+1,1))</f>
        <v>293.90975929253631</v>
      </c>
      <c r="CZ90" s="62">
        <f t="shared" si="96"/>
        <v>288.30197520356643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4.1506190315109093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4.1506190315109093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5.6843418860808015E-14</v>
      </c>
      <c r="DP90" s="18">
        <f>DO90*VLOOKUP('Données projet'!$B$14,Paramètres!$A$1:$I$89,3,0)*VLOOKUP('Données projet'!$B$14,Paramètres!$A$1:$I$89,5,0)</f>
        <v>4.4337866711430253E-14</v>
      </c>
      <c r="DQ90" s="14">
        <f t="shared" si="97"/>
        <v>7.3222115536967035E-13</v>
      </c>
      <c r="DR90" s="22">
        <f t="shared" si="70"/>
        <v>1.3525069634579169E-12</v>
      </c>
      <c r="DS90" s="62">
        <f t="shared" si="71"/>
        <v>293.33333333333468</v>
      </c>
      <c r="DT90" s="62">
        <f ca="1">AVERAGE(OFFSET($DS$3,0,0,'Données projet'!$E$14+1,1))-AVERAGE(OFFSET($H$3,0,0,'Données projet'!$E$14+1,1))</f>
        <v>288.82868507674738</v>
      </c>
      <c r="DU90" s="62">
        <f t="shared" si="98"/>
        <v>283.48738729114024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3.3014542795961721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3.3014542795961721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-5.6843418860808015E-14</v>
      </c>
      <c r="EK90" s="18">
        <f>EJ90*VLOOKUP('Données projet'!$B$15,Paramètres!$A$1:$I$89,3,0)*VLOOKUP('Données projet'!$B$15,Paramètres!$A$1:$I$89,5,0)</f>
        <v>-5.1431925385259088E-14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366.86025470473652</v>
      </c>
      <c r="EP90" s="62">
        <f t="shared" si="100"/>
        <v>513.80016421153414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3.4232269675846152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3.4232269675846152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264.19999999999987</v>
      </c>
      <c r="O91" s="14">
        <f>N91*VLOOKUP('Données projet'!$B$9,Paramètres!$A$1:$I$89,3,0)*VLOOKUP('Données projet'!$B$9,Paramètres!$A$1:$I$89,5,0)</f>
        <v>239.04815999999985</v>
      </c>
      <c r="P91" s="14">
        <f t="shared" si="87"/>
        <v>58.234690128947292</v>
      </c>
      <c r="Q91" s="22">
        <f t="shared" si="54"/>
        <v>517.76763064124964</v>
      </c>
      <c r="R91" s="62">
        <f t="shared" si="55"/>
        <v>811.10096397458301</v>
      </c>
      <c r="S91" s="62">
        <f ca="1">AVERAGE(OFFSET($R$3,0,0,'Données projet'!$E$9+1,1))-AVERAGE(OFFSET($H$3,0,0,'Données projet'!$E$9+1,1))</f>
        <v>371.7282125501186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25.69395705365147</v>
      </c>
      <c r="AA91" s="23">
        <f>EXP(-LN(2)/25)*AA90+(1-EXP(-LN(2)/25))/(LN(2)/25)*Calculateur!V91*Calculateur!X91*VLOOKUP('Données projet'!$B$9,Paramètres!$A$1:$I$89,3,0)*0.475*44/12</f>
        <v>8.7059902467563539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34.399947300407824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222.56207999999992</v>
      </c>
      <c r="AK91" s="14">
        <f t="shared" si="89"/>
        <v>54.671365346393124</v>
      </c>
      <c r="AL91" s="22">
        <f t="shared" si="58"/>
        <v>482.84825064496795</v>
      </c>
      <c r="AM91" s="62">
        <f t="shared" si="59"/>
        <v>776.18158397830121</v>
      </c>
      <c r="AN91" s="62">
        <f ca="1">AVERAGE(OFFSET($AM$3,0,0,'Données projet'!$E$10+1,1))-AVERAGE(OFFSET($H$3,0,0,'Données projet'!$E$10+1,1))</f>
        <v>348.82438445524105</v>
      </c>
      <c r="AO91" s="62">
        <f t="shared" si="90"/>
        <v>218.26721063098552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23.921960015468603</v>
      </c>
      <c r="AV91" s="23">
        <f>EXP(-LN(2)/25)*AV90+(1-EXP(-LN(2)/25))/(LN(2)/25)*Calculateur!AQ91*Calculateur!AS91*VLOOKUP('Données projet'!$B$10,Paramètres!$A$1:$I$89,3,0)*0.475*44/12</f>
        <v>8.1055771262904059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32.027537141759012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-3.2514435588382188E-14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309.71642374647882</v>
      </c>
      <c r="BJ91" s="62">
        <f t="shared" si="92"/>
        <v>266.63880397664315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171.07007331861334</v>
      </c>
      <c r="BQ91" s="23">
        <f>EXP(-LN(2)/25)*BQ90+(1-EXP(-LN(2)/25))/(LN(2)/25)*Calculateur!BL91*Calculateur!BN91*VLOOKUP('Données projet'!$B$11,Paramètres!$A$1:$I$89,3,0)*0.475*44/12</f>
        <v>11.818026694667344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182.88810001328068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264.19999999999987</v>
      </c>
      <c r="BZ91" s="14">
        <f>BY91*VLOOKUP('Données projet'!$B$12,Paramètres!$A$1:$I$89,3,0)*VLOOKUP('Données projet'!$B$12,Paramètres!$A$1:$I$89,5,0)</f>
        <v>255.53423999999987</v>
      </c>
      <c r="CA91" s="14">
        <f t="shared" si="93"/>
        <v>61.769500671543412</v>
      </c>
      <c r="CB91" s="22">
        <f t="shared" si="64"/>
        <v>552.6373483362712</v>
      </c>
      <c r="CC91" s="62">
        <f t="shared" si="65"/>
        <v>845.97068166960457</v>
      </c>
      <c r="CD91" s="62">
        <f ca="1">AVERAGE(OFFSET($CC$3,0,0,'Données projet'!$E$12+1,1))-AVERAGE(OFFSET($H$3,0,0,'Données projet'!$E$12+1,1))</f>
        <v>394.59880827600006</v>
      </c>
      <c r="CE91" s="62">
        <f t="shared" si="94"/>
        <v>244.45149244446094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27.465954091834313</v>
      </c>
      <c r="CL91" s="23">
        <f>EXP(-LN(2)/25)*CL90+(1-EXP(-LN(2)/25))/(LN(2)/25)*Calculateur!CG91*Calculateur!CI91*VLOOKUP('Données projet'!$B$12,Paramètres!$A$1:$I$89,3,0)*0.475*44/12</f>
        <v>9.3064033672223143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36.772357459056629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4.5224624045658861E-14</v>
      </c>
      <c r="CV91" s="14">
        <f t="shared" si="95"/>
        <v>7.4514601661523691E-13</v>
      </c>
      <c r="CW91" s="22">
        <f t="shared" si="67"/>
        <v>1.3765621991510601E-12</v>
      </c>
      <c r="CX91" s="62">
        <f t="shared" si="68"/>
        <v>293.33333333333468</v>
      </c>
      <c r="CY91" s="62">
        <f ca="1">AVERAGE(OFFSET($CX$3,0,0,'Données projet'!$E$13+1,1))-AVERAGE(OFFSET($H$3,0,0,'Données projet'!$E$13+1,1))</f>
        <v>293.90975929253631</v>
      </c>
      <c r="CZ91" s="62">
        <f t="shared" si="96"/>
        <v>288.30197520356643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4.0692279239306117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4.0692279239306117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5.6843418860808015E-14</v>
      </c>
      <c r="DP91" s="18">
        <f>DO91*VLOOKUP('Données projet'!$B$14,Paramètres!$A$1:$I$89,3,0)*VLOOKUP('Données projet'!$B$14,Paramètres!$A$1:$I$89,5,0)</f>
        <v>4.4337866711430253E-14</v>
      </c>
      <c r="DQ91" s="14">
        <f t="shared" si="97"/>
        <v>7.3222115536967035E-13</v>
      </c>
      <c r="DR91" s="22">
        <f t="shared" si="70"/>
        <v>1.3525069634579169E-12</v>
      </c>
      <c r="DS91" s="62">
        <f t="shared" si="71"/>
        <v>293.33333333333468</v>
      </c>
      <c r="DT91" s="62">
        <f ca="1">AVERAGE(OFFSET($DS$3,0,0,'Données projet'!$E$14+1,1))-AVERAGE(OFFSET($H$3,0,0,'Données projet'!$E$14+1,1))</f>
        <v>288.82868507674738</v>
      </c>
      <c r="DU91" s="62">
        <f t="shared" si="98"/>
        <v>283.48738729114024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3.2367147748615666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3.2367147748615666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-5.6843418860808015E-14</v>
      </c>
      <c r="EK91" s="18">
        <f>EJ91*VLOOKUP('Données projet'!$B$15,Paramètres!$A$1:$I$89,3,0)*VLOOKUP('Données projet'!$B$15,Paramètres!$A$1:$I$89,5,0)</f>
        <v>-5.1431925385259088E-14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366.86025470473652</v>
      </c>
      <c r="EP91" s="62">
        <f t="shared" si="100"/>
        <v>513.80016421153414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3.3560995747125619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3.3560995747125619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269.59999999999985</v>
      </c>
      <c r="O92" s="14">
        <f>N92*VLOOKUP('Données projet'!$B$9,Paramètres!$A$1:$I$89,3,0)*VLOOKUP('Données projet'!$B$9,Paramètres!$A$1:$I$89,5,0)</f>
        <v>243.93407999999988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821.44018387408369</v>
      </c>
      <c r="S92" s="62">
        <f ca="1">AVERAGE(OFFSET($R$3,0,0,'Données projet'!$E$9+1,1))-AVERAGE(OFFSET($H$3,0,0,'Données projet'!$E$9+1,1))</f>
        <v>371.7282125501186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25.190114227595711</v>
      </c>
      <c r="AA92" s="23">
        <f>EXP(-LN(2)/25)*AA91+(1-EXP(-LN(2)/25))/(LN(2)/25)*Calculateur!V92*Calculateur!X92*VLOOKUP('Données projet'!$B$9,Paramètres!$A$1:$I$89,3,0)*0.475*44/12</f>
        <v>8.4679244856306717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33.658038713226382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227.11103999999989</v>
      </c>
      <c r="AK92" s="14">
        <f t="shared" si="89"/>
        <v>55.657562039200045</v>
      </c>
      <c r="AL92" s="22">
        <f t="shared" si="58"/>
        <v>492.48864855160656</v>
      </c>
      <c r="AM92" s="62">
        <f t="shared" si="59"/>
        <v>785.82198188493987</v>
      </c>
      <c r="AN92" s="62">
        <f ca="1">AVERAGE(OFFSET($AM$3,0,0,'Données projet'!$E$10+1,1))-AVERAGE(OFFSET($H$3,0,0,'Données projet'!$E$10+1,1))</f>
        <v>348.82438445524105</v>
      </c>
      <c r="AO92" s="62">
        <f t="shared" si="90"/>
        <v>218.26721063098552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23.452864970520135</v>
      </c>
      <c r="AV92" s="23">
        <f>EXP(-LN(2)/25)*AV91+(1-EXP(-LN(2)/25))/(LN(2)/25)*Calculateur!AQ92*Calculateur!AS92*VLOOKUP('Données projet'!$B$10,Paramètres!$A$1:$I$89,3,0)*0.475*44/12</f>
        <v>7.883929693518219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31.336794664038354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-3.2514435588382188E-14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309.71642374647882</v>
      </c>
      <c r="BJ92" s="62">
        <f t="shared" si="92"/>
        <v>266.63880397664315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167.7154935232771</v>
      </c>
      <c r="BQ92" s="23">
        <f>EXP(-LN(2)/25)*BQ91+(1-EXP(-LN(2)/25))/(LN(2)/25)*Calculateur!BL92*Calculateur!BN92*VLOOKUP('Données projet'!$B$11,Paramètres!$A$1:$I$89,3,0)*0.475*44/12</f>
        <v>11.494862133218652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179.21035565649575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269.59999999999985</v>
      </c>
      <c r="BZ92" s="14">
        <f>BY92*VLOOKUP('Données projet'!$B$12,Paramètres!$A$1:$I$89,3,0)*VLOOKUP('Données projet'!$B$12,Paramètres!$A$1:$I$89,5,0)</f>
        <v>260.75711999999987</v>
      </c>
      <c r="CA92" s="14">
        <f t="shared" si="93"/>
        <v>62.883738022168366</v>
      </c>
      <c r="CB92" s="22">
        <f t="shared" si="64"/>
        <v>563.67449438860956</v>
      </c>
      <c r="CC92" s="62">
        <f t="shared" si="65"/>
        <v>857.00782772194293</v>
      </c>
      <c r="CD92" s="62">
        <f ca="1">AVERAGE(OFFSET($CC$3,0,0,'Données projet'!$E$12+1,1))-AVERAGE(OFFSET($H$3,0,0,'Données projet'!$E$12+1,1))</f>
        <v>394.59880827600006</v>
      </c>
      <c r="CE92" s="62">
        <f t="shared" si="94"/>
        <v>244.45149244446094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26.927363484671258</v>
      </c>
      <c r="CL92" s="23">
        <f>EXP(-LN(2)/25)*CL91+(1-EXP(-LN(2)/25))/(LN(2)/25)*Calculateur!CG92*Calculateur!CI92*VLOOKUP('Données projet'!$B$12,Paramètres!$A$1:$I$89,3,0)*0.475*44/12</f>
        <v>9.0519192777431368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35.979282762414392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4.5224624045658861E-14</v>
      </c>
      <c r="CV92" s="14">
        <f t="shared" si="95"/>
        <v>7.4514601661523691E-13</v>
      </c>
      <c r="CW92" s="22">
        <f t="shared" si="67"/>
        <v>1.3765621991510601E-12</v>
      </c>
      <c r="CX92" s="62">
        <f t="shared" si="68"/>
        <v>293.33333333333468</v>
      </c>
      <c r="CY92" s="62">
        <f ca="1">AVERAGE(OFFSET($CX$3,0,0,'Données projet'!$E$13+1,1))-AVERAGE(OFFSET($H$3,0,0,'Données projet'!$E$13+1,1))</f>
        <v>293.90975929253631</v>
      </c>
      <c r="CZ92" s="62">
        <f t="shared" si="96"/>
        <v>288.30197520356643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3.9894328463262902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3.9894328463262902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5.6843418860808015E-14</v>
      </c>
      <c r="DP92" s="18">
        <f>DO92*VLOOKUP('Données projet'!$B$14,Paramètres!$A$1:$I$89,3,0)*VLOOKUP('Données projet'!$B$14,Paramètres!$A$1:$I$89,5,0)</f>
        <v>4.4337866711430253E-14</v>
      </c>
      <c r="DQ92" s="14">
        <f t="shared" si="97"/>
        <v>7.3222115536967035E-13</v>
      </c>
      <c r="DR92" s="22">
        <f t="shared" si="70"/>
        <v>1.3525069634579169E-12</v>
      </c>
      <c r="DS92" s="62">
        <f t="shared" si="71"/>
        <v>293.33333333333468</v>
      </c>
      <c r="DT92" s="62">
        <f ca="1">AVERAGE(OFFSET($DS$3,0,0,'Données projet'!$E$14+1,1))-AVERAGE(OFFSET($H$3,0,0,'Données projet'!$E$14+1,1))</f>
        <v>288.82868507674738</v>
      </c>
      <c r="DU92" s="62">
        <f t="shared" si="98"/>
        <v>283.48738729114024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3.1732447723276076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3.1732447723276076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-5.6843418860808015E-14</v>
      </c>
      <c r="EK92" s="18">
        <f>EJ92*VLOOKUP('Données projet'!$B$15,Paramètres!$A$1:$I$89,3,0)*VLOOKUP('Données projet'!$B$15,Paramètres!$A$1:$I$89,5,0)</f>
        <v>-5.1431925385259088E-14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366.86025470473652</v>
      </c>
      <c r="EP92" s="62">
        <f t="shared" si="100"/>
        <v>513.80016421153414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3.290288509071063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3.290288509071063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274.99999999999983</v>
      </c>
      <c r="O93" s="14">
        <f>N93*VLOOKUP('Données projet'!$B$9,Paramètres!$A$1:$I$89,3,0)*VLOOKUP('Données projet'!$B$9,Paramètres!$A$1:$I$89,5,0)</f>
        <v>248.81999999999982</v>
      </c>
      <c r="P93" s="14">
        <f t="shared" si="87"/>
        <v>60.333192077890018</v>
      </c>
      <c r="Q93" s="22">
        <f t="shared" si="54"/>
        <v>538.44180953565808</v>
      </c>
      <c r="R93" s="62">
        <f t="shared" si="55"/>
        <v>831.77514286899145</v>
      </c>
      <c r="S93" s="62">
        <f ca="1">AVERAGE(OFFSET($R$3,0,0,'Données projet'!$E$9+1,1))-AVERAGE(OFFSET($H$3,0,0,'Données projet'!$E$9+1,1))</f>
        <v>371.7282125501186</v>
      </c>
      <c r="T93" s="62">
        <f t="shared" si="88"/>
        <v>231.36959598460686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24.696151452045125</v>
      </c>
      <c r="AA93" s="23">
        <f>EXP(-LN(2)/25)*AA92+(1-EXP(-LN(2)/25))/(LN(2)/25)*Calculateur!V93*Calculateur!X93*VLOOKUP('Données projet'!$B$9,Paramètres!$A$1:$I$89,3,0)*0.475*44/12</f>
        <v>8.2363686452623064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32.932520097307432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231.65999999999988</v>
      </c>
      <c r="AK93" s="14">
        <f t="shared" si="89"/>
        <v>56.641461975682766</v>
      </c>
      <c r="AL93" s="22">
        <f t="shared" si="58"/>
        <v>502.12504627431389</v>
      </c>
      <c r="AM93" s="62">
        <f t="shared" si="59"/>
        <v>795.4583796076472</v>
      </c>
      <c r="AN93" s="62">
        <f ca="1">AVERAGE(OFFSET($AM$3,0,0,'Données projet'!$E$10+1,1))-AVERAGE(OFFSET($H$3,0,0,'Données projet'!$E$10+1,1))</f>
        <v>348.82438445524105</v>
      </c>
      <c r="AO93" s="62">
        <f t="shared" si="90"/>
        <v>218.26721063098552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22.992968593283383</v>
      </c>
      <c r="AV93" s="23">
        <f>EXP(-LN(2)/25)*AV92+(1-EXP(-LN(2)/25))/(LN(2)/25)*Calculateur!AQ93*Calculateur!AS93*VLOOKUP('Données projet'!$B$10,Paramètres!$A$1:$I$89,3,0)*0.475*44/12</f>
        <v>7.6683432214511198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30.661311814734503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-3.2514435588382188E-14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309.71642374647882</v>
      </c>
      <c r="BJ93" s="62">
        <f t="shared" si="92"/>
        <v>266.63880397664315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164.42669499163577</v>
      </c>
      <c r="BQ93" s="23">
        <f>EXP(-LN(2)/25)*BQ92+(1-EXP(-LN(2)/25))/(LN(2)/25)*Calculateur!BL93*Calculateur!BN93*VLOOKUP('Données projet'!$B$11,Paramètres!$A$1:$I$89,3,0)*0.475*44/12</f>
        <v>11.18053452369726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175.60722951533302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274.99999999999983</v>
      </c>
      <c r="BZ93" s="14">
        <f>BY93*VLOOKUP('Données projet'!$B$12,Paramètres!$A$1:$I$89,3,0)*VLOOKUP('Données projet'!$B$12,Paramètres!$A$1:$I$89,5,0)</f>
        <v>265.97999999999985</v>
      </c>
      <c r="CA93" s="14">
        <f t="shared" si="93"/>
        <v>63.995380422211589</v>
      </c>
      <c r="CB93" s="22">
        <f t="shared" si="64"/>
        <v>574.70712090201823</v>
      </c>
      <c r="CC93" s="62">
        <f t="shared" si="65"/>
        <v>868.04045423535149</v>
      </c>
      <c r="CD93" s="62">
        <f ca="1">AVERAGE(OFFSET($CC$3,0,0,'Données projet'!$E$12+1,1))-AVERAGE(OFFSET($H$3,0,0,'Données projet'!$E$12+1,1))</f>
        <v>394.59880827600006</v>
      </c>
      <c r="CE93" s="62">
        <f t="shared" si="94"/>
        <v>244.45149244446094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26.399334310806836</v>
      </c>
      <c r="CL93" s="23">
        <f>EXP(-LN(2)/25)*CL92+(1-EXP(-LN(2)/25))/(LN(2)/25)*Calculateur!CG93*Calculateur!CI93*VLOOKUP('Données projet'!$B$12,Paramètres!$A$1:$I$89,3,0)*0.475*44/12</f>
        <v>8.8043940690735045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35.203728379880339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4.5224624045658861E-14</v>
      </c>
      <c r="CV93" s="14">
        <f t="shared" si="95"/>
        <v>7.4514601661523691E-13</v>
      </c>
      <c r="CW93" s="22">
        <f t="shared" si="67"/>
        <v>1.3765621991510601E-12</v>
      </c>
      <c r="CX93" s="62">
        <f t="shared" si="68"/>
        <v>293.33333333333468</v>
      </c>
      <c r="CY93" s="62">
        <f ca="1">AVERAGE(OFFSET($CX$3,0,0,'Données projet'!$E$13+1,1))-AVERAGE(OFFSET($H$3,0,0,'Données projet'!$E$13+1,1))</f>
        <v>293.90975929253631</v>
      </c>
      <c r="CZ93" s="62">
        <f t="shared" si="96"/>
        <v>288.30197520356643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3.9112025015235981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3.9112025015235981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5.6843418860808015E-14</v>
      </c>
      <c r="DP93" s="18">
        <f>DO93*VLOOKUP('Données projet'!$B$14,Paramètres!$A$1:$I$89,3,0)*VLOOKUP('Données projet'!$B$14,Paramètres!$A$1:$I$89,5,0)</f>
        <v>4.4337866711430253E-14</v>
      </c>
      <c r="DQ93" s="14">
        <f t="shared" si="97"/>
        <v>7.3222115536967035E-13</v>
      </c>
      <c r="DR93" s="22">
        <f t="shared" si="70"/>
        <v>1.3525069634579169E-12</v>
      </c>
      <c r="DS93" s="62">
        <f t="shared" si="71"/>
        <v>293.33333333333468</v>
      </c>
      <c r="DT93" s="62">
        <f ca="1">AVERAGE(OFFSET($DS$3,0,0,'Données projet'!$E$14+1,1))-AVERAGE(OFFSET($H$3,0,0,'Données projet'!$E$14+1,1))</f>
        <v>288.82868507674738</v>
      </c>
      <c r="DU93" s="62">
        <f t="shared" si="98"/>
        <v>283.48738729114024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3.1110193778304609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3.1110193778304609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-5.6843418860808015E-14</v>
      </c>
      <c r="EK93" s="18">
        <f>EJ93*VLOOKUP('Données projet'!$B$15,Paramètres!$A$1:$I$89,3,0)*VLOOKUP('Données projet'!$B$15,Paramètres!$A$1:$I$89,5,0)</f>
        <v>-5.1431925385259088E-14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366.86025470473652</v>
      </c>
      <c r="EP93" s="62">
        <f t="shared" si="100"/>
        <v>513.80016421153414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3.2257679582860073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3.2257679582860073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258.99999999999983</v>
      </c>
      <c r="O94" s="14">
        <f>N94*VLOOKUP('Données projet'!$B$9,Paramètres!$A$1:$I$89,3,0)*VLOOKUP('Données projet'!$B$9,Paramètres!$A$1:$I$89,5,0)</f>
        <v>234.34319999999983</v>
      </c>
      <c r="P94" s="14">
        <f t="shared" si="87"/>
        <v>57.220758006491614</v>
      </c>
      <c r="Q94" s="22">
        <f t="shared" si="54"/>
        <v>507.80722686130588</v>
      </c>
      <c r="R94" s="62">
        <f t="shared" si="55"/>
        <v>801.14056019463919</v>
      </c>
      <c r="S94" s="62">
        <f ca="1">AVERAGE(OFFSET($R$3,0,0,'Données projet'!$E$9+1,1))-AVERAGE(OFFSET($H$3,0,0,'Données projet'!$E$9+1,1))</f>
        <v>371.7282125501186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24.211874985235543</v>
      </c>
      <c r="AA94" s="23">
        <f>EXP(-LN(2)/25)*AA93+(1-EXP(-LN(2)/25))/(LN(2)/25)*Calculateur!V94*Calculateur!X94*VLOOKUP('Données projet'!$B$9,Paramètres!$A$1:$I$89,3,0)*0.475*44/12</f>
        <v>8.0111447115258052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32.223019696761348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218.18159999999989</v>
      </c>
      <c r="AK94" s="14">
        <f t="shared" si="89"/>
        <v>53.719474757115933</v>
      </c>
      <c r="AL94" s="22">
        <f t="shared" si="58"/>
        <v>473.56103853531005</v>
      </c>
      <c r="AM94" s="62">
        <f t="shared" si="59"/>
        <v>766.89437186864336</v>
      </c>
      <c r="AN94" s="62">
        <f ca="1">AVERAGE(OFFSET($AM$3,0,0,'Données projet'!$E$10+1,1))-AVERAGE(OFFSET($H$3,0,0,'Données projet'!$E$10+1,1))</f>
        <v>348.82438445524105</v>
      </c>
      <c r="AO94" s="62">
        <f t="shared" si="90"/>
        <v>218.26721063098552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22.54209050349515</v>
      </c>
      <c r="AV94" s="23">
        <f>EXP(-LN(2)/25)*AV93+(1-EXP(-LN(2)/25))/(LN(2)/25)*Calculateur!AQ94*Calculateur!AS94*VLOOKUP('Données projet'!$B$10,Paramètres!$A$1:$I$89,3,0)*0.475*44/12</f>
        <v>7.4586519727998954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30.000742476295045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-3.2514435588382188E-14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309.71642374647882</v>
      </c>
      <c r="BJ94" s="62">
        <f t="shared" si="92"/>
        <v>266.63880397664315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161.20238779323088</v>
      </c>
      <c r="BQ94" s="23">
        <f>EXP(-LN(2)/25)*BQ93+(1-EXP(-LN(2)/25))/(LN(2)/25)*Calculateur!BL94*Calculateur!BN94*VLOOKUP('Données projet'!$B$11,Paramètres!$A$1:$I$89,3,0)*0.475*44/12</f>
        <v>10.874802219188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172.0771900124189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258.99999999999983</v>
      </c>
      <c r="BZ94" s="14">
        <f>BY94*VLOOKUP('Données projet'!$B$12,Paramètres!$A$1:$I$89,3,0)*VLOOKUP('Données projet'!$B$12,Paramètres!$A$1:$I$89,5,0)</f>
        <v>250.50479999999985</v>
      </c>
      <c r="CA94" s="14">
        <f t="shared" si="93"/>
        <v>60.694023481225365</v>
      </c>
      <c r="CB94" s="22">
        <f t="shared" si="64"/>
        <v>542.00461756313382</v>
      </c>
      <c r="CC94" s="62">
        <f t="shared" si="65"/>
        <v>835.33795089646719</v>
      </c>
      <c r="CD94" s="62">
        <f ca="1">AVERAGE(OFFSET($CC$3,0,0,'Données projet'!$E$12+1,1))-AVERAGE(OFFSET($H$3,0,0,'Données projet'!$E$12+1,1))</f>
        <v>394.59880827600006</v>
      </c>
      <c r="CE94" s="62">
        <f t="shared" si="94"/>
        <v>244.45149244446094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25.881659466975904</v>
      </c>
      <c r="CL94" s="23">
        <f>EXP(-LN(2)/25)*CL93+(1-EXP(-LN(2)/25))/(LN(2)/25)*Calculateur!CG94*Calculateur!CI94*VLOOKUP('Données projet'!$B$12,Paramètres!$A$1:$I$89,3,0)*0.475*44/12</f>
        <v>8.5636374502517274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34.44529691722763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4.5224624045658861E-14</v>
      </c>
      <c r="CV94" s="14">
        <f t="shared" si="95"/>
        <v>7.4514601661523691E-13</v>
      </c>
      <c r="CW94" s="22">
        <f t="shared" si="67"/>
        <v>1.3765621991510601E-12</v>
      </c>
      <c r="CX94" s="62">
        <f t="shared" si="68"/>
        <v>293.33333333333468</v>
      </c>
      <c r="CY94" s="62">
        <f ca="1">AVERAGE(OFFSET($CX$3,0,0,'Données projet'!$E$13+1,1))-AVERAGE(OFFSET($H$3,0,0,'Données projet'!$E$13+1,1))</f>
        <v>293.90975929253631</v>
      </c>
      <c r="CZ94" s="62">
        <f t="shared" si="96"/>
        <v>288.30197520356643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3.8345062060666879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3.8345062060666879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4.4337866711430253E-14</v>
      </c>
      <c r="DQ94" s="14">
        <f t="shared" si="97"/>
        <v>7.3222115536967035E-13</v>
      </c>
      <c r="DR94" s="22">
        <f t="shared" si="70"/>
        <v>1.3525069634579169E-12</v>
      </c>
      <c r="DS94" s="62">
        <f t="shared" si="71"/>
        <v>293.33333333333468</v>
      </c>
      <c r="DT94" s="62">
        <f ca="1">AVERAGE(OFFSET($DS$3,0,0,'Données projet'!$E$14+1,1))-AVERAGE(OFFSET($H$3,0,0,'Données projet'!$E$14+1,1))</f>
        <v>288.82868507674738</v>
      </c>
      <c r="DU94" s="62">
        <f t="shared" si="98"/>
        <v>283.48738729114024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3.0500141853656602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3.0500141853656602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-5.6843418860808015E-14</v>
      </c>
      <c r="EK94" s="18">
        <f>EJ94*VLOOKUP('Données projet'!$B$15,Paramètres!$A$1:$I$89,3,0)*VLOOKUP('Données projet'!$B$15,Paramètres!$A$1:$I$89,5,0)</f>
        <v>-5.1431925385259088E-14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366.86025470473652</v>
      </c>
      <c r="EP94" s="62">
        <f t="shared" si="100"/>
        <v>513.80016421153414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3.1625126161481965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3.1625126161481965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263.99999999999983</v>
      </c>
      <c r="O95" s="14">
        <f>N95*VLOOKUP('Données projet'!$B$9,Paramètres!$A$1:$I$89,3,0)*VLOOKUP('Données projet'!$B$9,Paramètres!$A$1:$I$89,5,0)</f>
        <v>238.86719999999983</v>
      </c>
      <c r="P95" s="14">
        <f t="shared" si="87"/>
        <v>58.195735973104156</v>
      </c>
      <c r="Q95" s="22">
        <f t="shared" si="54"/>
        <v>517.38461348648946</v>
      </c>
      <c r="R95" s="62">
        <f t="shared" si="55"/>
        <v>810.71794681982283</v>
      </c>
      <c r="S95" s="62">
        <f ca="1">AVERAGE(OFFSET($R$3,0,0,'Données projet'!$E$9+1,1))-AVERAGE(OFFSET($H$3,0,0,'Données projet'!$E$9+1,1))</f>
        <v>371.7282125501186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23.737094884560616</v>
      </c>
      <c r="AA95" s="23">
        <f>EXP(-LN(2)/25)*AA94+(1-EXP(-LN(2)/25))/(LN(2)/25)*Calculateur!V95*Calculateur!X95*VLOOKUP('Données projet'!$B$9,Paramètres!$A$1:$I$89,3,0)*0.475*44/12</f>
        <v>7.7920795381013415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31.529174422661956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222.39359999999988</v>
      </c>
      <c r="AK95" s="14">
        <f t="shared" si="89"/>
        <v>54.634794757949237</v>
      </c>
      <c r="AL95" s="22">
        <f t="shared" si="58"/>
        <v>482.49112087009468</v>
      </c>
      <c r="AM95" s="62">
        <f t="shared" si="59"/>
        <v>775.82445420342799</v>
      </c>
      <c r="AN95" s="62">
        <f ca="1">AVERAGE(OFFSET($AM$3,0,0,'Données projet'!$E$10+1,1))-AVERAGE(OFFSET($H$3,0,0,'Données projet'!$E$10+1,1))</f>
        <v>348.82438445524105</v>
      </c>
      <c r="AO95" s="62">
        <f t="shared" si="90"/>
        <v>218.26721063098552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22.100053858039185</v>
      </c>
      <c r="AV95" s="23">
        <f>EXP(-LN(2)/25)*AV94+(1-EXP(-LN(2)/25))/(LN(2)/25)*Calculateur!AQ95*Calculateur!AS95*VLOOKUP('Données projet'!$B$10,Paramètres!$A$1:$I$89,3,0)*0.475*44/12</f>
        <v>7.2546947423702219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29.354748600409408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-3.2514435588382188E-14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309.71642374647882</v>
      </c>
      <c r="BJ95" s="62">
        <f t="shared" si="92"/>
        <v>266.63880397664315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158.04130729235351</v>
      </c>
      <c r="BQ95" s="23">
        <f>EXP(-LN(2)/25)*BQ94+(1-EXP(-LN(2)/25))/(LN(2)/25)*Calculateur!BL95*Calculateur!BN95*VLOOKUP('Données projet'!$B$11,Paramètres!$A$1:$I$89,3,0)*0.475*44/12</f>
        <v>10.57743018062331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168.61873747297682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263.99999999999983</v>
      </c>
      <c r="BZ95" s="14">
        <f>BY95*VLOOKUP('Données projet'!$B$12,Paramètres!$A$1:$I$89,3,0)*VLOOKUP('Données projet'!$B$12,Paramètres!$A$1:$I$89,5,0)</f>
        <v>255.34079999999983</v>
      </c>
      <c r="CA95" s="14">
        <f t="shared" si="93"/>
        <v>61.728182021951838</v>
      </c>
      <c r="CB95" s="22">
        <f t="shared" si="64"/>
        <v>552.22847702156571</v>
      </c>
      <c r="CC95" s="62">
        <f t="shared" si="65"/>
        <v>845.56181035489908</v>
      </c>
      <c r="CD95" s="62">
        <f ca="1">AVERAGE(OFFSET($CC$3,0,0,'Données projet'!$E$12+1,1))-AVERAGE(OFFSET($H$3,0,0,'Données projet'!$E$12+1,1))</f>
        <v>394.59880827600006</v>
      </c>
      <c r="CE95" s="62">
        <f t="shared" si="94"/>
        <v>244.45149244446094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25.374135911082018</v>
      </c>
      <c r="CL95" s="23">
        <f>EXP(-LN(2)/25)*CL94+(1-EXP(-LN(2)/25))/(LN(2)/25)*Calculateur!CG95*Calculateur!CI95*VLOOKUP('Données projet'!$B$12,Paramètres!$A$1:$I$89,3,0)*0.475*44/12</f>
        <v>8.3294643338324725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33.70360024491449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4.5224624045658861E-14</v>
      </c>
      <c r="CV95" s="14">
        <f t="shared" si="95"/>
        <v>7.4514601661523691E-13</v>
      </c>
      <c r="CW95" s="22">
        <f t="shared" si="67"/>
        <v>1.3765621991510601E-12</v>
      </c>
      <c r="CX95" s="62">
        <f t="shared" si="68"/>
        <v>293.33333333333468</v>
      </c>
      <c r="CY95" s="62">
        <f ca="1">AVERAGE(OFFSET($CX$3,0,0,'Données projet'!$E$13+1,1))-AVERAGE(OFFSET($H$3,0,0,'Données projet'!$E$13+1,1))</f>
        <v>293.90975929253631</v>
      </c>
      <c r="CZ95" s="62">
        <f t="shared" si="96"/>
        <v>288.30197520356643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3.7593138781835669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3.7593138781835669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4.4337866711430253E-14</v>
      </c>
      <c r="DQ95" s="14">
        <f t="shared" si="97"/>
        <v>7.3222115536967035E-13</v>
      </c>
      <c r="DR95" s="22">
        <f t="shared" si="70"/>
        <v>1.3525069634579169E-12</v>
      </c>
      <c r="DS95" s="62">
        <f t="shared" si="71"/>
        <v>293.33333333333468</v>
      </c>
      <c r="DT95" s="62">
        <f ca="1">AVERAGE(OFFSET($DS$3,0,0,'Données projet'!$E$14+1,1))-AVERAGE(OFFSET($H$3,0,0,'Données projet'!$E$14+1,1))</f>
        <v>288.82868507674738</v>
      </c>
      <c r="DU95" s="62">
        <f t="shared" si="98"/>
        <v>283.48738729114024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2.9902052675156008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2.9902052675156008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-5.6843418860808015E-14</v>
      </c>
      <c r="EK95" s="18">
        <f>EJ95*VLOOKUP('Données projet'!$B$15,Paramètres!$A$1:$I$89,3,0)*VLOOKUP('Données projet'!$B$15,Paramètres!$A$1:$I$89,5,0)</f>
        <v>-5.1431925385259088E-14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366.86025470473652</v>
      </c>
      <c r="EP95" s="62">
        <f t="shared" si="100"/>
        <v>513.80016421153414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3.1004976726877591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3.1004976726877591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268.99999999999983</v>
      </c>
      <c r="O96" s="14">
        <f>N96*VLOOKUP('Données projet'!$B$9,Paramètres!$A$1:$I$89,3,0)*VLOOKUP('Données projet'!$B$9,Paramètres!$A$1:$I$89,5,0)</f>
        <v>243.39119999999986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820.29159382285388</v>
      </c>
      <c r="S96" s="62">
        <f ca="1">AVERAGE(OFFSET($R$3,0,0,'Données projet'!$E$9+1,1))-AVERAGE(OFFSET($H$3,0,0,'Données projet'!$E$9+1,1))</f>
        <v>371.7282125501186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23.271624932072658</v>
      </c>
      <c r="AA96" s="23">
        <f>EXP(-LN(2)/25)*AA95+(1-EXP(-LN(2)/25))/(LN(2)/25)*Calculateur!V96*Calculateur!X96*VLOOKUP('Données projet'!$B$9,Paramètres!$A$1:$I$89,3,0)*0.475*44/12</f>
        <v>7.5790047133643066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30.850629645436964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226.60559999999987</v>
      </c>
      <c r="AK96" s="14">
        <f t="shared" si="89"/>
        <v>55.548098989444924</v>
      </c>
      <c r="AL96" s="22">
        <f t="shared" si="58"/>
        <v>491.41769240661642</v>
      </c>
      <c r="AM96" s="62">
        <f t="shared" si="59"/>
        <v>784.75102573994968</v>
      </c>
      <c r="AN96" s="62">
        <f ca="1">AVERAGE(OFFSET($AM$3,0,0,'Données projet'!$E$10+1,1))-AVERAGE(OFFSET($H$3,0,0,'Données projet'!$E$10+1,1))</f>
        <v>348.82438445524105</v>
      </c>
      <c r="AO96" s="62">
        <f t="shared" si="90"/>
        <v>218.26721063098552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21.666685281584879</v>
      </c>
      <c r="AV96" s="23">
        <f>EXP(-LN(2)/25)*AV95+(1-EXP(-LN(2)/25))/(LN(2)/25)*Calculateur!AQ96*Calculateur!AS96*VLOOKUP('Données projet'!$B$10,Paramètres!$A$1:$I$89,3,0)*0.475*44/12</f>
        <v>7.0563147331322922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28.723000014717172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-3.2514435588382188E-14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309.71642374647882</v>
      </c>
      <c r="BJ96" s="62">
        <f t="shared" si="92"/>
        <v>266.63880397664315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154.94221365202961</v>
      </c>
      <c r="BQ96" s="23">
        <f>EXP(-LN(2)/25)*BQ95+(1-EXP(-LN(2)/25))/(LN(2)/25)*Calculateur!BL96*Calculateur!BN96*VLOOKUP('Données projet'!$B$11,Paramètres!$A$1:$I$89,3,0)*0.475*44/12</f>
        <v>10.288189796091288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165.23040344812091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268.99999999999983</v>
      </c>
      <c r="BZ96" s="14">
        <f>BY96*VLOOKUP('Données projet'!$B$12,Paramètres!$A$1:$I$89,3,0)*VLOOKUP('Données projet'!$B$12,Paramètres!$A$1:$I$89,5,0)</f>
        <v>260.17679999999984</v>
      </c>
      <c r="CA96" s="14">
        <f t="shared" si="93"/>
        <v>62.760063080404642</v>
      </c>
      <c r="CB96" s="22">
        <f t="shared" si="64"/>
        <v>562.44836986503776</v>
      </c>
      <c r="CC96" s="62">
        <f t="shared" si="65"/>
        <v>855.78170319837113</v>
      </c>
      <c r="CD96" s="62">
        <f ca="1">AVERAGE(OFFSET($CC$3,0,0,'Données projet'!$E$12+1,1))-AVERAGE(OFFSET($H$3,0,0,'Données projet'!$E$12+1,1))</f>
        <v>394.59880827600006</v>
      </c>
      <c r="CE96" s="62">
        <f t="shared" si="94"/>
        <v>244.45149244446094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24.876564582560409</v>
      </c>
      <c r="CL96" s="23">
        <f>EXP(-LN(2)/25)*CL95+(1-EXP(-LN(2)/25))/(LN(2)/25)*Calculateur!CG96*Calculateur!CI96*VLOOKUP('Données projet'!$B$12,Paramètres!$A$1:$I$89,3,0)*0.475*44/12</f>
        <v>8.1016946935963308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32.978259276156741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4.5224624045658861E-14</v>
      </c>
      <c r="CV96" s="14">
        <f t="shared" si="95"/>
        <v>7.4514601661523691E-13</v>
      </c>
      <c r="CW96" s="22">
        <f t="shared" si="67"/>
        <v>1.3765621991510601E-12</v>
      </c>
      <c r="CX96" s="62">
        <f t="shared" si="68"/>
        <v>293.33333333333468</v>
      </c>
      <c r="CY96" s="62">
        <f ca="1">AVERAGE(OFFSET($CX$3,0,0,'Données projet'!$E$13+1,1))-AVERAGE(OFFSET($H$3,0,0,'Données projet'!$E$13+1,1))</f>
        <v>293.90975929253631</v>
      </c>
      <c r="CZ96" s="62">
        <f t="shared" si="96"/>
        <v>288.30197520356643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3.6855960259874423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3.6855960259874423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4.4337866711430253E-14</v>
      </c>
      <c r="DQ96" s="14">
        <f t="shared" si="97"/>
        <v>7.3222115536967035E-13</v>
      </c>
      <c r="DR96" s="22">
        <f t="shared" si="70"/>
        <v>1.3525069634579169E-12</v>
      </c>
      <c r="DS96" s="62">
        <f t="shared" si="71"/>
        <v>293.33333333333468</v>
      </c>
      <c r="DT96" s="62">
        <f ca="1">AVERAGE(OFFSET($DS$3,0,0,'Données projet'!$E$14+1,1))-AVERAGE(OFFSET($H$3,0,0,'Données projet'!$E$14+1,1))</f>
        <v>288.82868507674738</v>
      </c>
      <c r="DU96" s="62">
        <f t="shared" si="98"/>
        <v>283.48738729114024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2.9315691660647434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2.9315691660647434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-5.6843418860808015E-14</v>
      </c>
      <c r="EK96" s="18">
        <f>EJ96*VLOOKUP('Données projet'!$B$15,Paramètres!$A$1:$I$89,3,0)*VLOOKUP('Données projet'!$B$15,Paramètres!$A$1:$I$89,5,0)</f>
        <v>-5.1431925385259088E-14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366.86025470473652</v>
      </c>
      <c r="EP96" s="62">
        <f t="shared" si="100"/>
        <v>513.80016421153414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3.0396988044432001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3.0396988044432001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273.99999999999983</v>
      </c>
      <c r="O97" s="14">
        <f>N97*VLOOKUP('Données projet'!$B$9,Paramètres!$A$1:$I$89,3,0)*VLOOKUP('Données projet'!$B$9,Paramètres!$A$1:$I$89,5,0)</f>
        <v>247.91519999999986</v>
      </c>
      <c r="P97" s="14">
        <f t="shared" si="87"/>
        <v>60.139294964297406</v>
      </c>
      <c r="Q97" s="22">
        <f t="shared" si="54"/>
        <v>536.52824539615096</v>
      </c>
      <c r="R97" s="62">
        <f t="shared" si="55"/>
        <v>829.86157872948434</v>
      </c>
      <c r="S97" s="62">
        <f ca="1">AVERAGE(OFFSET($R$3,0,0,'Données projet'!$E$9+1,1))-AVERAGE(OFFSET($H$3,0,0,'Données projet'!$E$9+1,1))</f>
        <v>371.7282125501186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22.815282561444352</v>
      </c>
      <c r="AA97" s="23">
        <f>EXP(-LN(2)/25)*AA96+(1-EXP(-LN(2)/25))/(LN(2)/25)*Calculateur!V97*Calculateur!X97*VLOOKUP('Données projet'!$B$9,Paramètres!$A$1:$I$89,3,0)*0.475*44/12</f>
        <v>7.3717564309148242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30.187038992359177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230.81759999999989</v>
      </c>
      <c r="AK97" s="14">
        <f t="shared" si="89"/>
        <v>56.459429240325889</v>
      </c>
      <c r="AL97" s="22">
        <f t="shared" si="58"/>
        <v>500.34082592690061</v>
      </c>
      <c r="AM97" s="62">
        <f t="shared" si="59"/>
        <v>793.67415926023386</v>
      </c>
      <c r="AN97" s="62">
        <f ca="1">AVERAGE(OFFSET($AM$3,0,0,'Données projet'!$E$10+1,1))-AVERAGE(OFFSET($H$3,0,0,'Données projet'!$E$10+1,1))</f>
        <v>348.82438445524105</v>
      </c>
      <c r="AO97" s="62">
        <f t="shared" si="90"/>
        <v>218.26721063098552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21.241814798586113</v>
      </c>
      <c r="AV97" s="23">
        <f>EXP(-LN(2)/25)*AV96+(1-EXP(-LN(2)/25))/(LN(2)/25)*Calculateur!AQ97*Calculateur!AS97*VLOOKUP('Données projet'!$B$10,Paramètres!$A$1:$I$89,3,0)*0.475*44/12</f>
        <v>6.8633594356793255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28.105174234265437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-3.2514435588382188E-14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309.71642374647882</v>
      </c>
      <c r="BJ97" s="62">
        <f t="shared" si="92"/>
        <v>266.63880397664315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151.90389134773201</v>
      </c>
      <c r="BQ97" s="23">
        <f>EXP(-LN(2)/25)*BQ96+(1-EXP(-LN(2)/25))/(LN(2)/25)*Calculateur!BL97*Calculateur!BN97*VLOOKUP('Données projet'!$B$11,Paramètres!$A$1:$I$89,3,0)*0.475*44/12</f>
        <v>10.006858705084785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161.91075005281681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273.99999999999983</v>
      </c>
      <c r="BZ97" s="14">
        <f>BY97*VLOOKUP('Données projet'!$B$12,Paramètres!$A$1:$I$89,3,0)*VLOOKUP('Données projet'!$B$12,Paramètres!$A$1:$I$89,5,0)</f>
        <v>265.0127999999998</v>
      </c>
      <c r="CA97" s="14">
        <f t="shared" si="93"/>
        <v>63.789713870852729</v>
      </c>
      <c r="CB97" s="22">
        <f t="shared" si="64"/>
        <v>572.66437832506801</v>
      </c>
      <c r="CC97" s="62">
        <f t="shared" si="65"/>
        <v>865.99771165840139</v>
      </c>
      <c r="CD97" s="62">
        <f ca="1">AVERAGE(OFFSET($CC$3,0,0,'Données projet'!$E$12+1,1))-AVERAGE(OFFSET($H$3,0,0,'Données projet'!$E$12+1,1))</f>
        <v>394.59880827600006</v>
      </c>
      <c r="CE97" s="62">
        <f t="shared" si="94"/>
        <v>244.45149244446094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24.388750324302563</v>
      </c>
      <c r="CL97" s="23">
        <f>EXP(-LN(2)/25)*CL96+(1-EXP(-LN(2)/25))/(LN(2)/25)*Calculateur!CG97*Calculateur!CI97*VLOOKUP('Données projet'!$B$12,Paramètres!$A$1:$I$89,3,0)*0.475*44/12</f>
        <v>7.8801534261503319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32.268903750452893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4.5224624045658861E-14</v>
      </c>
      <c r="CV97" s="14">
        <f t="shared" si="95"/>
        <v>7.4514601661523691E-13</v>
      </c>
      <c r="CW97" s="22">
        <f t="shared" si="67"/>
        <v>1.3765621991510601E-12</v>
      </c>
      <c r="CX97" s="62">
        <f t="shared" si="68"/>
        <v>293.33333333333468</v>
      </c>
      <c r="CY97" s="62">
        <f ca="1">AVERAGE(OFFSET($CX$3,0,0,'Données projet'!$E$13+1,1))-AVERAGE(OFFSET($H$3,0,0,'Données projet'!$E$13+1,1))</f>
        <v>293.90975929253631</v>
      </c>
      <c r="CZ97" s="62">
        <f t="shared" si="96"/>
        <v>288.30197520356643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3.6133237359094337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3.6133237359094337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4.4337866711430253E-14</v>
      </c>
      <c r="DQ97" s="14">
        <f t="shared" si="97"/>
        <v>7.3222115536967035E-13</v>
      </c>
      <c r="DR97" s="22">
        <f t="shared" si="70"/>
        <v>1.3525069634579169E-12</v>
      </c>
      <c r="DS97" s="62">
        <f t="shared" si="71"/>
        <v>293.33333333333468</v>
      </c>
      <c r="DT97" s="62">
        <f ca="1">AVERAGE(OFFSET($DS$3,0,0,'Données projet'!$E$14+1,1))-AVERAGE(OFFSET($H$3,0,0,'Données projet'!$E$14+1,1))</f>
        <v>288.82868507674738</v>
      </c>
      <c r="DU97" s="62">
        <f t="shared" si="98"/>
        <v>283.48738729114024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2.8740828827988469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2.8740828827988469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-5.6843418860808015E-14</v>
      </c>
      <c r="EK97" s="18">
        <f>EJ97*VLOOKUP('Données projet'!$B$15,Paramètres!$A$1:$I$89,3,0)*VLOOKUP('Données projet'!$B$15,Paramètres!$A$1:$I$89,5,0)</f>
        <v>-5.1431925385259088E-14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366.86025470473652</v>
      </c>
      <c r="EP97" s="62">
        <f t="shared" si="100"/>
        <v>513.80016421153414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2.980092164921269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2.980092164921269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278.99999999999983</v>
      </c>
      <c r="O98" s="14">
        <f>N98*VLOOKUP('Données projet'!$B$9,Paramètres!$A$1:$I$89,3,0)*VLOOKUP('Données projet'!$B$9,Paramètres!$A$1:$I$89,5,0)</f>
        <v>252.43919999999983</v>
      </c>
      <c r="P98" s="14">
        <f t="shared" si="87"/>
        <v>61.107963296116218</v>
      </c>
      <c r="Q98" s="22">
        <f t="shared" si="54"/>
        <v>546.09464274073537</v>
      </c>
      <c r="R98" s="62">
        <f t="shared" si="55"/>
        <v>839.42797607406874</v>
      </c>
      <c r="S98" s="62">
        <f ca="1">AVERAGE(OFFSET($R$3,0,0,'Données projet'!$E$9+1,1))-AVERAGE(OFFSET($H$3,0,0,'Données projet'!$E$9+1,1))</f>
        <v>371.7282125501186</v>
      </c>
      <c r="T98" s="62">
        <f t="shared" si="88"/>
        <v>231.36959598460686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22.367888786362705</v>
      </c>
      <c r="AA98" s="23">
        <f>EXP(-LN(2)/25)*AA97+(1-EXP(-LN(2)/25))/(LN(2)/25)*Calculateur!V98*Calculateur!X98*VLOOKUP('Données projet'!$B$9,Paramètres!$A$1:$I$89,3,0)*0.475*44/12</f>
        <v>7.170175363647636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29.538064150010342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235.02959999999987</v>
      </c>
      <c r="AK98" s="14">
        <f t="shared" si="89"/>
        <v>57.368825686861108</v>
      </c>
      <c r="AL98" s="22">
        <f t="shared" si="58"/>
        <v>509.26059140461626</v>
      </c>
      <c r="AM98" s="62">
        <f t="shared" si="59"/>
        <v>802.59392473794958</v>
      </c>
      <c r="AN98" s="62">
        <f ca="1">AVERAGE(OFFSET($AM$3,0,0,'Données projet'!$E$10+1,1))-AVERAGE(OFFSET($H$3,0,0,'Données projet'!$E$10+1,1))</f>
        <v>348.82438445524105</v>
      </c>
      <c r="AO98" s="62">
        <f t="shared" si="90"/>
        <v>218.26721063098552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20.825275766613544</v>
      </c>
      <c r="AV98" s="23">
        <f>EXP(-LN(2)/25)*AV97+(1-EXP(-LN(2)/25))/(LN(2)/25)*Calculateur!AQ98*Calculateur!AS98*VLOOKUP('Données projet'!$B$10,Paramètres!$A$1:$I$89,3,0)*0.475*44/12</f>
        <v>6.6756805109822883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27.500956277595833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-3.2514435588382188E-14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309.71642374647882</v>
      </c>
      <c r="BJ98" s="62">
        <f t="shared" si="92"/>
        <v>266.63880397664315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148.92514869062808</v>
      </c>
      <c r="BQ98" s="23">
        <f>EXP(-LN(2)/25)*BQ97+(1-EXP(-LN(2)/25))/(LN(2)/25)*Calculateur!BL98*Calculateur!BN98*VLOOKUP('Données projet'!$B$11,Paramètres!$A$1:$I$89,3,0)*0.475*44/12</f>
        <v>9.7332206275564133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158.6583693181845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278.99999999999983</v>
      </c>
      <c r="BZ98" s="14">
        <f>BY98*VLOOKUP('Données projet'!$B$12,Paramètres!$A$1:$I$89,3,0)*VLOOKUP('Données projet'!$B$12,Paramètres!$A$1:$I$89,5,0)</f>
        <v>269.84879999999987</v>
      </c>
      <c r="CA98" s="14">
        <f t="shared" si="93"/>
        <v>64.817179785761795</v>
      </c>
      <c r="CB98" s="22">
        <f t="shared" si="64"/>
        <v>582.87658146020169</v>
      </c>
      <c r="CC98" s="62">
        <f t="shared" si="65"/>
        <v>876.20991479353506</v>
      </c>
      <c r="CD98" s="62">
        <f ca="1">AVERAGE(OFFSET($CC$3,0,0,'Données projet'!$E$12+1,1))-AVERAGE(OFFSET($H$3,0,0,'Données projet'!$E$12+1,1))</f>
        <v>394.59880827600006</v>
      </c>
      <c r="CE98" s="62">
        <f t="shared" si="94"/>
        <v>244.45149244446094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23.910501806111839</v>
      </c>
      <c r="CL98" s="23">
        <f>EXP(-LN(2)/25)*CL97+(1-EXP(-LN(2)/25))/(LN(2)/25)*Calculateur!CG98*Calculateur!CI98*VLOOKUP('Données projet'!$B$12,Paramètres!$A$1:$I$89,3,0)*0.475*44/12</f>
        <v>7.6646702163129925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31.57517202242483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4.5224624045658861E-14</v>
      </c>
      <c r="CV98" s="14">
        <f t="shared" si="95"/>
        <v>7.4514601661523691E-13</v>
      </c>
      <c r="CW98" s="22">
        <f t="shared" si="67"/>
        <v>1.3765621991510601E-12</v>
      </c>
      <c r="CX98" s="62">
        <f t="shared" si="68"/>
        <v>293.33333333333468</v>
      </c>
      <c r="CY98" s="62">
        <f ca="1">AVERAGE(OFFSET($CX$3,0,0,'Données projet'!$E$13+1,1))-AVERAGE(OFFSET($H$3,0,0,'Données projet'!$E$13+1,1))</f>
        <v>293.90975929253631</v>
      </c>
      <c r="CZ98" s="62">
        <f t="shared" si="96"/>
        <v>288.30197520356643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3.5424686613581104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3.5424686613581104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4.4337866711430253E-14</v>
      </c>
      <c r="DQ98" s="14">
        <f t="shared" si="97"/>
        <v>7.3222115536967035E-13</v>
      </c>
      <c r="DR98" s="22">
        <f t="shared" si="70"/>
        <v>1.3525069634579169E-12</v>
      </c>
      <c r="DS98" s="62">
        <f t="shared" si="71"/>
        <v>293.33333333333468</v>
      </c>
      <c r="DT98" s="62">
        <f ca="1">AVERAGE(OFFSET($DS$3,0,0,'Données projet'!$E$14+1,1))-AVERAGE(OFFSET($H$3,0,0,'Données projet'!$E$14+1,1))</f>
        <v>288.82868507674738</v>
      </c>
      <c r="DU98" s="62">
        <f t="shared" si="98"/>
        <v>283.48738729114024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2.8177238704846239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2.8177238704846239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-5.6843418860808015E-14</v>
      </c>
      <c r="EK98" s="18">
        <f>EJ98*VLOOKUP('Données projet'!$B$15,Paramètres!$A$1:$I$89,3,0)*VLOOKUP('Données projet'!$B$15,Paramètres!$A$1:$I$89,5,0)</f>
        <v>-5.1431925385259088E-14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366.86025470473652</v>
      </c>
      <c r="EP98" s="62">
        <f t="shared" si="100"/>
        <v>513.80016421153414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2.9216543752439028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2.9216543752439028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262.79999999999984</v>
      </c>
      <c r="O99" s="14">
        <f>N99*VLOOKUP('Données projet'!$B$9,Paramètres!$A$1:$I$89,3,0)*VLOOKUP('Données projet'!$B$9,Paramètres!$A$1:$I$89,5,0)</f>
        <v>237.78143999999983</v>
      </c>
      <c r="P99" s="14">
        <f t="shared" si="87"/>
        <v>57.9619387969109</v>
      </c>
      <c r="Q99" s="22">
        <f t="shared" ref="Q99:Q130" si="107">(O99+P99)*0.475*44/12</f>
        <v>515.08638473795281</v>
      </c>
      <c r="R99" s="62">
        <f t="shared" si="55"/>
        <v>808.41971807128607</v>
      </c>
      <c r="S99" s="62">
        <f ca="1">AVERAGE(OFFSET($R$3,0,0,'Données projet'!$E$9+1,1))-AVERAGE(OFFSET($H$3,0,0,'Données projet'!$E$9+1,1))</f>
        <v>371.7282125501186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21.929268130327152</v>
      </c>
      <c r="AA99" s="23">
        <f>EXP(-LN(2)/25)*AA98+(1-EXP(-LN(2)/25))/(LN(2)/25)*Calculateur!V99*Calculateur!X99*VLOOKUP('Données projet'!$B$9,Paramètres!$A$1:$I$89,3,0)*0.475*44/12</f>
        <v>6.9741065412655567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28.903374671592708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221.38271999999989</v>
      </c>
      <c r="AK99" s="14">
        <f t="shared" si="89"/>
        <v>54.415303406517452</v>
      </c>
      <c r="AL99" s="22">
        <f t="shared" si="58"/>
        <v>480.34822409968433</v>
      </c>
      <c r="AM99" s="62">
        <f t="shared" si="59"/>
        <v>773.68155743301759</v>
      </c>
      <c r="AN99" s="62">
        <f ca="1">AVERAGE(OFFSET($AM$3,0,0,'Données projet'!$E$10+1,1))-AVERAGE(OFFSET($H$3,0,0,'Données projet'!$E$10+1,1))</f>
        <v>348.82438445524105</v>
      </c>
      <c r="AO99" s="62">
        <f t="shared" si="90"/>
        <v>218.26721063098552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20.416904810994236</v>
      </c>
      <c r="AV99" s="23">
        <f>EXP(-LN(2)/25)*AV98+(1-EXP(-LN(2)/25))/(LN(2)/25)*Calculateur!AQ99*Calculateur!AS99*VLOOKUP('Données projet'!$B$10,Paramètres!$A$1:$I$89,3,0)*0.475*44/12</f>
        <v>6.4931336763506966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26.910038487344934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-3.2514435588382188E-14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309.71642374647882</v>
      </c>
      <c r="BJ99" s="62">
        <f t="shared" si="92"/>
        <v>266.63880397664315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146.0048173601763</v>
      </c>
      <c r="BQ99" s="23">
        <f>EXP(-LN(2)/25)*BQ98+(1-EXP(-LN(2)/25))/(LN(2)/25)*Calculateur!BL99*Calculateur!BN99*VLOOKUP('Données projet'!$B$11,Paramètres!$A$1:$I$89,3,0)*0.475*44/12</f>
        <v>9.467065197648056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155.47188255782436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262.79999999999984</v>
      </c>
      <c r="BZ99" s="14">
        <f>BY99*VLOOKUP('Données projet'!$B$12,Paramètres!$A$1:$I$89,3,0)*VLOOKUP('Données projet'!$B$12,Paramètres!$A$1:$I$89,5,0)</f>
        <v>254.18015999999983</v>
      </c>
      <c r="CA99" s="14">
        <f t="shared" si="93"/>
        <v>61.480193498274737</v>
      </c>
      <c r="CB99" s="22">
        <f t="shared" si="64"/>
        <v>549.77511567616148</v>
      </c>
      <c r="CC99" s="62">
        <f t="shared" si="65"/>
        <v>843.10844900949473</v>
      </c>
      <c r="CD99" s="62">
        <f ca="1">AVERAGE(OFFSET($CC$3,0,0,'Données projet'!$E$12+1,1))-AVERAGE(OFFSET($H$3,0,0,'Données projet'!$E$12+1,1))</f>
        <v>394.59880827600006</v>
      </c>
      <c r="CE99" s="62">
        <f t="shared" si="94"/>
        <v>244.45149244446094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23.44163144966004</v>
      </c>
      <c r="CL99" s="23">
        <f>EXP(-LN(2)/25)*CL98+(1-EXP(-LN(2)/25))/(LN(2)/25)*Calculateur!CG99*Calculateur!CI99*VLOOKUP('Données projet'!$B$12,Paramètres!$A$1:$I$89,3,0)*0.475*44/12</f>
        <v>7.4550794061804249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30.896710855840464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4.5224624045658861E-14</v>
      </c>
      <c r="CV99" s="14">
        <f t="shared" si="95"/>
        <v>7.4514601661523691E-13</v>
      </c>
      <c r="CW99" s="22">
        <f t="shared" si="67"/>
        <v>1.3765621991510601E-12</v>
      </c>
      <c r="CX99" s="62">
        <f t="shared" si="68"/>
        <v>293.33333333333468</v>
      </c>
      <c r="CY99" s="62">
        <f ca="1">AVERAGE(OFFSET($CX$3,0,0,'Données projet'!$E$13+1,1))-AVERAGE(OFFSET($H$3,0,0,'Données projet'!$E$13+1,1))</f>
        <v>293.90975929253631</v>
      </c>
      <c r="CZ99" s="62">
        <f t="shared" si="96"/>
        <v>288.30197520356643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3.4730030116014108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3.4730030116014108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4.4337866711430253E-14</v>
      </c>
      <c r="DQ99" s="14">
        <f t="shared" si="97"/>
        <v>7.3222115536967035E-13</v>
      </c>
      <c r="DR99" s="22">
        <f t="shared" si="70"/>
        <v>1.3525069634579169E-12</v>
      </c>
      <c r="DS99" s="62">
        <f t="shared" si="71"/>
        <v>293.33333333333468</v>
      </c>
      <c r="DT99" s="62">
        <f ca="1">AVERAGE(OFFSET($DS$3,0,0,'Données projet'!$E$14+1,1))-AVERAGE(OFFSET($H$3,0,0,'Données projet'!$E$14+1,1))</f>
        <v>288.82868507674738</v>
      </c>
      <c r="DU99" s="62">
        <f t="shared" si="98"/>
        <v>283.48738729114024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2.7624700240262796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2.7624700240262796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-5.6843418860808015E-14</v>
      </c>
      <c r="EK99" s="18">
        <f>EJ99*VLOOKUP('Données projet'!$B$15,Paramètres!$A$1:$I$89,3,0)*VLOOKUP('Données projet'!$B$15,Paramètres!$A$1:$I$89,5,0)</f>
        <v>-5.1431925385259088E-14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366.86025470473652</v>
      </c>
      <c r="EP99" s="62">
        <f t="shared" si="100"/>
        <v>513.80016421153414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2.8643625149785774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2.8643625149785774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267.59999999999985</v>
      </c>
      <c r="O100" s="14">
        <f>N100*VLOOKUP('Données projet'!$B$9,Paramètres!$A$1:$I$89,3,0)*VLOOKUP('Données projet'!$B$9,Paramètres!$A$1:$I$89,5,0)</f>
        <v>242.12447999999986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817.61134507876181</v>
      </c>
      <c r="S100" s="62">
        <f ca="1">AVERAGE(OFFSET($R$3,0,0,'Données projet'!$E$9+1,1))-AVERAGE(OFFSET($H$3,0,0,'Données projet'!$E$9+1,1))</f>
        <v>371.7282125501186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21.499248557824274</v>
      </c>
      <c r="AA100" s="23">
        <f>EXP(-LN(2)/25)*AA99+(1-EXP(-LN(2)/25))/(LN(2)/25)*Calculateur!V100*Calculateur!X100*VLOOKUP('Données projet'!$B$9,Paramètres!$A$1:$I$89,3,0)*0.475*44/12</f>
        <v>6.7833992311423268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28.282647788966599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225.42623999999989</v>
      </c>
      <c r="AK100" s="14">
        <f t="shared" si="89"/>
        <v>55.292574548511105</v>
      </c>
      <c r="AL100" s="22">
        <f t="shared" si="58"/>
        <v>488.91860200532329</v>
      </c>
      <c r="AM100" s="62">
        <f t="shared" si="59"/>
        <v>782.25193533865661</v>
      </c>
      <c r="AN100" s="62">
        <f ca="1">AVERAGE(OFFSET($AM$3,0,0,'Données projet'!$E$10+1,1))-AVERAGE(OFFSET($H$3,0,0,'Données projet'!$E$10+1,1))</f>
        <v>348.82438445524105</v>
      </c>
      <c r="AO100" s="62">
        <f t="shared" si="90"/>
        <v>218.26721063098552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20.016541760732935</v>
      </c>
      <c r="AV100" s="23">
        <f>EXP(-LN(2)/25)*AV99+(1-EXP(-LN(2)/25))/(LN(2)/25)*Calculateur!AQ100*Calculateur!AS100*VLOOKUP('Données projet'!$B$10,Paramètres!$A$1:$I$89,3,0)*0.475*44/12</f>
        <v>6.3155785945118268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26.332120355244761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-3.2514435588382188E-14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309.71642374647882</v>
      </c>
      <c r="BJ100" s="62">
        <f t="shared" si="92"/>
        <v>266.63880397664315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143.14175194588847</v>
      </c>
      <c r="BQ100" s="23">
        <f>EXP(-LN(2)/25)*BQ99+(1-EXP(-LN(2)/25))/(LN(2)/25)*Calculateur!BL100*Calculateur!BN100*VLOOKUP('Données projet'!$B$11,Paramètres!$A$1:$I$89,3,0)*0.475*44/12</f>
        <v>9.208187801967048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152.34993974785553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267.59999999999985</v>
      </c>
      <c r="BZ100" s="14">
        <f>BY100*VLOOKUP('Données projet'!$B$12,Paramètres!$A$1:$I$89,3,0)*VLOOKUP('Données projet'!$B$12,Paramètres!$A$1:$I$89,5,0)</f>
        <v>258.82271999999989</v>
      </c>
      <c r="CA100" s="14">
        <f t="shared" si="93"/>
        <v>62.471363191059396</v>
      </c>
      <c r="CB100" s="22">
        <f t="shared" si="64"/>
        <v>559.58719489109478</v>
      </c>
      <c r="CC100" s="62">
        <f t="shared" si="65"/>
        <v>852.92052822442815</v>
      </c>
      <c r="CD100" s="62">
        <f ca="1">AVERAGE(OFFSET($CC$3,0,0,'Données projet'!$E$12+1,1))-AVERAGE(OFFSET($H$3,0,0,'Données projet'!$E$12+1,1))</f>
        <v>394.59880827600006</v>
      </c>
      <c r="CE100" s="62">
        <f t="shared" si="94"/>
        <v>244.45149244446094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22.981955354915581</v>
      </c>
      <c r="CL100" s="23">
        <f>EXP(-LN(2)/25)*CL99+(1-EXP(-LN(2)/25))/(LN(2)/25)*Calculateur!CG100*Calculateur!CI100*VLOOKUP('Données projet'!$B$12,Paramètres!$A$1:$I$89,3,0)*0.475*44/12</f>
        <v>7.2512198677728339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30.233175222688416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4.5224624045658861E-14</v>
      </c>
      <c r="CV100" s="14">
        <f t="shared" si="95"/>
        <v>7.4514601661523691E-13</v>
      </c>
      <c r="CW100" s="22">
        <f t="shared" si="67"/>
        <v>1.3765621991510601E-12</v>
      </c>
      <c r="CX100" s="62">
        <f t="shared" si="68"/>
        <v>293.33333333333468</v>
      </c>
      <c r="CY100" s="62">
        <f ca="1">AVERAGE(OFFSET($CX$3,0,0,'Données projet'!$E$13+1,1))-AVERAGE(OFFSET($H$3,0,0,'Données projet'!$E$13+1,1))</f>
        <v>293.90975929253631</v>
      </c>
      <c r="CZ100" s="62">
        <f t="shared" si="96"/>
        <v>288.30197520356643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3.4048995408665772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3.4048995408665772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4.4337866711430253E-14</v>
      </c>
      <c r="DQ100" s="14">
        <f t="shared" si="97"/>
        <v>7.3222115536967035E-13</v>
      </c>
      <c r="DR100" s="22">
        <f t="shared" si="70"/>
        <v>1.3525069634579169E-12</v>
      </c>
      <c r="DS100" s="62">
        <f t="shared" si="71"/>
        <v>293.33333333333468</v>
      </c>
      <c r="DT100" s="62">
        <f ca="1">AVERAGE(OFFSET($DS$3,0,0,'Données projet'!$E$14+1,1))-AVERAGE(OFFSET($H$3,0,0,'Données projet'!$E$14+1,1))</f>
        <v>288.82868507674738</v>
      </c>
      <c r="DU100" s="62">
        <f t="shared" si="98"/>
        <v>283.48738729114024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2.7082996717954648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2.7082996717954648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-5.6843418860808015E-14</v>
      </c>
      <c r="EK100" s="18">
        <f>EJ100*VLOOKUP('Données projet'!$B$15,Paramètres!$A$1:$I$89,3,0)*VLOOKUP('Données projet'!$B$15,Paramètres!$A$1:$I$89,5,0)</f>
        <v>-5.1431925385259088E-14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366.86025470473652</v>
      </c>
      <c r="EP100" s="62">
        <f t="shared" si="100"/>
        <v>513.80016421153414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2.8081941131484709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2.8081941131484709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272.39999999999986</v>
      </c>
      <c r="O101" s="14">
        <f>N101*VLOOKUP('Données projet'!$B$9,Paramètres!$A$1:$I$89,3,0)*VLOOKUP('Données projet'!$B$9,Paramètres!$A$1:$I$89,5,0)</f>
        <v>246.46751999999987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826.7995773959276</v>
      </c>
      <c r="S101" s="62">
        <f ca="1">AVERAGE(OFFSET($R$3,0,0,'Données projet'!$E$9+1,1))-AVERAGE(OFFSET($H$3,0,0,'Données projet'!$E$9+1,1))</f>
        <v>371.7282125501186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21.077661406852133</v>
      </c>
      <c r="AA101" s="23">
        <f>EXP(-LN(2)/25)*AA100+(1-EXP(-LN(2)/25))/(LN(2)/25)*Calculateur!V101*Calculateur!X101*VLOOKUP('Données projet'!$B$9,Paramètres!$A$1:$I$89,3,0)*0.475*44/12</f>
        <v>6.597906822443278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27.675568229295411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229.46975999999992</v>
      </c>
      <c r="AK101" s="14">
        <f t="shared" si="89"/>
        <v>56.168015849852821</v>
      </c>
      <c r="AL101" s="22">
        <f t="shared" si="58"/>
        <v>497.4857929384936</v>
      </c>
      <c r="AM101" s="62">
        <f t="shared" si="59"/>
        <v>790.81912627182692</v>
      </c>
      <c r="AN101" s="62">
        <f ca="1">AVERAGE(OFFSET($AM$3,0,0,'Données projet'!$E$10+1,1))-AVERAGE(OFFSET($H$3,0,0,'Données projet'!$E$10+1,1))</f>
        <v>348.82438445524105</v>
      </c>
      <c r="AO101" s="62">
        <f t="shared" si="90"/>
        <v>218.26721063098552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19.624029585689907</v>
      </c>
      <c r="AV101" s="23">
        <f>EXP(-LN(2)/25)*AV100+(1-EXP(-LN(2)/25))/(LN(2)/25)*Calculateur!AQ101*Calculateur!AS101*VLOOKUP('Données projet'!$B$10,Paramètres!$A$1:$I$89,3,0)*0.475*44/12</f>
        <v>6.142878765723057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25.766908351412965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-3.2514435588382188E-14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309.71642374647882</v>
      </c>
      <c r="BJ101" s="62">
        <f t="shared" si="92"/>
        <v>266.63880397664315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140.33482949807734</v>
      </c>
      <c r="BQ101" s="23">
        <f>EXP(-LN(2)/25)*BQ100+(1-EXP(-LN(2)/25))/(LN(2)/25)*Calculateur!BL101*Calculateur!BN101*VLOOKUP('Données projet'!$B$11,Paramètres!$A$1:$I$89,3,0)*0.475*44/12</f>
        <v>8.9563894222847082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149.29121892036204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272.39999999999986</v>
      </c>
      <c r="BZ101" s="14">
        <f>BY101*VLOOKUP('Données projet'!$B$12,Paramètres!$A$1:$I$89,3,0)*VLOOKUP('Données projet'!$B$12,Paramètres!$A$1:$I$89,5,0)</f>
        <v>263.46527999999989</v>
      </c>
      <c r="CA101" s="14">
        <f t="shared" si="93"/>
        <v>63.460465469894139</v>
      </c>
      <c r="CB101" s="22">
        <f t="shared" si="64"/>
        <v>569.39567336006542</v>
      </c>
      <c r="CC101" s="62">
        <f t="shared" si="65"/>
        <v>862.72900669339879</v>
      </c>
      <c r="CD101" s="62">
        <f ca="1">AVERAGE(OFFSET($CC$3,0,0,'Données projet'!$E$12+1,1))-AVERAGE(OFFSET($H$3,0,0,'Données projet'!$E$12+1,1))</f>
        <v>394.59880827600006</v>
      </c>
      <c r="CE101" s="62">
        <f t="shared" si="94"/>
        <v>244.45149244446094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22.531293228014327</v>
      </c>
      <c r="CL101" s="23">
        <f>EXP(-LN(2)/25)*CL100+(1-EXP(-LN(2)/25))/(LN(2)/25)*Calculateur!CG101*Calculateur!CI101*VLOOKUP('Données projet'!$B$12,Paramètres!$A$1:$I$89,3,0)*0.475*44/12</f>
        <v>7.052934879163506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29.584228107177832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4.5224624045658861E-14</v>
      </c>
      <c r="CV101" s="14">
        <f t="shared" si="95"/>
        <v>7.4514601661523691E-13</v>
      </c>
      <c r="CW101" s="22">
        <f t="shared" si="67"/>
        <v>1.3765621991510601E-12</v>
      </c>
      <c r="CX101" s="62">
        <f t="shared" si="68"/>
        <v>293.33333333333468</v>
      </c>
      <c r="CY101" s="62">
        <f ca="1">AVERAGE(OFFSET($CX$3,0,0,'Données projet'!$E$13+1,1))-AVERAGE(OFFSET($H$3,0,0,'Données projet'!$E$13+1,1))</f>
        <v>293.90975929253631</v>
      </c>
      <c r="CZ101" s="62">
        <f t="shared" si="96"/>
        <v>288.30197520356643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3.3381315376538381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3.3381315376538381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4.4337866711430253E-14</v>
      </c>
      <c r="DQ101" s="14">
        <f t="shared" si="97"/>
        <v>7.3222115536967035E-13</v>
      </c>
      <c r="DR101" s="22">
        <f t="shared" si="70"/>
        <v>1.3525069634579169E-12</v>
      </c>
      <c r="DS101" s="62">
        <f t="shared" si="71"/>
        <v>293.33333333333468</v>
      </c>
      <c r="DT101" s="62">
        <f ca="1">AVERAGE(OFFSET($DS$3,0,0,'Données projet'!$E$14+1,1))-AVERAGE(OFFSET($H$3,0,0,'Données projet'!$E$14+1,1))</f>
        <v>288.82868507674738</v>
      </c>
      <c r="DU101" s="62">
        <f t="shared" si="98"/>
        <v>283.48738729114024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2.655191567131244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2.655191567131244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-5.6843418860808015E-14</v>
      </c>
      <c r="EK101" s="18">
        <f>EJ101*VLOOKUP('Données projet'!$B$15,Paramètres!$A$1:$I$89,3,0)*VLOOKUP('Données projet'!$B$15,Paramètres!$A$1:$I$89,5,0)</f>
        <v>-5.1431925385259088E-14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366.86025470473652</v>
      </c>
      <c r="EP101" s="62">
        <f t="shared" si="100"/>
        <v>513.80016421153414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2.7531271394189107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2.7531271394189107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277.19999999999987</v>
      </c>
      <c r="O102" s="14">
        <f>N102*VLOOKUP('Données projet'!$B$9,Paramètres!$A$1:$I$89,3,0)*VLOOKUP('Données projet'!$B$9,Paramètres!$A$1:$I$89,5,0)</f>
        <v>250.8105599999999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835.98448174248915</v>
      </c>
      <c r="S102" s="62">
        <f ca="1">AVERAGE(OFFSET($R$3,0,0,'Données projet'!$E$9+1,1))-AVERAGE(OFFSET($H$3,0,0,'Données projet'!$E$9+1,1))</f>
        <v>371.7282125501186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20.664341322767786</v>
      </c>
      <c r="AA102" s="23">
        <f>EXP(-LN(2)/25)*AA101+(1-EXP(-LN(2)/25))/(LN(2)/25)*Calculateur!V102*Calculateur!X102*VLOOKUP('Données projet'!$B$9,Paramètres!$A$1:$I$89,3,0)*0.475*44/12</f>
        <v>6.4174867134147267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27.081828036182515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233.5132799999999</v>
      </c>
      <c r="AK102" s="14">
        <f t="shared" si="89"/>
        <v>57.041663274479838</v>
      </c>
      <c r="AL102" s="22">
        <f t="shared" si="58"/>
        <v>506.04985953638561</v>
      </c>
      <c r="AM102" s="62">
        <f t="shared" si="59"/>
        <v>799.38319286971887</v>
      </c>
      <c r="AN102" s="62">
        <f ca="1">AVERAGE(OFFSET($AM$3,0,0,'Données projet'!$E$10+1,1))-AVERAGE(OFFSET($H$3,0,0,'Données projet'!$E$10+1,1))</f>
        <v>348.82438445524105</v>
      </c>
      <c r="AO102" s="62">
        <f t="shared" si="90"/>
        <v>218.26721063098552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19.239214334990688</v>
      </c>
      <c r="AV102" s="23">
        <f>EXP(-LN(2)/25)*AV101+(1-EXP(-LN(2)/25))/(LN(2)/25)*Calculateur!AQ102*Calculateur!AS102*VLOOKUP('Données projet'!$B$10,Paramètres!$A$1:$I$89,3,0)*0.475*44/12</f>
        <v>5.9749014228344057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25.214115757825095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-3.2514435588382188E-14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309.71642374647882</v>
      </c>
      <c r="BJ102" s="62">
        <f t="shared" si="92"/>
        <v>266.63880397664315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137.58294908741416</v>
      </c>
      <c r="BQ102" s="23">
        <f>EXP(-LN(2)/25)*BQ101+(1-EXP(-LN(2)/25))/(LN(2)/25)*Calculateur!BL102*Calculateur!BN102*VLOOKUP('Données projet'!$B$11,Paramètres!$A$1:$I$89,3,0)*0.475*44/12</f>
        <v>8.711476482536284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146.29442556995045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277.19999999999987</v>
      </c>
      <c r="BZ102" s="14">
        <f>BY102*VLOOKUP('Données projet'!$B$12,Paramètres!$A$1:$I$89,3,0)*VLOOKUP('Données projet'!$B$12,Paramètres!$A$1:$I$89,5,0)</f>
        <v>268.1078399999999</v>
      </c>
      <c r="CA102" s="14">
        <f t="shared" si="93"/>
        <v>64.447540968014181</v>
      </c>
      <c r="CB102" s="22">
        <f t="shared" si="64"/>
        <v>579.20062185262452</v>
      </c>
      <c r="CC102" s="62">
        <f t="shared" si="65"/>
        <v>872.53395518595789</v>
      </c>
      <c r="CD102" s="62">
        <f ca="1">AVERAGE(OFFSET($CC$3,0,0,'Données projet'!$E$12+1,1))-AVERAGE(OFFSET($H$3,0,0,'Données projet'!$E$12+1,1))</f>
        <v>394.59880827600006</v>
      </c>
      <c r="CE102" s="62">
        <f t="shared" si="94"/>
        <v>244.45149244446094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22.089468310544852</v>
      </c>
      <c r="CL102" s="23">
        <f>EXP(-LN(2)/25)*CL101+(1-EXP(-LN(2)/25))/(LN(2)/25)*Calculateur!CG102*Calculateur!CI102*VLOOKUP('Données projet'!$B$12,Paramètres!$A$1:$I$89,3,0)*0.475*44/12</f>
        <v>6.8600720039950547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28.949540314539906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4.5224624045658861E-14</v>
      </c>
      <c r="CV102" s="14">
        <f t="shared" si="95"/>
        <v>7.4514601661523691E-13</v>
      </c>
      <c r="CW102" s="22">
        <f t="shared" si="67"/>
        <v>1.3765621991510601E-12</v>
      </c>
      <c r="CX102" s="62">
        <f t="shared" si="68"/>
        <v>293.33333333333468</v>
      </c>
      <c r="CY102" s="62">
        <f ca="1">AVERAGE(OFFSET($CX$3,0,0,'Données projet'!$E$13+1,1))-AVERAGE(OFFSET($H$3,0,0,'Données projet'!$E$13+1,1))</f>
        <v>293.90975929253631</v>
      </c>
      <c r="CZ102" s="62">
        <f t="shared" si="96"/>
        <v>288.30197520356643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3.2726728142596402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3.2726728142596402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4.4337866711430253E-14</v>
      </c>
      <c r="DQ102" s="14">
        <f t="shared" si="97"/>
        <v>7.3222115536967035E-13</v>
      </c>
      <c r="DR102" s="22">
        <f t="shared" si="70"/>
        <v>1.3525069634579169E-12</v>
      </c>
      <c r="DS102" s="62">
        <f t="shared" si="71"/>
        <v>293.33333333333468</v>
      </c>
      <c r="DT102" s="62">
        <f ca="1">AVERAGE(OFFSET($DS$3,0,0,'Données projet'!$E$14+1,1))-AVERAGE(OFFSET($H$3,0,0,'Données projet'!$E$14+1,1))</f>
        <v>288.82868507674738</v>
      </c>
      <c r="DU102" s="62">
        <f t="shared" si="98"/>
        <v>283.48738729114024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2.6031248800067432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2.6031248800067432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-5.6843418860808015E-14</v>
      </c>
      <c r="EK102" s="18">
        <f>EJ102*VLOOKUP('Données projet'!$B$15,Paramètres!$A$1:$I$89,3,0)*VLOOKUP('Données projet'!$B$15,Paramètres!$A$1:$I$89,5,0)</f>
        <v>-5.1431925385259088E-14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366.86025470473652</v>
      </c>
      <c r="EP102" s="62">
        <f t="shared" si="100"/>
        <v>513.80016421153414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2.6991399954566497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2.6991399954566497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281.99999999999989</v>
      </c>
      <c r="O103" s="14">
        <f>N103*VLOOKUP('Données projet'!$B$9,Paramètres!$A$1:$I$89,3,0)*VLOOKUP('Données projet'!$B$9,Paramètres!$A$1:$I$89,5,0)</f>
        <v>255.15359999999987</v>
      </c>
      <c r="P103" s="14">
        <f t="shared" si="87"/>
        <v>61.688192762754376</v>
      </c>
      <c r="Q103" s="22">
        <f t="shared" si="107"/>
        <v>551.83278906179692</v>
      </c>
      <c r="R103" s="62">
        <f t="shared" si="55"/>
        <v>845.16612239513029</v>
      </c>
      <c r="S103" s="62">
        <f ca="1">AVERAGE(OFFSET($R$3,0,0,'Données projet'!$E$9+1,1))-AVERAGE(OFFSET($H$3,0,0,'Données projet'!$E$9+1,1))</f>
        <v>371.7282125501186</v>
      </c>
      <c r="T103" s="62">
        <f t="shared" si="88"/>
        <v>231.36959598460686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20.259126193431975</v>
      </c>
      <c r="AA103" s="23">
        <f>EXP(-LN(2)/25)*AA102+(1-EXP(-LN(2)/25))/(LN(2)/25)*Calculateur!V103*Calculateur!X103*VLOOKUP('Données projet'!$B$9,Paramètres!$A$1:$I$89,3,0)*0.475*44/12</f>
        <v>6.2420002017554417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26.501126395187416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237.55679999999992</v>
      </c>
      <c r="AK103" s="14">
        <f t="shared" si="89"/>
        <v>57.913551469467308</v>
      </c>
      <c r="AL103" s="22">
        <f t="shared" si="58"/>
        <v>514.61086214265538</v>
      </c>
      <c r="AM103" s="62">
        <f t="shared" si="59"/>
        <v>807.94419547598864</v>
      </c>
      <c r="AN103" s="62">
        <f ca="1">AVERAGE(OFFSET($AM$3,0,0,'Données projet'!$E$10+1,1))-AVERAGE(OFFSET($H$3,0,0,'Données projet'!$E$10+1,1))</f>
        <v>348.82438445524105</v>
      </c>
      <c r="AO103" s="62">
        <f t="shared" si="90"/>
        <v>218.26721063098552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18.861945076643554</v>
      </c>
      <c r="AV103" s="23">
        <f>EXP(-LN(2)/25)*AV102+(1-EXP(-LN(2)/25))/(LN(2)/25)*Calculateur!AQ103*Calculateur!AS103*VLOOKUP('Données projet'!$B$10,Paramètres!$A$1:$I$89,3,0)*0.475*44/12</f>
        <v>5.8115174292205891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24.673462505864144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-3.2514435588382188E-14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309.71642374647882</v>
      </c>
      <c r="BJ103" s="62">
        <f t="shared" si="92"/>
        <v>266.63880397664315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134.88503137312276</v>
      </c>
      <c r="BQ103" s="23">
        <f>EXP(-LN(2)/25)*BQ102+(1-EXP(-LN(2)/25))/(LN(2)/25)*Calculateur!BL103*Calculateur!BN103*VLOOKUP('Données projet'!$B$11,Paramètres!$A$1:$I$89,3,0)*0.475*44/12</f>
        <v>8.4732607000046922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143.35829207312744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281.99999999999989</v>
      </c>
      <c r="BZ103" s="14">
        <f>BY103*VLOOKUP('Données projet'!$B$12,Paramètres!$A$1:$I$89,3,0)*VLOOKUP('Données projet'!$B$12,Paramètres!$A$1:$I$89,5,0)</f>
        <v>272.7503999999999</v>
      </c>
      <c r="CA103" s="14">
        <f t="shared" si="93"/>
        <v>65.432628830820633</v>
      </c>
      <c r="CB103" s="22">
        <f t="shared" si="64"/>
        <v>589.00210854701243</v>
      </c>
      <c r="CC103" s="62">
        <f t="shared" si="65"/>
        <v>882.3354418803458</v>
      </c>
      <c r="CD103" s="62">
        <f ca="1">AVERAGE(OFFSET($CC$3,0,0,'Données projet'!$E$12+1,1))-AVERAGE(OFFSET($H$3,0,0,'Données projet'!$E$12+1,1))</f>
        <v>394.59880827600006</v>
      </c>
      <c r="CE103" s="62">
        <f t="shared" si="94"/>
        <v>244.45149244446094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21.656307310220363</v>
      </c>
      <c r="CL103" s="23">
        <f>EXP(-LN(2)/25)*CL102+(1-EXP(-LN(2)/25))/(LN(2)/25)*Calculateur!CG103*Calculateur!CI103*VLOOKUP('Données projet'!$B$12,Paramètres!$A$1:$I$89,3,0)*0.475*44/12</f>
        <v>6.6724829742903022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28.328790284510667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4.5224624045658861E-14</v>
      </c>
      <c r="CV103" s="14">
        <f t="shared" si="95"/>
        <v>7.4514601661523691E-13</v>
      </c>
      <c r="CW103" s="22">
        <f t="shared" si="67"/>
        <v>1.3765621991510601E-12</v>
      </c>
      <c r="CX103" s="62">
        <f t="shared" si="68"/>
        <v>293.33333333333468</v>
      </c>
      <c r="CY103" s="62">
        <f ca="1">AVERAGE(OFFSET($CX$3,0,0,'Données projet'!$E$13+1,1))-AVERAGE(OFFSET($H$3,0,0,'Données projet'!$E$13+1,1))</f>
        <v>293.90975929253631</v>
      </c>
      <c r="CZ103" s="62">
        <f t="shared" si="96"/>
        <v>288.30197520356643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3.2084976965053236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3.2084976965053236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4.4337866711430253E-14</v>
      </c>
      <c r="DQ103" s="14">
        <f t="shared" si="97"/>
        <v>7.3222115536967035E-13</v>
      </c>
      <c r="DR103" s="22">
        <f t="shared" si="70"/>
        <v>1.3525069634579169E-12</v>
      </c>
      <c r="DS103" s="62">
        <f t="shared" si="71"/>
        <v>293.33333333333468</v>
      </c>
      <c r="DT103" s="62">
        <f ca="1">AVERAGE(OFFSET($DS$3,0,0,'Données projet'!$E$14+1,1))-AVERAGE(OFFSET($H$3,0,0,'Données projet'!$E$14+1,1))</f>
        <v>288.82868507674738</v>
      </c>
      <c r="DU103" s="62">
        <f t="shared" si="98"/>
        <v>283.48738729114024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2.5520791888592105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2.5520791888592105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-5.6843418860808015E-14</v>
      </c>
      <c r="EK103" s="18">
        <f>EJ103*VLOOKUP('Données projet'!$B$15,Paramètres!$A$1:$I$89,3,0)*VLOOKUP('Données projet'!$B$15,Paramètres!$A$1:$I$89,5,0)</f>
        <v>-5.1431925385259088E-14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366.86025470473652</v>
      </c>
      <c r="EP103" s="62">
        <f t="shared" si="100"/>
        <v>513.80016421153414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2.6462115064585823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2.6462115064585823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265.59999999999991</v>
      </c>
      <c r="O104" s="14">
        <f>N104*VLOOKUP('Données projet'!$B$9,Paramètres!$A$1:$I$89,3,0)*VLOOKUP('Données projet'!$B$9,Paramètres!$A$1:$I$89,5,0)</f>
        <v>240.31487999999993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813.78191695834039</v>
      </c>
      <c r="S104" s="62">
        <f ca="1">AVERAGE(OFFSET($R$3,0,0,'Données projet'!$E$9+1,1))-AVERAGE(OFFSET($H$3,0,0,'Données projet'!$E$9+1,1))</f>
        <v>371.7282125501186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19.861857085625616</v>
      </c>
      <c r="AA104" s="23">
        <f>EXP(-LN(2)/25)*AA103+(1-EXP(-LN(2)/25))/(LN(2)/25)*Calculateur!V104*Calculateur!X104*VLOOKUP('Données projet'!$B$9,Paramètres!$A$1:$I$89,3,0)*0.475*44/12</f>
        <v>6.0713123779859144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25.933169463611531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223.74143999999993</v>
      </c>
      <c r="AK104" s="14">
        <f t="shared" si="89"/>
        <v>54.927269393786155</v>
      </c>
      <c r="AL104" s="22">
        <f t="shared" si="58"/>
        <v>485.34800219417735</v>
      </c>
      <c r="AM104" s="62">
        <f t="shared" si="59"/>
        <v>778.68133552751067</v>
      </c>
      <c r="AN104" s="62">
        <f ca="1">AVERAGE(OFFSET($AM$3,0,0,'Données projet'!$E$10+1,1))-AVERAGE(OFFSET($H$3,0,0,'Données projet'!$E$10+1,1))</f>
        <v>348.82438445524105</v>
      </c>
      <c r="AO104" s="62">
        <f t="shared" si="90"/>
        <v>218.26721063098552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18.492073838341081</v>
      </c>
      <c r="AV104" s="23">
        <f>EXP(-LN(2)/25)*AV103+(1-EXP(-LN(2)/25))/(LN(2)/25)*Calculateur!AQ104*Calculateur!AS104*VLOOKUP('Données projet'!$B$10,Paramètres!$A$1:$I$89,3,0)*0.475*44/12</f>
        <v>5.6526011795041331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24.144675017845216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-3.2514435588382188E-14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309.71642374647882</v>
      </c>
      <c r="BJ104" s="62">
        <f t="shared" si="92"/>
        <v>266.63880397664315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132.24001817964131</v>
      </c>
      <c r="BQ104" s="23">
        <f>EXP(-LN(2)/25)*BQ103+(1-EXP(-LN(2)/25))/(LN(2)/25)*Calculateur!BL104*Calculateur!BN104*VLOOKUP('Données projet'!$B$11,Paramètres!$A$1:$I$89,3,0)*0.475*44/12</f>
        <v>8.2415589405736505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140.48157712021495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4.5999999999999996</v>
      </c>
      <c r="BY104" s="13">
        <f>IF('Données projet'!$A$114&gt;35,BY103+BX104-CG103,IF(A104&lt;'Données projet'!$A$114,$BV$205^A104,IF(A104='Données projet'!$A$114,'Données projet'!$B$114,BY103+BX104-CG103)))</f>
        <v>265.59999999999991</v>
      </c>
      <c r="BZ104" s="14">
        <f>BY104*VLOOKUP('Données projet'!$B$12,Paramètres!$A$1:$I$89,3,0)*VLOOKUP('Données projet'!$B$12,Paramètres!$A$1:$I$89,5,0)</f>
        <v>256.88831999999991</v>
      </c>
      <c r="CA104" s="14">
        <f t="shared" si="93"/>
        <v>62.05862945270966</v>
      </c>
      <c r="CB104" s="22">
        <f t="shared" si="64"/>
        <v>555.49927029680248</v>
      </c>
      <c r="CC104" s="62">
        <f t="shared" si="65"/>
        <v>848.83260363013574</v>
      </c>
      <c r="CD104" s="62">
        <f ca="1">AVERAGE(OFFSET($CC$3,0,0,'Données projet'!$E$12+1,1))-AVERAGE(OFFSET($H$3,0,0,'Données projet'!$E$12+1,1))</f>
        <v>394.59880827600006</v>
      </c>
      <c r="CE104" s="62">
        <f t="shared" si="94"/>
        <v>244.45149244446094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21.231640332910118</v>
      </c>
      <c r="CL104" s="23">
        <f>EXP(-LN(2)/25)*CL103+(1-EXP(-LN(2)/25))/(LN(2)/25)*Calculateur!CG104*Calculateur!CI104*VLOOKUP('Données projet'!$B$12,Paramètres!$A$1:$I$89,3,0)*0.475*44/12</f>
        <v>6.4900235764677046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27.721663909377824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4.5224624045658861E-14</v>
      </c>
      <c r="CV104" s="14">
        <f t="shared" si="95"/>
        <v>7.4514601661523691E-13</v>
      </c>
      <c r="CW104" s="22">
        <f t="shared" si="67"/>
        <v>1.3765621991510601E-12</v>
      </c>
      <c r="CX104" s="62">
        <f t="shared" si="68"/>
        <v>293.33333333333468</v>
      </c>
      <c r="CY104" s="62">
        <f ca="1">AVERAGE(OFFSET($CX$3,0,0,'Données projet'!$E$13+1,1))-AVERAGE(OFFSET($H$3,0,0,'Données projet'!$E$13+1,1))</f>
        <v>293.90975929253631</v>
      </c>
      <c r="CZ104" s="62">
        <f t="shared" si="96"/>
        <v>288.30197520356643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3.1455810136672122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3.1455810136672122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4.4337866711430253E-14</v>
      </c>
      <c r="DQ104" s="14">
        <f t="shared" si="97"/>
        <v>7.3222115536967035E-13</v>
      </c>
      <c r="DR104" s="22">
        <f t="shared" si="70"/>
        <v>1.3525069634579169E-12</v>
      </c>
      <c r="DS104" s="62">
        <f t="shared" si="71"/>
        <v>293.33333333333468</v>
      </c>
      <c r="DT104" s="62">
        <f ca="1">AVERAGE(OFFSET($DS$3,0,0,'Données projet'!$E$14+1,1))-AVERAGE(OFFSET($H$3,0,0,'Données projet'!$E$14+1,1))</f>
        <v>288.82868507674738</v>
      </c>
      <c r="DU104" s="62">
        <f t="shared" si="98"/>
        <v>283.48738729114024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2.5020344725802834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2.5020344725802834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-5.6843418860808015E-14</v>
      </c>
      <c r="EK104" s="18">
        <f>EJ104*VLOOKUP('Données projet'!$B$15,Paramètres!$A$1:$I$89,3,0)*VLOOKUP('Données projet'!$B$15,Paramètres!$A$1:$I$89,5,0)</f>
        <v>-5.1431925385259088E-14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366.86025470473652</v>
      </c>
      <c r="EP104" s="62">
        <f t="shared" si="100"/>
        <v>513.80016421153414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2.5943209128465763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2.5943209128465763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270.19999999999993</v>
      </c>
      <c r="O105" s="14">
        <f>N105*VLOOKUP('Données projet'!$B$9,Paramètres!$A$1:$I$89,3,0)*VLOOKUP('Données projet'!$B$9,Paramètres!$A$1:$I$89,5,0)</f>
        <v>244.47695999999993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822.58872132565784</v>
      </c>
      <c r="S105" s="62">
        <f ca="1">AVERAGE(OFFSET($R$3,0,0,'Données projet'!$E$9+1,1))-AVERAGE(OFFSET($H$3,0,0,'Données projet'!$E$9+1,1))</f>
        <v>371.7282125501186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19.472378182713108</v>
      </c>
      <c r="AA105" s="23">
        <f>EXP(-LN(2)/25)*AA104+(1-EXP(-LN(2)/25))/(LN(2)/25)*Calculateur!V105*Calculateur!X105*VLOOKUP('Données projet'!$B$9,Paramètres!$A$1:$I$89,3,0)*0.475*44/12</f>
        <v>5.9052920217334481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25.377670204446556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227.61647999999994</v>
      </c>
      <c r="AK105" s="14">
        <f t="shared" si="89"/>
        <v>55.766996736151235</v>
      </c>
      <c r="AL105" s="22">
        <f t="shared" si="58"/>
        <v>493.55955531546334</v>
      </c>
      <c r="AM105" s="62">
        <f t="shared" si="59"/>
        <v>786.89288864879666</v>
      </c>
      <c r="AN105" s="62">
        <f ca="1">AVERAGE(OFFSET($AM$3,0,0,'Données projet'!$E$10+1,1))-AVERAGE(OFFSET($H$3,0,0,'Données projet'!$E$10+1,1))</f>
        <v>348.82438445524105</v>
      </c>
      <c r="AO105" s="62">
        <f t="shared" si="90"/>
        <v>218.26721063098552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18.129455549422541</v>
      </c>
      <c r="AV105" s="23">
        <f>EXP(-LN(2)/25)*AV104+(1-EXP(-LN(2)/25))/(LN(2)/25)*Calculateur!AQ105*Calculateur!AS105*VLOOKUP('Données projet'!$B$10,Paramètres!$A$1:$I$89,3,0)*0.475*44/12</f>
        <v>5.4980305029932159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23.627486052415758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-3.2514435588382188E-14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309.71642374647882</v>
      </c>
      <c r="BJ105" s="62">
        <f t="shared" si="92"/>
        <v>266.63880397664315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129.64687208158529</v>
      </c>
      <c r="BQ105" s="23">
        <f>EXP(-LN(2)/25)*BQ104+(1-EXP(-LN(2)/25))/(LN(2)/25)*Calculateur!BL105*Calculateur!BN105*VLOOKUP('Données projet'!$B$11,Paramètres!$A$1:$I$89,3,0)*0.475*44/12</f>
        <v>8.0161930779389152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137.66306515952419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4.5999999999999996</v>
      </c>
      <c r="BY105" s="13">
        <f>IF('Données projet'!$A$114&gt;35,BY104+BX105-CG104,IF(A105&lt;'Données projet'!$A$114,$BV$205^A105,IF(A105='Données projet'!$A$114,'Données projet'!$B$114,BY104+BX105-CG104)))</f>
        <v>270.19999999999993</v>
      </c>
      <c r="BZ105" s="14">
        <f>BY105*VLOOKUP('Données projet'!$B$12,Paramètres!$A$1:$I$89,3,0)*VLOOKUP('Données projet'!$B$12,Paramètres!$A$1:$I$89,5,0)</f>
        <v>261.3374399999999</v>
      </c>
      <c r="CA105" s="14">
        <f t="shared" si="93"/>
        <v>63.007380930004807</v>
      </c>
      <c r="CB105" s="22">
        <f t="shared" si="64"/>
        <v>564.9005631197582</v>
      </c>
      <c r="CC105" s="62">
        <f t="shared" si="65"/>
        <v>858.23389645309157</v>
      </c>
      <c r="CD105" s="62">
        <f ca="1">AVERAGE(OFFSET($CC$3,0,0,'Données projet'!$E$12+1,1))-AVERAGE(OFFSET($H$3,0,0,'Données projet'!$E$12+1,1))</f>
        <v>394.59880827600006</v>
      </c>
      <c r="CE105" s="62">
        <f t="shared" si="94"/>
        <v>244.45149244446094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20.815300816003646</v>
      </c>
      <c r="CL105" s="23">
        <f>EXP(-LN(2)/25)*CL104+(1-EXP(-LN(2)/25))/(LN(2)/25)*Calculateur!CG105*Calculateur!CI105*VLOOKUP('Données projet'!$B$12,Paramètres!$A$1:$I$89,3,0)*0.475*44/12</f>
        <v>6.3125535404736883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27.127854356477336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4.5224624045658861E-14</v>
      </c>
      <c r="CV105" s="14">
        <f t="shared" si="95"/>
        <v>7.4514601661523691E-13</v>
      </c>
      <c r="CW105" s="22">
        <f t="shared" si="67"/>
        <v>1.3765621991510601E-12</v>
      </c>
      <c r="CX105" s="62">
        <f t="shared" si="68"/>
        <v>293.33333333333468</v>
      </c>
      <c r="CY105" s="62">
        <f ca="1">AVERAGE(OFFSET($CX$3,0,0,'Données projet'!$E$13+1,1))-AVERAGE(OFFSET($H$3,0,0,'Données projet'!$E$13+1,1))</f>
        <v>293.90975929253631</v>
      </c>
      <c r="CZ105" s="62">
        <f t="shared" si="96"/>
        <v>288.30197520356643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3.0838980886041689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3.0838980886041689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4.4337866711430253E-14</v>
      </c>
      <c r="DQ105" s="14">
        <f t="shared" si="97"/>
        <v>7.3222115536967035E-13</v>
      </c>
      <c r="DR105" s="22">
        <f t="shared" si="70"/>
        <v>1.3525069634579169E-12</v>
      </c>
      <c r="DS105" s="62">
        <f t="shared" si="71"/>
        <v>293.33333333333468</v>
      </c>
      <c r="DT105" s="62">
        <f ca="1">AVERAGE(OFFSET($DS$3,0,0,'Données projet'!$E$14+1,1))-AVERAGE(OFFSET($H$3,0,0,'Données projet'!$E$14+1,1))</f>
        <v>288.82868507674738</v>
      </c>
      <c r="DU105" s="62">
        <f t="shared" si="98"/>
        <v>283.48738729114024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2.4529711026633234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2.4529711026633234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-5.6843418860808015E-14</v>
      </c>
      <c r="EK105" s="18">
        <f>EJ105*VLOOKUP('Données projet'!$B$15,Paramètres!$A$1:$I$89,3,0)*VLOOKUP('Données projet'!$B$15,Paramètres!$A$1:$I$89,5,0)</f>
        <v>-5.1431925385259088E-14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366.86025470473652</v>
      </c>
      <c r="EP105" s="62">
        <f t="shared" si="100"/>
        <v>513.80016421153414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2.5434478621251646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2.5434478621251646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274.79999999999995</v>
      </c>
      <c r="O106" s="14">
        <f>N106*VLOOKUP('Données projet'!$B$9,Paramètres!$A$1:$I$89,3,0)*VLOOKUP('Données projet'!$B$9,Paramètres!$A$1:$I$89,5,0)</f>
        <v>248.63903999999994</v>
      </c>
      <c r="P106" s="14">
        <f t="shared" si="87"/>
        <v>60.294419230169922</v>
      </c>
      <c r="Q106" s="22">
        <f t="shared" si="107"/>
        <v>538.05910815921254</v>
      </c>
      <c r="R106" s="62">
        <f t="shared" si="55"/>
        <v>831.39244149254591</v>
      </c>
      <c r="S106" s="62">
        <f ca="1">AVERAGE(OFFSET($R$3,0,0,'Données projet'!$E$9+1,1))-AVERAGE(OFFSET($H$3,0,0,'Données projet'!$E$9+1,1))</f>
        <v>371.7282125501186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19.090536723528039</v>
      </c>
      <c r="AA106" s="23">
        <f>EXP(-LN(2)/25)*AA105+(1-EXP(-LN(2)/25))/(LN(2)/25)*Calculateur!V106*Calculateur!X106*VLOOKUP('Données projet'!$B$9,Paramètres!$A$1:$I$89,3,0)*0.475*44/12</f>
        <v>5.7438115008533366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24.834348224381376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231.49152000000001</v>
      </c>
      <c r="AK106" s="14">
        <f t="shared" si="89"/>
        <v>56.605061601291979</v>
      </c>
      <c r="AL106" s="22">
        <f t="shared" si="58"/>
        <v>501.76821295558352</v>
      </c>
      <c r="AM106" s="62">
        <f t="shared" si="59"/>
        <v>795.10154628891678</v>
      </c>
      <c r="AN106" s="62">
        <f ca="1">AVERAGE(OFFSET($AM$3,0,0,'Données projet'!$E$10+1,1))-AVERAGE(OFFSET($H$3,0,0,'Données projet'!$E$10+1,1))</f>
        <v>348.82438445524105</v>
      </c>
      <c r="AO106" s="62">
        <f t="shared" si="90"/>
        <v>218.26721063098552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17.773947983974377</v>
      </c>
      <c r="AV106" s="23">
        <f>EXP(-LN(2)/25)*AV105+(1-EXP(-LN(2)/25))/(LN(2)/25)*Calculateur!AQ106*Calculateur!AS106*VLOOKUP('Données projet'!$B$10,Paramètres!$A$1:$I$89,3,0)*0.475*44/12</f>
        <v>5.3476865697600084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23.121634553734385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-3.2514435588382188E-14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309.71642374647882</v>
      </c>
      <c r="BJ106" s="62">
        <f t="shared" si="92"/>
        <v>266.63880397664315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127.10457599684918</v>
      </c>
      <c r="BQ106" s="23">
        <f>EXP(-LN(2)/25)*BQ105+(1-EXP(-LN(2)/25))/(LN(2)/25)*Calculateur!BL106*Calculateur!BN106*VLOOKUP('Données projet'!$B$11,Paramètres!$A$1:$I$89,3,0)*0.475*44/12</f>
        <v>7.7969898566694029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134.90156585351858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4.5999999999999996</v>
      </c>
      <c r="BY106" s="13">
        <f>IF('Données projet'!$A$114&gt;35,BY105+BX106-CG105,IF(A106&lt;'Données projet'!$A$114,$BV$205^A106,IF(A106='Données projet'!$A$114,'Données projet'!$B$114,BY105+BX106-CG105)))</f>
        <v>274.79999999999995</v>
      </c>
      <c r="BZ106" s="14">
        <f>BY106*VLOOKUP('Données projet'!$B$12,Paramètres!$A$1:$I$89,3,0)*VLOOKUP('Données projet'!$B$12,Paramètres!$A$1:$I$89,5,0)</f>
        <v>265.78655999999995</v>
      </c>
      <c r="CA106" s="14">
        <f t="shared" si="93"/>
        <v>63.954254086036684</v>
      </c>
      <c r="CB106" s="22">
        <f t="shared" si="64"/>
        <v>574.29858453318047</v>
      </c>
      <c r="CC106" s="62">
        <f t="shared" si="65"/>
        <v>867.63191786651373</v>
      </c>
      <c r="CD106" s="62">
        <f ca="1">AVERAGE(OFFSET($CC$3,0,0,'Données projet'!$E$12+1,1))-AVERAGE(OFFSET($H$3,0,0,'Données projet'!$E$12+1,1))</f>
        <v>394.59880827600006</v>
      </c>
      <c r="CE106" s="62">
        <f t="shared" si="94"/>
        <v>244.45149244446094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20.407125463081677</v>
      </c>
      <c r="CL106" s="23">
        <f>EXP(-LN(2)/25)*CL105+(1-EXP(-LN(2)/25))/(LN(2)/25)*Calculateur!CG106*Calculateur!CI106*VLOOKUP('Données projet'!$B$12,Paramètres!$A$1:$I$89,3,0)*0.475*44/12</f>
        <v>6.1399364319466718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26.547061895028349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4.5224624045658861E-14</v>
      </c>
      <c r="CV106" s="14">
        <f t="shared" si="95"/>
        <v>7.4514601661523691E-13</v>
      </c>
      <c r="CW106" s="22">
        <f t="shared" si="67"/>
        <v>1.3765621991510601E-12</v>
      </c>
      <c r="CX106" s="62">
        <f t="shared" si="68"/>
        <v>293.33333333333468</v>
      </c>
      <c r="CY106" s="62">
        <f ca="1">AVERAGE(OFFSET($CX$3,0,0,'Données projet'!$E$13+1,1))-AVERAGE(OFFSET($H$3,0,0,'Données projet'!$E$13+1,1))</f>
        <v>293.90975929253631</v>
      </c>
      <c r="CZ106" s="62">
        <f t="shared" si="96"/>
        <v>288.30197520356643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3.0234247280787425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3.0234247280787425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4.4337866711430253E-14</v>
      </c>
      <c r="DQ106" s="14">
        <f t="shared" si="97"/>
        <v>7.3222115536967035E-13</v>
      </c>
      <c r="DR106" s="22">
        <f t="shared" si="70"/>
        <v>1.3525069634579169E-12</v>
      </c>
      <c r="DS106" s="62">
        <f t="shared" si="71"/>
        <v>293.33333333333468</v>
      </c>
      <c r="DT106" s="62">
        <f ca="1">AVERAGE(OFFSET($DS$3,0,0,'Données projet'!$E$14+1,1))-AVERAGE(OFFSET($H$3,0,0,'Données projet'!$E$14+1,1))</f>
        <v>288.82868507674738</v>
      </c>
      <c r="DU106" s="62">
        <f t="shared" si="98"/>
        <v>283.48738729114024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2.4048698355047344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2.4048698355047344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-5.6843418860808015E-14</v>
      </c>
      <c r="EK106" s="18">
        <f>EJ106*VLOOKUP('Données projet'!$B$15,Paramètres!$A$1:$I$89,3,0)*VLOOKUP('Données projet'!$B$15,Paramètres!$A$1:$I$89,5,0)</f>
        <v>-5.1431925385259088E-14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366.86025470473652</v>
      </c>
      <c r="EP106" s="62">
        <f t="shared" si="100"/>
        <v>513.80016421153414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2.4935724008989029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2.4935724008989029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279.39999999999998</v>
      </c>
      <c r="O107" s="14">
        <f>N107*VLOOKUP('Données projet'!$B$9,Paramètres!$A$1:$I$89,3,0)*VLOOKUP('Données projet'!$B$9,Paramètres!$A$1:$I$89,5,0)</f>
        <v>252.80111999999994</v>
      </c>
      <c r="P107" s="14">
        <f t="shared" si="87"/>
        <v>61.185369021394209</v>
      </c>
      <c r="Q107" s="22">
        <f t="shared" si="107"/>
        <v>546.8598017122614</v>
      </c>
      <c r="R107" s="62">
        <f t="shared" si="55"/>
        <v>840.19313504559477</v>
      </c>
      <c r="S107" s="62">
        <f ca="1">AVERAGE(OFFSET($R$3,0,0,'Données projet'!$E$9+1,1))-AVERAGE(OFFSET($H$3,0,0,'Données projet'!$E$9+1,1))</f>
        <v>371.7282125501186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18.716182942457298</v>
      </c>
      <c r="AA107" s="23">
        <f>EXP(-LN(2)/25)*AA106+(1-EXP(-LN(2)/25))/(LN(2)/25)*Calculateur!V107*Calculateur!X107*VLOOKUP('Données projet'!$B$9,Paramètres!$A$1:$I$89,3,0)*0.475*44/12</f>
        <v>5.5867466733085829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24.30292961576588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235.36656000000002</v>
      </c>
      <c r="AK107" s="14">
        <f t="shared" si="89"/>
        <v>57.441495030120393</v>
      </c>
      <c r="AL107" s="22">
        <f t="shared" si="58"/>
        <v>509.97402917745967</v>
      </c>
      <c r="AM107" s="62">
        <f t="shared" si="59"/>
        <v>803.30736251079293</v>
      </c>
      <c r="AN107" s="62">
        <f ca="1">AVERAGE(OFFSET($AM$3,0,0,'Données projet'!$E$10+1,1))-AVERAGE(OFFSET($H$3,0,0,'Données projet'!$E$10+1,1))</f>
        <v>348.82438445524105</v>
      </c>
      <c r="AO107" s="62">
        <f t="shared" si="90"/>
        <v>218.26721063098552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17.425411705046447</v>
      </c>
      <c r="AV107" s="23">
        <f>EXP(-LN(2)/25)*AV106+(1-EXP(-LN(2)/25))/(LN(2)/25)*Calculateur!AQ107*Calculateur!AS107*VLOOKUP('Données projet'!$B$10,Paramètres!$A$1:$I$89,3,0)*0.475*44/12</f>
        <v>5.2014537992873064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22.626865504333754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-3.2514435588382188E-14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309.71642374647882</v>
      </c>
      <c r="BJ107" s="62">
        <f t="shared" si="92"/>
        <v>266.63880397664315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124.61213278768726</v>
      </c>
      <c r="BQ107" s="23">
        <f>EXP(-LN(2)/25)*BQ106+(1-EXP(-LN(2)/25))/(LN(2)/25)*Calculateur!BL107*Calculateur!BN107*VLOOKUP('Données projet'!$B$11,Paramètres!$A$1:$I$89,3,0)*0.475*44/12</f>
        <v>7.5837807590129014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132.19591354670015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4.5999999999999996</v>
      </c>
      <c r="BY107" s="13">
        <f>IF('Données projet'!$A$114&gt;35,BY106+BX107-CG106,IF(A107&lt;'Données projet'!$A$114,$BV$205^A107,IF(A107='Données projet'!$A$114,'Données projet'!$B$114,BY106+BX107-CG106)))</f>
        <v>279.39999999999998</v>
      </c>
      <c r="BZ107" s="14">
        <f>BY107*VLOOKUP('Données projet'!$B$12,Paramètres!$A$1:$I$89,3,0)*VLOOKUP('Données projet'!$B$12,Paramètres!$A$1:$I$89,5,0)</f>
        <v>270.23568</v>
      </c>
      <c r="CA107" s="14">
        <f t="shared" si="93"/>
        <v>64.899283991845081</v>
      </c>
      <c r="CB107" s="22">
        <f t="shared" si="64"/>
        <v>583.69339561913023</v>
      </c>
      <c r="CC107" s="62">
        <f t="shared" si="65"/>
        <v>877.0267289524636</v>
      </c>
      <c r="CD107" s="62">
        <f ca="1">AVERAGE(OFFSET($CC$3,0,0,'Données projet'!$E$12+1,1))-AVERAGE(OFFSET($H$3,0,0,'Données projet'!$E$12+1,1))</f>
        <v>394.59880827600006</v>
      </c>
      <c r="CE107" s="62">
        <f t="shared" si="94"/>
        <v>244.45149244446094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20.006954179868128</v>
      </c>
      <c r="CL107" s="23">
        <f>EXP(-LN(2)/25)*CL106+(1-EXP(-LN(2)/25))/(LN(2)/25)*Calculateur!CG107*Calculateur!CI107*VLOOKUP('Données projet'!$B$12,Paramètres!$A$1:$I$89,3,0)*0.475*44/12</f>
        <v>5.9720395473298664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25.978993727197995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4.5224624045658861E-14</v>
      </c>
      <c r="CV107" s="14">
        <f t="shared" si="95"/>
        <v>7.4514601661523691E-13</v>
      </c>
      <c r="CW107" s="22">
        <f t="shared" si="67"/>
        <v>1.3765621991510601E-12</v>
      </c>
      <c r="CX107" s="62">
        <f t="shared" si="68"/>
        <v>293.33333333333468</v>
      </c>
      <c r="CY107" s="62">
        <f ca="1">AVERAGE(OFFSET($CX$3,0,0,'Données projet'!$E$13+1,1))-AVERAGE(OFFSET($H$3,0,0,'Données projet'!$E$13+1,1))</f>
        <v>293.90975929253631</v>
      </c>
      <c r="CZ107" s="62">
        <f t="shared" si="96"/>
        <v>288.30197520356643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2.9641372132681121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2.9641372132681121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4.4337866711430253E-14</v>
      </c>
      <c r="DQ107" s="14">
        <f t="shared" si="97"/>
        <v>7.3222115536967035E-13</v>
      </c>
      <c r="DR107" s="22">
        <f t="shared" si="70"/>
        <v>1.3525069634579169E-12</v>
      </c>
      <c r="DS107" s="62">
        <f t="shared" si="71"/>
        <v>293.33333333333468</v>
      </c>
      <c r="DT107" s="62">
        <f ca="1">AVERAGE(OFFSET($DS$3,0,0,'Données projet'!$E$14+1,1))-AVERAGE(OFFSET($H$3,0,0,'Données projet'!$E$14+1,1))</f>
        <v>288.82868507674738</v>
      </c>
      <c r="DU107" s="62">
        <f t="shared" si="98"/>
        <v>283.48738729114024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2.3577118048562493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2.3577118048562493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-5.6843418860808015E-14</v>
      </c>
      <c r="EK107" s="18">
        <f>EJ107*VLOOKUP('Données projet'!$B$15,Paramètres!$A$1:$I$89,3,0)*VLOOKUP('Données projet'!$B$15,Paramètres!$A$1:$I$89,5,0)</f>
        <v>-5.1431925385259088E-14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366.86025470473652</v>
      </c>
      <c r="EP107" s="62">
        <f t="shared" si="100"/>
        <v>513.80016421153414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2.4446749670462609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2.4446749670462609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848.99085756649288</v>
      </c>
      <c r="S108" s="62">
        <f ca="1">AVERAGE(OFFSET($R$3,0,0,'Données projet'!$E$9+1,1))-AVERAGE(OFFSET($H$3,0,0,'Données projet'!$E$9+1,1))</f>
        <v>371.7282125501186</v>
      </c>
      <c r="T108" s="62">
        <f t="shared" si="88"/>
        <v>231.36959598460686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18.349170010700092</v>
      </c>
      <c r="AA108" s="23">
        <f>EXP(-LN(2)/25)*AA107+(1-EXP(-LN(2)/25))/(LN(2)/25)*Calculateur!V108*Calculateur!X108*VLOOKUP('Données projet'!$B$9,Paramètres!$A$1:$I$89,3,0)*0.475*44/12</f>
        <v>5.4339767917327206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23.783146802432814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239.24160000000003</v>
      </c>
      <c r="AK108" s="14">
        <f t="shared" si="89"/>
        <v>58.276326982845887</v>
      </c>
      <c r="AL108" s="22">
        <f t="shared" si="58"/>
        <v>518.17705616178989</v>
      </c>
      <c r="AM108" s="62">
        <f t="shared" si="59"/>
        <v>811.51038949512326</v>
      </c>
      <c r="AN108" s="62">
        <f ca="1">AVERAGE(OFFSET($AM$3,0,0,'Données projet'!$E$10+1,1))-AVERAGE(OFFSET($H$3,0,0,'Données projet'!$E$10+1,1))</f>
        <v>348.82438445524105</v>
      </c>
      <c r="AO108" s="62">
        <f t="shared" si="90"/>
        <v>218.26721063098552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17.083710009962154</v>
      </c>
      <c r="AV108" s="23">
        <f>EXP(-LN(2)/25)*AV107+(1-EXP(-LN(2)/25))/(LN(2)/25)*Calculateur!AQ108*Calculateur!AS108*VLOOKUP('Données projet'!$B$10,Paramètres!$A$1:$I$89,3,0)*0.475*44/12</f>
        <v>5.0592197716132281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22.142929781575383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-3.2514435588382188E-14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309.71642374647882</v>
      </c>
      <c r="BJ108" s="62">
        <f t="shared" si="92"/>
        <v>266.63880397664315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122.16856486961676</v>
      </c>
      <c r="BQ108" s="23">
        <f>EXP(-LN(2)/25)*BQ107+(1-EXP(-LN(2)/25))/(LN(2)/25)*Calculateur!BL108*Calculateur!BN108*VLOOKUP('Données projet'!$B$11,Paramètres!$A$1:$I$89,3,0)*0.475*44/12</f>
        <v>7.3764018753439968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129.54496674496076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284</v>
      </c>
      <c r="BW108" s="13">
        <f>VLOOKUP(A108,'Données projet'!$A$113:$I$133,9,0)</f>
        <v>4.5999999999999996</v>
      </c>
      <c r="BX108" s="13">
        <f t="array" ref="BX108">INDEX(BW:BW,MIN(IF(ISNUMBER(BW108:BW304),ROW(BW108:BW304),"")))</f>
        <v>4.5999999999999996</v>
      </c>
      <c r="BY108" s="13">
        <f>IF('Données projet'!$A$114&gt;35,BY107+BX108-CG107,IF(A108&lt;'Données projet'!$A$114,$BV$205^A108,IF(A108='Données projet'!$A$114,'Données projet'!$B$114,BY107+BX108-CG107)))</f>
        <v>284</v>
      </c>
      <c r="BZ108" s="14">
        <f>BY108*VLOOKUP('Données projet'!$B$12,Paramètres!$A$1:$I$89,3,0)*VLOOKUP('Données projet'!$B$12,Paramètres!$A$1:$I$89,5,0)</f>
        <v>274.68480000000005</v>
      </c>
      <c r="CA108" s="14">
        <f t="shared" si="93"/>
        <v>65.842504497456659</v>
      </c>
      <c r="CB108" s="22">
        <f t="shared" si="64"/>
        <v>593.0850553330705</v>
      </c>
      <c r="CC108" s="62">
        <f t="shared" si="65"/>
        <v>886.41838866640387</v>
      </c>
      <c r="CD108" s="62">
        <f ca="1">AVERAGE(OFFSET($CC$3,0,0,'Données projet'!$E$12+1,1))-AVERAGE(OFFSET($H$3,0,0,'Données projet'!$E$12+1,1))</f>
        <v>394.59880827600006</v>
      </c>
      <c r="CE108" s="62">
        <f t="shared" si="94"/>
        <v>244.45149244446094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19.614630011438013</v>
      </c>
      <c r="CL108" s="23">
        <f>EXP(-LN(2)/25)*CL107+(1-EXP(-LN(2)/25))/(LN(2)/25)*Calculateur!CG108*Calculateur!CI108*VLOOKUP('Données projet'!$B$12,Paramètres!$A$1:$I$89,3,0)*0.475*44/12</f>
        <v>5.8087338118522203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25.423363823290234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4.5224624045658861E-14</v>
      </c>
      <c r="CV108" s="14">
        <f t="shared" si="95"/>
        <v>7.4514601661523691E-13</v>
      </c>
      <c r="CW108" s="22">
        <f t="shared" si="67"/>
        <v>1.3765621991510601E-12</v>
      </c>
      <c r="CX108" s="62">
        <f t="shared" si="68"/>
        <v>293.33333333333468</v>
      </c>
      <c r="CY108" s="62">
        <f ca="1">AVERAGE(OFFSET($CX$3,0,0,'Données projet'!$E$13+1,1))-AVERAGE(OFFSET($H$3,0,0,'Données projet'!$E$13+1,1))</f>
        <v>293.90975929253631</v>
      </c>
      <c r="CZ108" s="62">
        <f t="shared" si="96"/>
        <v>288.30197520356643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2.9060122904611045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2.9060122904611045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4.4337866711430253E-14</v>
      </c>
      <c r="DQ108" s="14">
        <f t="shared" si="97"/>
        <v>7.3222115536967035E-13</v>
      </c>
      <c r="DR108" s="22">
        <f t="shared" si="70"/>
        <v>1.3525069634579169E-12</v>
      </c>
      <c r="DS108" s="62">
        <f t="shared" si="71"/>
        <v>293.33333333333468</v>
      </c>
      <c r="DT108" s="62">
        <f ca="1">AVERAGE(OFFSET($DS$3,0,0,'Données projet'!$E$14+1,1))-AVERAGE(OFFSET($H$3,0,0,'Données projet'!$E$14+1,1))</f>
        <v>288.82868507674738</v>
      </c>
      <c r="DU108" s="62">
        <f t="shared" si="98"/>
        <v>283.48738729114024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2.3114785144252226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2.3114785144252226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-5.6843418860808015E-14</v>
      </c>
      <c r="EK108" s="18">
        <f>EJ108*VLOOKUP('Données projet'!$B$15,Paramètres!$A$1:$I$89,3,0)*VLOOKUP('Données projet'!$B$15,Paramètres!$A$1:$I$89,5,0)</f>
        <v>-5.1431925385259088E-14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366.86025470473652</v>
      </c>
      <c r="EP108" s="62">
        <f t="shared" si="100"/>
        <v>513.80016421153414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2.3967363820469791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2.3967363820469791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</v>
      </c>
      <c r="O109" s="14">
        <f>N109*VLOOKUP('Données projet'!$B$9,Paramètres!$A$1:$I$89,3,0)*VLOOKUP('Données projet'!$B$9,Paramètres!$A$1:$I$89,5,0)</f>
        <v>242.66735999999997</v>
      </c>
      <c r="P109" s="14">
        <f t="shared" si="87"/>
        <v>59.013056290731797</v>
      </c>
      <c r="Q109" s="22">
        <f t="shared" si="107"/>
        <v>525.42672503969118</v>
      </c>
      <c r="R109" s="62">
        <f t="shared" si="55"/>
        <v>818.76005837302455</v>
      </c>
      <c r="S109" s="62">
        <f ca="1">AVERAGE(OFFSET($R$3,0,0,'Données projet'!$E$9+1,1))-AVERAGE(OFFSET($H$3,0,0,'Données projet'!$E$9+1,1))</f>
        <v>371.7282125501186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17.989353978678864</v>
      </c>
      <c r="AA109" s="23">
        <f>EXP(-LN(2)/25)*AA108+(1-EXP(-LN(2)/25))/(LN(2)/25)*Calculateur!V109*Calculateur!X109*VLOOKUP('Données projet'!$B$9,Paramètres!$A$1:$I$89,3,0)*0.475*44/12</f>
        <v>5.2853844106023695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23.274738389281232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225.93168</v>
      </c>
      <c r="AK109" s="14">
        <f t="shared" si="89"/>
        <v>55.402104029984706</v>
      </c>
      <c r="AL109" s="22">
        <f t="shared" si="58"/>
        <v>489.9896738522234</v>
      </c>
      <c r="AM109" s="62">
        <f t="shared" si="59"/>
        <v>783.32300718555666</v>
      </c>
      <c r="AN109" s="62">
        <f ca="1">AVERAGE(OFFSET($AM$3,0,0,'Données projet'!$E$10+1,1))-AVERAGE(OFFSET($H$3,0,0,'Données projet'!$E$10+1,1))</f>
        <v>348.82438445524105</v>
      </c>
      <c r="AO109" s="62">
        <f t="shared" si="90"/>
        <v>218.26721063098552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16.748708876701009</v>
      </c>
      <c r="AV109" s="23">
        <f>EXP(-LN(2)/25)*AV108+(1-EXP(-LN(2)/25))/(LN(2)/25)*Calculateur!AQ109*Calculateur!AS109*VLOOKUP('Données projet'!$B$10,Paramètres!$A$1:$I$89,3,0)*0.475*44/12</f>
        <v>4.9208751409056593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21.669584017606667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-3.2514435588382188E-14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309.71642374647882</v>
      </c>
      <c r="BJ109" s="62">
        <f t="shared" si="92"/>
        <v>266.63880397664315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119.77291382799035</v>
      </c>
      <c r="BQ109" s="23">
        <f>EXP(-LN(2)/25)*BQ108+(1-EXP(-LN(2)/25))/(LN(2)/25)*Calculateur!BL109*Calculateur!BN109*VLOOKUP('Données projet'!$B$11,Paramètres!$A$1:$I$89,3,0)*0.475*44/12</f>
        <v>7.1746937781545999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126.94760760614496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268.2</v>
      </c>
      <c r="BZ109" s="14">
        <f>BY109*VLOOKUP('Données projet'!$B$12,Paramètres!$A$1:$I$89,3,0)*VLOOKUP('Données projet'!$B$12,Paramètres!$A$1:$I$89,5,0)</f>
        <v>259.40303999999998</v>
      </c>
      <c r="CA109" s="14">
        <f t="shared" si="93"/>
        <v>62.595113189556258</v>
      </c>
      <c r="CB109" s="22">
        <f t="shared" si="64"/>
        <v>560.81345013847704</v>
      </c>
      <c r="CC109" s="62">
        <f t="shared" si="65"/>
        <v>854.14678347181029</v>
      </c>
      <c r="CD109" s="62">
        <f ca="1">AVERAGE(OFFSET($CC$3,0,0,'Données projet'!$E$12+1,1))-AVERAGE(OFFSET($H$3,0,0,'Données projet'!$E$12+1,1))</f>
        <v>394.59880827600006</v>
      </c>
      <c r="CE109" s="62">
        <f t="shared" si="94"/>
        <v>244.45149244446094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19.2299990806567</v>
      </c>
      <c r="CL109" s="23">
        <f>EXP(-LN(2)/25)*CL108+(1-EXP(-LN(2)/25))/(LN(2)/25)*Calculateur!CG109*Calculateur!CI109*VLOOKUP('Données projet'!$B$12,Paramètres!$A$1:$I$89,3,0)*0.475*44/12</f>
        <v>5.649893680299086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24.879892760955787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4.5224624045658861E-14</v>
      </c>
      <c r="CV109" s="14">
        <f t="shared" si="95"/>
        <v>7.4514601661523691E-13</v>
      </c>
      <c r="CW109" s="22">
        <f t="shared" si="67"/>
        <v>1.3765621991510601E-12</v>
      </c>
      <c r="CX109" s="62">
        <f t="shared" si="68"/>
        <v>293.33333333333468</v>
      </c>
      <c r="CY109" s="62">
        <f ca="1">AVERAGE(OFFSET($CX$3,0,0,'Données projet'!$E$13+1,1))-AVERAGE(OFFSET($H$3,0,0,'Données projet'!$E$13+1,1))</f>
        <v>293.90975929253631</v>
      </c>
      <c r="CZ109" s="62">
        <f t="shared" si="96"/>
        <v>288.30197520356643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2.8490271619376402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2.8490271619376402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4.4337866711430253E-14</v>
      </c>
      <c r="DQ109" s="14">
        <f t="shared" si="97"/>
        <v>7.3222115536967035E-13</v>
      </c>
      <c r="DR109" s="22">
        <f t="shared" si="70"/>
        <v>1.3525069634579169E-12</v>
      </c>
      <c r="DS109" s="62">
        <f t="shared" si="71"/>
        <v>293.33333333333468</v>
      </c>
      <c r="DT109" s="62">
        <f ca="1">AVERAGE(OFFSET($DS$3,0,0,'Données projet'!$E$14+1,1))-AVERAGE(OFFSET($H$3,0,0,'Données projet'!$E$14+1,1))</f>
        <v>288.82868507674738</v>
      </c>
      <c r="DU109" s="62">
        <f t="shared" si="98"/>
        <v>283.48738729114024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2.2661518306200255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2.2661518306200255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-5.6843418860808015E-14</v>
      </c>
      <c r="EK109" s="18">
        <f>EJ109*VLOOKUP('Données projet'!$B$15,Paramètres!$A$1:$I$89,3,0)*VLOOKUP('Données projet'!$B$15,Paramètres!$A$1:$I$89,5,0)</f>
        <v>-5.1431925385259088E-14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366.86025470473652</v>
      </c>
      <c r="EP109" s="62">
        <f t="shared" si="100"/>
        <v>513.80016421153414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2.3497378434598839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2.3497378434598839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272.39999999999998</v>
      </c>
      <c r="O110" s="14">
        <f>N110*VLOOKUP('Données projet'!$B$9,Paramètres!$A$1:$I$89,3,0)*VLOOKUP('Données projet'!$B$9,Paramètres!$A$1:$I$89,5,0)</f>
        <v>246.46751999999995</v>
      </c>
      <c r="P110" s="14">
        <f t="shared" si="87"/>
        <v>59.828888074216977</v>
      </c>
      <c r="Q110" s="22">
        <f t="shared" si="107"/>
        <v>533.46624406259446</v>
      </c>
      <c r="R110" s="62">
        <f t="shared" si="55"/>
        <v>826.79957739592783</v>
      </c>
      <c r="S110" s="62">
        <f ca="1">AVERAGE(OFFSET($R$3,0,0,'Données projet'!$E$9+1,1))-AVERAGE(OFFSET($H$3,0,0,'Données projet'!$E$9+1,1))</f>
        <v>371.7282125501186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17.636593719579462</v>
      </c>
      <c r="AA110" s="23">
        <f>EXP(-LN(2)/25)*AA109+(1-EXP(-LN(2)/25))/(LN(2)/25)*Calculateur!V110*Calculateur!X110*VLOOKUP('Données projet'!$B$9,Paramètres!$A$1:$I$89,3,0)*0.475*44/12</f>
        <v>5.1408552959481613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22.777449015527623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229.46976000000001</v>
      </c>
      <c r="AK110" s="14">
        <f t="shared" si="89"/>
        <v>56.168015849852821</v>
      </c>
      <c r="AL110" s="22">
        <f t="shared" si="58"/>
        <v>497.4857929384936</v>
      </c>
      <c r="AM110" s="62">
        <f t="shared" si="59"/>
        <v>790.81912627182692</v>
      </c>
      <c r="AN110" s="62">
        <f ca="1">AVERAGE(OFFSET($AM$3,0,0,'Données projet'!$E$10+1,1))-AVERAGE(OFFSET($H$3,0,0,'Données projet'!$E$10+1,1))</f>
        <v>348.82438445524105</v>
      </c>
      <c r="AO110" s="62">
        <f t="shared" si="90"/>
        <v>218.26721063098552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16.4202769113326</v>
      </c>
      <c r="AV110" s="23">
        <f>EXP(-LN(2)/25)*AV109+(1-EXP(-LN(2)/25))/(LN(2)/25)*Calculateur!AQ110*Calculateur!AS110*VLOOKUP('Données projet'!$B$10,Paramètres!$A$1:$I$89,3,0)*0.475*44/12</f>
        <v>4.786313551400017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21.206590462732617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-3.2514435588382188E-14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309.71642374647882</v>
      </c>
      <c r="BJ110" s="62">
        <f t="shared" si="92"/>
        <v>266.63880397664315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117.42424004208739</v>
      </c>
      <c r="BQ110" s="23">
        <f>EXP(-LN(2)/25)*BQ109+(1-EXP(-LN(2)/25))/(LN(2)/25)*Calculateur!BL110*Calculateur!BN110*VLOOKUP('Données projet'!$B$11,Paramètres!$A$1:$I$89,3,0)*0.475*44/12</f>
        <v>6.9785013994902148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124.4027414415776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272.39999999999998</v>
      </c>
      <c r="BZ110" s="14">
        <f>BY110*VLOOKUP('Données projet'!$B$12,Paramètres!$A$1:$I$89,3,0)*VLOOKUP('Données projet'!$B$12,Paramètres!$A$1:$I$89,5,0)</f>
        <v>263.46527999999995</v>
      </c>
      <c r="CA110" s="14">
        <f t="shared" si="93"/>
        <v>63.460465469894139</v>
      </c>
      <c r="CB110" s="22">
        <f t="shared" si="64"/>
        <v>569.39567336006542</v>
      </c>
      <c r="CC110" s="62">
        <f t="shared" si="65"/>
        <v>862.72900669339879</v>
      </c>
      <c r="CD110" s="62">
        <f ca="1">AVERAGE(OFFSET($CC$3,0,0,'Données projet'!$E$12+1,1))-AVERAGE(OFFSET($H$3,0,0,'Données projet'!$E$12+1,1))</f>
        <v>394.59880827600006</v>
      </c>
      <c r="CE110" s="62">
        <f t="shared" si="94"/>
        <v>244.45149244446094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18.852910527826307</v>
      </c>
      <c r="CL110" s="23">
        <f>EXP(-LN(2)/25)*CL109+(1-EXP(-LN(2)/25))/(LN(2)/25)*Calculateur!CG110*Calculateur!CI110*VLOOKUP('Données projet'!$B$12,Paramètres!$A$1:$I$89,3,0)*0.475*44/12</f>
        <v>5.4953970404963117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24.348307568322618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4.5224624045658861E-14</v>
      </c>
      <c r="CV110" s="14">
        <f t="shared" si="95"/>
        <v>7.4514601661523691E-13</v>
      </c>
      <c r="CW110" s="22">
        <f t="shared" si="67"/>
        <v>1.3765621991510601E-12</v>
      </c>
      <c r="CX110" s="62">
        <f t="shared" si="68"/>
        <v>293.33333333333468</v>
      </c>
      <c r="CY110" s="62">
        <f ca="1">AVERAGE(OFFSET($CX$3,0,0,'Données projet'!$E$13+1,1))-AVERAGE(OFFSET($H$3,0,0,'Données projet'!$E$13+1,1))</f>
        <v>293.90975929253631</v>
      </c>
      <c r="CZ110" s="62">
        <f t="shared" si="96"/>
        <v>288.30197520356643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2.7931594770270247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2.7931594770270247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4.4337866711430253E-14</v>
      </c>
      <c r="DQ110" s="14">
        <f t="shared" si="97"/>
        <v>7.3222115536967035E-13</v>
      </c>
      <c r="DR110" s="22">
        <f t="shared" si="70"/>
        <v>1.3525069634579169E-12</v>
      </c>
      <c r="DS110" s="62">
        <f t="shared" si="71"/>
        <v>293.33333333333468</v>
      </c>
      <c r="DT110" s="62">
        <f ca="1">AVERAGE(OFFSET($DS$3,0,0,'Données projet'!$E$14+1,1))-AVERAGE(OFFSET($H$3,0,0,'Données projet'!$E$14+1,1))</f>
        <v>288.82868507674738</v>
      </c>
      <c r="DU110" s="62">
        <f t="shared" si="98"/>
        <v>283.48738729114024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2.2217139754377011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2.2217139754377011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-5.6843418860808015E-14</v>
      </c>
      <c r="EK110" s="18">
        <f>EJ110*VLOOKUP('Données projet'!$B$15,Paramètres!$A$1:$I$89,3,0)*VLOOKUP('Données projet'!$B$15,Paramètres!$A$1:$I$89,5,0)</f>
        <v>-5.1431925385259088E-14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366.86025470473652</v>
      </c>
      <c r="EP110" s="62">
        <f t="shared" si="100"/>
        <v>513.80016421153414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2.3036609175482035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2.3036609175482035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276.59999999999997</v>
      </c>
      <c r="O111" s="14">
        <f>N111*VLOOKUP('Données projet'!$B$9,Paramètres!$A$1:$I$89,3,0)*VLOOKUP('Données projet'!$B$9,Paramètres!$A$1:$I$89,5,0)</f>
        <v>250.26767999999996</v>
      </c>
      <c r="P111" s="14">
        <f t="shared" si="87"/>
        <v>60.643256925083442</v>
      </c>
      <c r="Q111" s="22">
        <f t="shared" si="107"/>
        <v>541.50321514452014</v>
      </c>
      <c r="R111" s="62">
        <f t="shared" si="55"/>
        <v>834.83654847785351</v>
      </c>
      <c r="S111" s="62">
        <f ca="1">AVERAGE(OFFSET($R$3,0,0,'Données projet'!$E$9+1,1))-AVERAGE(OFFSET($H$3,0,0,'Données projet'!$E$9+1,1))</f>
        <v>371.7282125501186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17.290750873998487</v>
      </c>
      <c r="AA111" s="23">
        <f>EXP(-LN(2)/25)*AA110+(1-EXP(-LN(2)/25))/(LN(2)/25)*Calculateur!V111*Calculateur!X111*VLOOKUP('Données projet'!$B$9,Paramètres!$A$1:$I$89,3,0)*0.475*44/12</f>
        <v>5.0002783375346285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22.291029211533115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233.00784000000002</v>
      </c>
      <c r="AK111" s="14">
        <f t="shared" si="89"/>
        <v>56.932554252544712</v>
      </c>
      <c r="AL111" s="22">
        <f t="shared" si="58"/>
        <v>504.9795199898486</v>
      </c>
      <c r="AM111" s="62">
        <f t="shared" si="59"/>
        <v>798.31285332318191</v>
      </c>
      <c r="AN111" s="62">
        <f ca="1">AVERAGE(OFFSET($AM$3,0,0,'Données projet'!$E$10+1,1))-AVERAGE(OFFSET($H$3,0,0,'Données projet'!$E$10+1,1))</f>
        <v>348.82438445524105</v>
      </c>
      <c r="AO111" s="62">
        <f t="shared" si="90"/>
        <v>218.26721063098552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16.098285296481347</v>
      </c>
      <c r="AV111" s="23">
        <f>EXP(-LN(2)/25)*AV110+(1-EXP(-LN(2)/25))/(LN(2)/25)*Calculateur!AQ111*Calculateur!AS111*VLOOKUP('Données projet'!$B$10,Paramètres!$A$1:$I$89,3,0)*0.475*44/12</f>
        <v>4.6554315556356931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20.753716852117041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-3.2514435588382188E-14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309.71642374647882</v>
      </c>
      <c r="BJ111" s="62">
        <f t="shared" si="92"/>
        <v>266.63880397664315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115.12162231657642</v>
      </c>
      <c r="BQ111" s="23">
        <f>EXP(-LN(2)/25)*BQ110+(1-EXP(-LN(2)/25))/(LN(2)/25)*Calculateur!BL111*Calculateur!BN111*VLOOKUP('Données projet'!$B$11,Paramètres!$A$1:$I$89,3,0)*0.475*44/12</f>
        <v>6.7876739117377154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121.90929622831413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276.59999999999997</v>
      </c>
      <c r="BZ111" s="14">
        <f>BY111*VLOOKUP('Données projet'!$B$12,Paramètres!$A$1:$I$89,3,0)*VLOOKUP('Données projet'!$B$12,Paramètres!$A$1:$I$89,5,0)</f>
        <v>267.52751999999998</v>
      </c>
      <c r="CA111" s="14">
        <f t="shared" si="93"/>
        <v>64.324266018486256</v>
      </c>
      <c r="CB111" s="22">
        <f t="shared" si="64"/>
        <v>577.97519398219686</v>
      </c>
      <c r="CC111" s="62">
        <f t="shared" si="65"/>
        <v>871.30852731553023</v>
      </c>
      <c r="CD111" s="62">
        <f ca="1">AVERAGE(OFFSET($CC$3,0,0,'Données projet'!$E$12+1,1))-AVERAGE(OFFSET($H$3,0,0,'Données projet'!$E$12+1,1))</f>
        <v>394.59880827600006</v>
      </c>
      <c r="CE111" s="62">
        <f t="shared" si="94"/>
        <v>244.45149244446094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18.483216451515609</v>
      </c>
      <c r="CL111" s="23">
        <f>EXP(-LN(2)/25)*CL110+(1-EXP(-LN(2)/25))/(LN(2)/25)*Calculateur!CG111*Calculateur!CI111*VLOOKUP('Données projet'!$B$12,Paramètres!$A$1:$I$89,3,0)*0.475*44/12</f>
        <v>5.34512511943357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23.828341570949178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4.5224624045658861E-14</v>
      </c>
      <c r="CV111" s="14">
        <f t="shared" si="95"/>
        <v>7.4514601661523691E-13</v>
      </c>
      <c r="CW111" s="22">
        <f t="shared" si="67"/>
        <v>1.3765621991510601E-12</v>
      </c>
      <c r="CX111" s="62">
        <f t="shared" si="68"/>
        <v>293.33333333333468</v>
      </c>
      <c r="CY111" s="62">
        <f ca="1">AVERAGE(OFFSET($CX$3,0,0,'Données projet'!$E$13+1,1))-AVERAGE(OFFSET($H$3,0,0,'Données projet'!$E$13+1,1))</f>
        <v>293.90975929253631</v>
      </c>
      <c r="CZ111" s="62">
        <f t="shared" si="96"/>
        <v>288.30197520356643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2.7383873233415832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2.7383873233415832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4.4337866711430253E-14</v>
      </c>
      <c r="DQ111" s="14">
        <f t="shared" si="97"/>
        <v>7.3222115536967035E-13</v>
      </c>
      <c r="DR111" s="22">
        <f t="shared" si="70"/>
        <v>1.3525069634579169E-12</v>
      </c>
      <c r="DS111" s="62">
        <f t="shared" si="71"/>
        <v>293.33333333333468</v>
      </c>
      <c r="DT111" s="62">
        <f ca="1">AVERAGE(OFFSET($DS$3,0,0,'Données projet'!$E$14+1,1))-AVERAGE(OFFSET($H$3,0,0,'Données projet'!$E$14+1,1))</f>
        <v>288.82868507674738</v>
      </c>
      <c r="DU111" s="62">
        <f t="shared" si="98"/>
        <v>283.48738729114024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2.1781475194910866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2.1781475194910866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-5.6843418860808015E-14</v>
      </c>
      <c r="EK111" s="18">
        <f>EJ111*VLOOKUP('Données projet'!$B$15,Paramètres!$A$1:$I$89,3,0)*VLOOKUP('Données projet'!$B$15,Paramètres!$A$1:$I$89,5,0)</f>
        <v>-5.1431925385259088E-14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366.86025470473652</v>
      </c>
      <c r="EP111" s="62">
        <f t="shared" si="100"/>
        <v>513.80016421153414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2.2584875320495015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2.2584875320495015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280.79999999999995</v>
      </c>
      <c r="O112" s="14">
        <f>N112*VLOOKUP('Données projet'!$B$9,Paramètres!$A$1:$I$89,3,0)*VLOOKUP('Données projet'!$B$9,Paramètres!$A$1:$I$89,5,0)</f>
        <v>254.06783999999996</v>
      </c>
      <c r="P112" s="14">
        <f t="shared" si="87"/>
        <v>61.456187622750718</v>
      </c>
      <c r="Q112" s="22">
        <f t="shared" si="107"/>
        <v>549.53768144295748</v>
      </c>
      <c r="R112" s="62">
        <f t="shared" si="55"/>
        <v>842.87101477629085</v>
      </c>
      <c r="S112" s="62">
        <f ca="1">AVERAGE(OFFSET($R$3,0,0,'Données projet'!$E$9+1,1))-AVERAGE(OFFSET($H$3,0,0,'Données projet'!$E$9+1,1))</f>
        <v>371.7282125501186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16.951689795676046</v>
      </c>
      <c r="AA112" s="23">
        <f>EXP(-LN(2)/25)*AA111+(1-EXP(-LN(2)/25))/(LN(2)/25)*Calculateur!V112*Calculateur!X112*VLOOKUP('Données projet'!$B$9,Paramètres!$A$1:$I$89,3,0)*0.475*44/12</f>
        <v>4.8635454634415343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21.815235259117578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236.54591999999997</v>
      </c>
      <c r="AK112" s="14">
        <f t="shared" si="89"/>
        <v>57.695742501251033</v>
      </c>
      <c r="AL112" s="22">
        <f t="shared" si="58"/>
        <v>512.47089552301202</v>
      </c>
      <c r="AM112" s="62">
        <f t="shared" si="59"/>
        <v>805.80422885634539</v>
      </c>
      <c r="AN112" s="62">
        <f ca="1">AVERAGE(OFFSET($AM$3,0,0,'Données projet'!$E$10+1,1))-AVERAGE(OFFSET($H$3,0,0,'Données projet'!$E$10+1,1))</f>
        <v>348.82438445524105</v>
      </c>
      <c r="AO112" s="62">
        <f t="shared" si="90"/>
        <v>218.26721063098552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15.782607740801835</v>
      </c>
      <c r="AV112" s="23">
        <f>EXP(-LN(2)/25)*AV111+(1-EXP(-LN(2)/25))/(LN(2)/25)*Calculateur!AQ112*Calculateur!AS112*VLOOKUP('Données projet'!$B$10,Paramètres!$A$1:$I$89,3,0)*0.475*44/12</f>
        <v>4.5281285349283298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20.310736275730164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-3.2514435588382188E-14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309.71642374647882</v>
      </c>
      <c r="BJ112" s="62">
        <f t="shared" si="92"/>
        <v>266.63880397664315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112.86415752020459</v>
      </c>
      <c r="BQ112" s="23">
        <f>EXP(-LN(2)/25)*BQ111+(1-EXP(-LN(2)/25))/(LN(2)/25)*Calculateur!BL112*Calculateur!BN112*VLOOKUP('Données projet'!$B$11,Paramètres!$A$1:$I$89,3,0)*0.475*44/12</f>
        <v>6.60206461167299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119.46622213187757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280.79999999999995</v>
      </c>
      <c r="BZ112" s="14">
        <f>BY112*VLOOKUP('Données projet'!$B$12,Paramètres!$A$1:$I$89,3,0)*VLOOKUP('Données projet'!$B$12,Paramètres!$A$1:$I$89,5,0)</f>
        <v>271.58975999999996</v>
      </c>
      <c r="CA112" s="14">
        <f t="shared" si="93"/>
        <v>65.186541118848126</v>
      </c>
      <c r="CB112" s="22">
        <f t="shared" si="64"/>
        <v>586.55205778199377</v>
      </c>
      <c r="CC112" s="62">
        <f t="shared" si="65"/>
        <v>879.88539111532714</v>
      </c>
      <c r="CD112" s="62">
        <f ca="1">AVERAGE(OFFSET($CC$3,0,0,'Données projet'!$E$12+1,1))-AVERAGE(OFFSET($H$3,0,0,'Données projet'!$E$12+1,1))</f>
        <v>394.59880827600006</v>
      </c>
      <c r="CE112" s="62">
        <f t="shared" si="94"/>
        <v>244.45149244446094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18.120771850550245</v>
      </c>
      <c r="CL112" s="23">
        <f>EXP(-LN(2)/25)*CL111+(1-EXP(-LN(2)/25))/(LN(2)/25)*Calculateur!CG112*Calculateur!CI112*VLOOKUP('Données projet'!$B$12,Paramètres!$A$1:$I$89,3,0)*0.475*44/12</f>
        <v>5.1989623919547459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23.319734242504992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4.5224624045658861E-14</v>
      </c>
      <c r="CV112" s="14">
        <f t="shared" si="95"/>
        <v>7.4514601661523691E-13</v>
      </c>
      <c r="CW112" s="22">
        <f t="shared" si="67"/>
        <v>1.3765621991510601E-12</v>
      </c>
      <c r="CX112" s="62">
        <f t="shared" si="68"/>
        <v>293.33333333333468</v>
      </c>
      <c r="CY112" s="62">
        <f ca="1">AVERAGE(OFFSET($CX$3,0,0,'Données projet'!$E$13+1,1))-AVERAGE(OFFSET($H$3,0,0,'Données projet'!$E$13+1,1))</f>
        <v>293.90975929253631</v>
      </c>
      <c r="CZ112" s="62">
        <f t="shared" si="96"/>
        <v>288.30197520356643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2.6846892181821982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2.6846892181821982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4.4337866711430253E-14</v>
      </c>
      <c r="DQ112" s="14">
        <f t="shared" si="97"/>
        <v>7.3222115536967035E-13</v>
      </c>
      <c r="DR112" s="22">
        <f t="shared" si="70"/>
        <v>1.3525069634579169E-12</v>
      </c>
      <c r="DS112" s="62">
        <f t="shared" si="71"/>
        <v>293.33333333333468</v>
      </c>
      <c r="DT112" s="62">
        <f ca="1">AVERAGE(OFFSET($DS$3,0,0,'Données projet'!$E$14+1,1))-AVERAGE(OFFSET($H$3,0,0,'Données projet'!$E$14+1,1))</f>
        <v>288.82868507674738</v>
      </c>
      <c r="DU112" s="62">
        <f t="shared" si="98"/>
        <v>283.48738729114024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2.1354353751726709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2.1354353751726709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-5.6843418860808015E-14</v>
      </c>
      <c r="EK112" s="18">
        <f>EJ112*VLOOKUP('Données projet'!$B$15,Paramètres!$A$1:$I$89,3,0)*VLOOKUP('Données projet'!$B$15,Paramètres!$A$1:$I$89,5,0)</f>
        <v>-5.1431925385259088E-14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366.86025470473652</v>
      </c>
      <c r="EP112" s="62">
        <f t="shared" si="100"/>
        <v>513.80016421153414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2.2141999690873844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2.2141999690873844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284.99999999999994</v>
      </c>
      <c r="O113" s="14">
        <f>N113*VLOOKUP('Données projet'!$B$9,Paramètres!$A$1:$I$89,3,0)*VLOOKUP('Données projet'!$B$9,Paramètres!$A$1:$I$89,5,0)</f>
        <v>257.86799999999994</v>
      </c>
      <c r="P113" s="14">
        <f t="shared" si="87"/>
        <v>62.267704162827528</v>
      </c>
      <c r="Q113" s="22">
        <f t="shared" si="107"/>
        <v>557.56968475025781</v>
      </c>
      <c r="R113" s="62">
        <f t="shared" si="55"/>
        <v>850.90301808359118</v>
      </c>
      <c r="S113" s="62">
        <f ca="1">AVERAGE(OFFSET($R$3,0,0,'Données projet'!$E$9+1,1))-AVERAGE(OFFSET($H$3,0,0,'Données projet'!$E$9+1,1))</f>
        <v>371.7282125501186</v>
      </c>
      <c r="T113" s="62">
        <f t="shared" si="88"/>
        <v>231.36959598460686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16.619277498292671</v>
      </c>
      <c r="AA113" s="23">
        <f>EXP(-LN(2)/25)*AA112+(1-EXP(-LN(2)/25))/(LN(2)/25)*Calculateur!V113*Calculateur!X113*VLOOKUP('Données projet'!$B$9,Paramètres!$A$1:$I$89,3,0)*0.475*44/12</f>
        <v>4.7305515569809851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21.349829055273656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240.08399999999997</v>
      </c>
      <c r="AK113" s="14">
        <f t="shared" si="89"/>
        <v>58.457603123312154</v>
      </c>
      <c r="AL113" s="22">
        <f t="shared" si="58"/>
        <v>519.9599587731019</v>
      </c>
      <c r="AM113" s="62">
        <f t="shared" si="59"/>
        <v>813.29329210643527</v>
      </c>
      <c r="AN113" s="62">
        <f ca="1">AVERAGE(OFFSET($AM$3,0,0,'Données projet'!$E$10+1,1))-AVERAGE(OFFSET($H$3,0,0,'Données projet'!$E$10+1,1))</f>
        <v>348.82438445524105</v>
      </c>
      <c r="AO113" s="62">
        <f t="shared" si="90"/>
        <v>218.26721063098552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15.473120429444901</v>
      </c>
      <c r="AV113" s="23">
        <f>EXP(-LN(2)/25)*AV112+(1-EXP(-LN(2)/25))/(LN(2)/25)*Calculateur!AQ113*Calculateur!AS113*VLOOKUP('Données projet'!$B$10,Paramètres!$A$1:$I$89,3,0)*0.475*44/12</f>
        <v>4.4043066220167839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19.877427051461684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-3.2514435588382188E-14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309.71642374647882</v>
      </c>
      <c r="BJ113" s="62">
        <f t="shared" si="92"/>
        <v>266.63880397664315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110.65096023157204</v>
      </c>
      <c r="BQ113" s="23">
        <f>EXP(-LN(2)/25)*BQ112+(1-EXP(-LN(2)/25))/(LN(2)/25)*Calculateur!BL113*Calculateur!BN113*VLOOKUP('Données projet'!$B$11,Paramètres!$A$1:$I$89,3,0)*0.475*44/12</f>
        <v>6.4215308076793036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117.07249103925135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285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284.99999999999994</v>
      </c>
      <c r="BZ113" s="14">
        <f>BY113*VLOOKUP('Données projet'!$B$12,Paramètres!$A$1:$I$89,3,0)*VLOOKUP('Données projet'!$B$12,Paramètres!$A$1:$I$89,5,0)</f>
        <v>275.65199999999993</v>
      </c>
      <c r="CA113" s="14">
        <f t="shared" si="93"/>
        <v>66.047316223107259</v>
      </c>
      <c r="CB113" s="22">
        <f t="shared" si="64"/>
        <v>595.1263090885783</v>
      </c>
      <c r="CC113" s="62">
        <f t="shared" si="65"/>
        <v>888.45964242191167</v>
      </c>
      <c r="CD113" s="62">
        <f ca="1">AVERAGE(OFFSET($CC$3,0,0,'Données projet'!$E$12+1,1))-AVERAGE(OFFSET($H$3,0,0,'Données projet'!$E$12+1,1))</f>
        <v>394.59880827600006</v>
      </c>
      <c r="CE113" s="62">
        <f t="shared" si="94"/>
        <v>244.45149244446094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17.765434567140431</v>
      </c>
      <c r="CL113" s="23">
        <f>EXP(-LN(2)/25)*CL112+(1-EXP(-LN(2)/25))/(LN(2)/25)*Calculateur!CG113*Calculateur!CI113*VLOOKUP('Données projet'!$B$12,Paramètres!$A$1:$I$89,3,0)*0.475*44/12</f>
        <v>5.0567964919451933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22.822231059085624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4.5224624045658861E-14</v>
      </c>
      <c r="CV113" s="14">
        <f t="shared" si="95"/>
        <v>7.4514601661523691E-13</v>
      </c>
      <c r="CW113" s="22">
        <f t="shared" si="67"/>
        <v>1.3765621991510601E-12</v>
      </c>
      <c r="CX113" s="62">
        <f t="shared" si="68"/>
        <v>293.33333333333468</v>
      </c>
      <c r="CY113" s="62">
        <f ca="1">AVERAGE(OFFSET($CX$3,0,0,'Données projet'!$E$13+1,1))-AVERAGE(OFFSET($H$3,0,0,'Données projet'!$E$13+1,1))</f>
        <v>293.90975929253631</v>
      </c>
      <c r="CZ113" s="62">
        <f t="shared" si="96"/>
        <v>288.30197520356643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2.6320441001123789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2.6320441001123789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4.4337866711430253E-14</v>
      </c>
      <c r="DQ113" s="14">
        <f t="shared" si="97"/>
        <v>7.3222115536967035E-13</v>
      </c>
      <c r="DR113" s="22">
        <f t="shared" si="70"/>
        <v>1.3525069634579169E-12</v>
      </c>
      <c r="DS113" s="62">
        <f t="shared" si="71"/>
        <v>293.33333333333468</v>
      </c>
      <c r="DT113" s="62">
        <f ca="1">AVERAGE(OFFSET($DS$3,0,0,'Données projet'!$E$14+1,1))-AVERAGE(OFFSET($H$3,0,0,'Données projet'!$E$14+1,1))</f>
        <v>288.82868507674738</v>
      </c>
      <c r="DU113" s="62">
        <f t="shared" si="98"/>
        <v>283.48738729114024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2.0935607899525039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2.0935607899525039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-5.6843418860808015E-14</v>
      </c>
      <c r="EK113" s="18">
        <f>EJ113*VLOOKUP('Données projet'!$B$15,Paramètres!$A$1:$I$89,3,0)*VLOOKUP('Données projet'!$B$15,Paramètres!$A$1:$I$89,5,0)</f>
        <v>-5.1431925385259088E-14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366.86025470473652</v>
      </c>
      <c r="EP113" s="62">
        <f t="shared" si="100"/>
        <v>513.80016421153414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2.1707808582222081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2.1707808582222081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269.79999999999995</v>
      </c>
      <c r="O114" s="14">
        <f>N114*VLOOKUP('Données projet'!$B$9,Paramètres!$A$1:$I$89,3,0)*VLOOKUP('Données projet'!$B$9,Paramètres!$A$1:$I$89,5,0)</f>
        <v>244.11503999999994</v>
      </c>
      <c r="P114" s="14">
        <f t="shared" si="87"/>
        <v>59.324023461759012</v>
      </c>
      <c r="Q114" s="22">
        <f t="shared" si="107"/>
        <v>528.48970219589683</v>
      </c>
      <c r="R114" s="62">
        <f t="shared" si="55"/>
        <v>821.82303552923008</v>
      </c>
      <c r="S114" s="62">
        <f ca="1">AVERAGE(OFFSET($R$3,0,0,'Données projet'!$E$9+1,1))-AVERAGE(OFFSET($H$3,0,0,'Données projet'!$E$9+1,1))</f>
        <v>371.7282125501186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16.293383603309504</v>
      </c>
      <c r="AA114" s="23">
        <f>EXP(-LN(2)/25)*AA113+(1-EXP(-LN(2)/25))/(LN(2)/25)*Calculateur!V114*Calculateur!X114*VLOOKUP('Données projet'!$B$9,Paramètres!$A$1:$I$89,3,0)*0.475*44/12</f>
        <v>4.6011943758864451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20.894577979195951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227.27951999999996</v>
      </c>
      <c r="AK114" s="14">
        <f t="shared" si="89"/>
        <v>55.694043418351306</v>
      </c>
      <c r="AL114" s="22">
        <f t="shared" si="58"/>
        <v>492.84562295362849</v>
      </c>
      <c r="AM114" s="62">
        <f t="shared" si="59"/>
        <v>786.17895628696181</v>
      </c>
      <c r="AN114" s="62">
        <f ca="1">AVERAGE(OFFSET($AM$3,0,0,'Données projet'!$E$10+1,1))-AVERAGE(OFFSET($H$3,0,0,'Données projet'!$E$10+1,1))</f>
        <v>348.82438445524105</v>
      </c>
      <c r="AO114" s="62">
        <f t="shared" si="90"/>
        <v>218.26721063098552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15.169701975495055</v>
      </c>
      <c r="AV114" s="23">
        <f>EXP(-LN(2)/25)*AV113+(1-EXP(-LN(2)/25))/(LN(2)/25)*Calculateur!AQ114*Calculateur!AS114*VLOOKUP('Données projet'!$B$10,Paramètres!$A$1:$I$89,3,0)*0.475*44/12</f>
        <v>4.2838706258253163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19.453572601320371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-3.2514435588382188E-14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309.71642374647882</v>
      </c>
      <c r="BJ114" s="62">
        <f t="shared" si="92"/>
        <v>266.63880397664315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108.48116239185254</v>
      </c>
      <c r="BQ114" s="23">
        <f>EXP(-LN(2)/25)*BQ113+(1-EXP(-LN(2)/25))/(LN(2)/25)*Calculateur!BL114*Calculateur!BN114*VLOOKUP('Données projet'!$B$11,Paramètres!$A$1:$I$89,3,0)*0.475*44/12</f>
        <v>6.2459337100496848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114.72709610190222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269.79999999999995</v>
      </c>
      <c r="BZ114" s="14">
        <f>BY114*VLOOKUP('Données projet'!$B$12,Paramètres!$A$1:$I$89,3,0)*VLOOKUP('Données projet'!$B$12,Paramètres!$A$1:$I$89,5,0)</f>
        <v>260.95056</v>
      </c>
      <c r="CA114" s="14">
        <f t="shared" si="93"/>
        <v>62.924955880176938</v>
      </c>
      <c r="CB114" s="22">
        <f t="shared" si="64"/>
        <v>564.08319015797485</v>
      </c>
      <c r="CC114" s="62">
        <f t="shared" si="65"/>
        <v>857.41652349130823</v>
      </c>
      <c r="CD114" s="62">
        <f ca="1">AVERAGE(OFFSET($CC$3,0,0,'Données projet'!$E$12+1,1))-AVERAGE(OFFSET($H$3,0,0,'Données projet'!$E$12+1,1))</f>
        <v>394.59880827600006</v>
      </c>
      <c r="CE114" s="62">
        <f t="shared" si="94"/>
        <v>244.45149244446094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17.417065231123942</v>
      </c>
      <c r="CL114" s="23">
        <f>EXP(-LN(2)/25)*CL113+(1-EXP(-LN(2)/25))/(LN(2)/25)*Calculateur!CG114*Calculateur!CI114*VLOOKUP('Données projet'!$B$12,Paramètres!$A$1:$I$89,3,0)*0.475*44/12</f>
        <v>4.9185181259475819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22.335583357071524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4.5224624045658861E-14</v>
      </c>
      <c r="CV114" s="14">
        <f t="shared" si="95"/>
        <v>7.4514601661523691E-13</v>
      </c>
      <c r="CW114" s="22">
        <f t="shared" si="67"/>
        <v>1.3765621991510601E-12</v>
      </c>
      <c r="CX114" s="62">
        <f t="shared" si="68"/>
        <v>293.33333333333468</v>
      </c>
      <c r="CY114" s="62">
        <f ca="1">AVERAGE(OFFSET($CX$3,0,0,'Données projet'!$E$13+1,1))-AVERAGE(OFFSET($H$3,0,0,'Données projet'!$E$13+1,1))</f>
        <v>293.90975929253631</v>
      </c>
      <c r="CZ114" s="62">
        <f t="shared" si="96"/>
        <v>288.30197520356643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2.5804313206975573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2.5804313206975573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4.4337866711430253E-14</v>
      </c>
      <c r="DQ114" s="14">
        <f t="shared" si="97"/>
        <v>7.3222115536967035E-13</v>
      </c>
      <c r="DR114" s="22">
        <f t="shared" si="70"/>
        <v>1.3525069634579169E-12</v>
      </c>
      <c r="DS114" s="62">
        <f t="shared" si="71"/>
        <v>293.33333333333468</v>
      </c>
      <c r="DT114" s="62">
        <f ca="1">AVERAGE(OFFSET($DS$3,0,0,'Données projet'!$E$14+1,1))-AVERAGE(OFFSET($H$3,0,0,'Données projet'!$E$14+1,1))</f>
        <v>288.82868507674738</v>
      </c>
      <c r="DU114" s="62">
        <f t="shared" si="98"/>
        <v>283.48738729114024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2.0525073398075291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2.0525073398075291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-5.6843418860808015E-14</v>
      </c>
      <c r="EK114" s="18">
        <f>EJ114*VLOOKUP('Données projet'!$B$15,Paramètres!$A$1:$I$89,3,0)*VLOOKUP('Données projet'!$B$15,Paramètres!$A$1:$I$89,5,0)</f>
        <v>-5.1431925385259088E-14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366.86025470473652</v>
      </c>
      <c r="EP114" s="62">
        <f t="shared" si="100"/>
        <v>513.80016421153414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2.1282131696380553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2.1282131696380553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273.59999999999997</v>
      </c>
      <c r="O115" s="14">
        <f>N115*VLOOKUP('Données projet'!$B$9,Paramètres!$A$1:$I$89,3,0)*VLOOKUP('Données projet'!$B$9,Paramètres!$A$1:$I$89,5,0)</f>
        <v>247.55327999999994</v>
      </c>
      <c r="P115" s="14">
        <f t="shared" si="87"/>
        <v>60.061713068870255</v>
      </c>
      <c r="Q115" s="22">
        <f t="shared" si="107"/>
        <v>535.76277959494894</v>
      </c>
      <c r="R115" s="62">
        <f t="shared" si="55"/>
        <v>829.09611292828231</v>
      </c>
      <c r="S115" s="62">
        <f ca="1">AVERAGE(OFFSET($R$3,0,0,'Données projet'!$E$9+1,1))-AVERAGE(OFFSET($H$3,0,0,'Données projet'!$E$9+1,1))</f>
        <v>371.7282125501186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15.973880288831309</v>
      </c>
      <c r="AA115" s="23">
        <f>EXP(-LN(2)/25)*AA114+(1-EXP(-LN(2)/25))/(LN(2)/25)*Calculateur!V115*Calculateur!X115*VLOOKUP('Données projet'!$B$9,Paramètres!$A$1:$I$89,3,0)*0.475*44/12</f>
        <v>4.4753744737115344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20.449254762542843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230.48063999999999</v>
      </c>
      <c r="AK115" s="14">
        <f t="shared" si="89"/>
        <v>56.386594506599792</v>
      </c>
      <c r="AL115" s="22">
        <f t="shared" si="58"/>
        <v>499.62710009899462</v>
      </c>
      <c r="AM115" s="62">
        <f t="shared" si="59"/>
        <v>792.96043343232793</v>
      </c>
      <c r="AN115" s="62">
        <f ca="1">AVERAGE(OFFSET($AM$3,0,0,'Données projet'!$E$10+1,1))-AVERAGE(OFFSET($H$3,0,0,'Données projet'!$E$10+1,1))</f>
        <v>348.82438445524105</v>
      </c>
      <c r="AO115" s="62">
        <f t="shared" si="90"/>
        <v>218.26721063098552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14.872233372360183</v>
      </c>
      <c r="AV115" s="23">
        <f>EXP(-LN(2)/25)*AV114+(1-EXP(-LN(2)/25))/(LN(2)/25)*Calculateur!AQ115*Calculateur!AS115*VLOOKUP('Données projet'!$B$10,Paramètres!$A$1:$I$89,3,0)*0.475*44/12</f>
        <v>4.1667279582831576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19.038961330643339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-3.2514435588382188E-14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309.71642374647882</v>
      </c>
      <c r="BJ115" s="62">
        <f t="shared" si="92"/>
        <v>266.63880397664315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106.35391296432392</v>
      </c>
      <c r="BQ115" s="23">
        <f>EXP(-LN(2)/25)*BQ114+(1-EXP(-LN(2)/25))/(LN(2)/25)*Calculateur!BL115*Calculateur!BN115*VLOOKUP('Données projet'!$B$11,Paramètres!$A$1:$I$89,3,0)*0.475*44/12</f>
        <v>6.0751383242889974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112.42905128861292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273.59999999999997</v>
      </c>
      <c r="BZ115" s="14">
        <f>BY115*VLOOKUP('Données projet'!$B$12,Paramètres!$A$1:$I$89,3,0)*VLOOKUP('Données projet'!$B$12,Paramètres!$A$1:$I$89,5,0)</f>
        <v>264.62591999999995</v>
      </c>
      <c r="CA115" s="14">
        <f t="shared" si="93"/>
        <v>63.707422801198604</v>
      </c>
      <c r="CB115" s="22">
        <f t="shared" si="64"/>
        <v>571.84723871208746</v>
      </c>
      <c r="CC115" s="62">
        <f t="shared" si="65"/>
        <v>865.18057204542083</v>
      </c>
      <c r="CD115" s="62">
        <f ca="1">AVERAGE(OFFSET($CC$3,0,0,'Données projet'!$E$12+1,1))-AVERAGE(OFFSET($H$3,0,0,'Données projet'!$E$12+1,1))</f>
        <v>394.59880827600006</v>
      </c>
      <c r="CE115" s="62">
        <f t="shared" si="94"/>
        <v>244.45149244446094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17.075527205302421</v>
      </c>
      <c r="CL115" s="23">
        <f>EXP(-LN(2)/25)*CL114+(1-EXP(-LN(2)/25))/(LN(2)/25)*Calculateur!CG115*Calculateur!CI115*VLOOKUP('Données projet'!$B$12,Paramètres!$A$1:$I$89,3,0)*0.475*44/12</f>
        <v>4.7840209891399184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21.85954819444234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4.5224624045658861E-14</v>
      </c>
      <c r="CV115" s="14">
        <f t="shared" si="95"/>
        <v>7.4514601661523691E-13</v>
      </c>
      <c r="CW115" s="22">
        <f t="shared" si="67"/>
        <v>1.3765621991510601E-12</v>
      </c>
      <c r="CX115" s="62">
        <f t="shared" si="68"/>
        <v>293.33333333333468</v>
      </c>
      <c r="CY115" s="62">
        <f ca="1">AVERAGE(OFFSET($CX$3,0,0,'Données projet'!$E$13+1,1))-AVERAGE(OFFSET($H$3,0,0,'Données projet'!$E$13+1,1))</f>
        <v>293.90975929253631</v>
      </c>
      <c r="CZ115" s="62">
        <f t="shared" si="96"/>
        <v>288.30197520356643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2.5298306364063734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2.5298306364063734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4.4337866711430253E-14</v>
      </c>
      <c r="DQ115" s="14">
        <f t="shared" si="97"/>
        <v>7.3222115536967035E-13</v>
      </c>
      <c r="DR115" s="22">
        <f t="shared" si="70"/>
        <v>1.3525069634579169E-12</v>
      </c>
      <c r="DS115" s="62">
        <f t="shared" si="71"/>
        <v>293.33333333333468</v>
      </c>
      <c r="DT115" s="62">
        <f ca="1">AVERAGE(OFFSET($DS$3,0,0,'Données projet'!$E$14+1,1))-AVERAGE(OFFSET($H$3,0,0,'Données projet'!$E$14+1,1))</f>
        <v>288.82868507674738</v>
      </c>
      <c r="DU115" s="62">
        <f t="shared" si="98"/>
        <v>283.48738729114024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2.0122589227797651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2.0122589227797651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-5.6843418860808015E-14</v>
      </c>
      <c r="EK115" s="18">
        <f>EJ115*VLOOKUP('Données projet'!$B$15,Paramètres!$A$1:$I$89,3,0)*VLOOKUP('Données projet'!$B$15,Paramètres!$A$1:$I$89,5,0)</f>
        <v>-5.1431925385259088E-14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366.86025470473652</v>
      </c>
      <c r="EP115" s="62">
        <f t="shared" si="100"/>
        <v>513.80016421153414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2.0864802074633118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2.0864802074633118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277.39999999999998</v>
      </c>
      <c r="O116" s="14">
        <f>N116*VLOOKUP('Données projet'!$B$9,Paramètres!$A$1:$I$89,3,0)*VLOOKUP('Données projet'!$B$9,Paramètres!$A$1:$I$89,5,0)</f>
        <v>250.99151999999995</v>
      </c>
      <c r="P116" s="14">
        <f t="shared" si="87"/>
        <v>60.798211000769406</v>
      </c>
      <c r="Q116" s="22">
        <f t="shared" si="107"/>
        <v>543.03378149300659</v>
      </c>
      <c r="R116" s="62">
        <f t="shared" si="55"/>
        <v>836.36711482633996</v>
      </c>
      <c r="S116" s="62">
        <f ca="1">AVERAGE(OFFSET($R$3,0,0,'Données projet'!$E$9+1,1))-AVERAGE(OFFSET($H$3,0,0,'Données projet'!$E$9+1,1))</f>
        <v>371.7282125501186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15.660642239472251</v>
      </c>
      <c r="AA116" s="23">
        <f>EXP(-LN(2)/25)*AA115+(1-EXP(-LN(2)/25))/(LN(2)/25)*Calculateur!V116*Calculateur!X116*VLOOKUP('Données projet'!$B$9,Paramètres!$A$1:$I$89,3,0)*0.475*44/12</f>
        <v>4.3529951233781778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20.013637362850428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233.68176</v>
      </c>
      <c r="AK116" s="14">
        <f t="shared" si="89"/>
        <v>57.078026837098335</v>
      </c>
      <c r="AL116" s="22">
        <f t="shared" si="58"/>
        <v>506.40662874127952</v>
      </c>
      <c r="AM116" s="62">
        <f t="shared" si="59"/>
        <v>799.73996207461278</v>
      </c>
      <c r="AN116" s="62">
        <f ca="1">AVERAGE(OFFSET($AM$3,0,0,'Données projet'!$E$10+1,1))-AVERAGE(OFFSET($H$3,0,0,'Données projet'!$E$10+1,1))</f>
        <v>348.82438445524105</v>
      </c>
      <c r="AO116" s="62">
        <f t="shared" si="90"/>
        <v>218.26721063098552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14.580597947094853</v>
      </c>
      <c r="AV116" s="23">
        <f>EXP(-LN(2)/25)*AV115+(1-EXP(-LN(2)/25))/(LN(2)/25)*Calculateur!AQ116*Calculateur!AS116*VLOOKUP('Données projet'!$B$10,Paramètres!$A$1:$I$89,3,0)*0.475*44/12</f>
        <v>4.0527885631452047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18.633386510240058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-3.2514435588382188E-14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309.71642374647882</v>
      </c>
      <c r="BJ116" s="62">
        <f t="shared" si="92"/>
        <v>266.63880397664315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104.26837760057511</v>
      </c>
      <c r="BQ116" s="23">
        <f>EXP(-LN(2)/25)*BQ115+(1-EXP(-LN(2)/25))/(LN(2)/25)*Calculateur!BL116*Calculateur!BN116*VLOOKUP('Données projet'!$B$11,Paramètres!$A$1:$I$89,3,0)*0.475*44/12</f>
        <v>5.9090133473336754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110.17739094790878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277.39999999999998</v>
      </c>
      <c r="BZ116" s="14">
        <f>BY116*VLOOKUP('Données projet'!$B$12,Paramètres!$A$1:$I$89,3,0)*VLOOKUP('Données projet'!$B$12,Paramètres!$A$1:$I$89,5,0)</f>
        <v>268.30127999999996</v>
      </c>
      <c r="CA116" s="14">
        <f t="shared" si="93"/>
        <v>64.488625713042012</v>
      </c>
      <c r="CB116" s="22">
        <f t="shared" si="64"/>
        <v>579.60908578354815</v>
      </c>
      <c r="CC116" s="62">
        <f t="shared" si="65"/>
        <v>872.94241911688141</v>
      </c>
      <c r="CD116" s="62">
        <f ca="1">AVERAGE(OFFSET($CC$3,0,0,'Données projet'!$E$12+1,1))-AVERAGE(OFFSET($H$3,0,0,'Données projet'!$E$12+1,1))</f>
        <v>394.59880827600006</v>
      </c>
      <c r="CE116" s="62">
        <f t="shared" si="94"/>
        <v>244.45149244446094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16.740686531849637</v>
      </c>
      <c r="CL116" s="23">
        <f>EXP(-LN(2)/25)*CL115+(1-EXP(-LN(2)/25))/(LN(2)/25)*Calculateur!CG116*Calculateur!CI116*VLOOKUP('Données projet'!$B$12,Paramètres!$A$1:$I$89,3,0)*0.475*44/12</f>
        <v>4.6532016836111572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21.393888215460795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4.5224624045658861E-14</v>
      </c>
      <c r="CV116" s="14">
        <f t="shared" si="95"/>
        <v>7.4514601661523691E-13</v>
      </c>
      <c r="CW116" s="22">
        <f t="shared" si="67"/>
        <v>1.3765621991510601E-12</v>
      </c>
      <c r="CX116" s="62">
        <f t="shared" si="68"/>
        <v>293.33333333333468</v>
      </c>
      <c r="CY116" s="62">
        <f ca="1">AVERAGE(OFFSET($CX$3,0,0,'Données projet'!$E$13+1,1))-AVERAGE(OFFSET($H$3,0,0,'Données projet'!$E$13+1,1))</f>
        <v>293.90975929253631</v>
      </c>
      <c r="CZ116" s="62">
        <f t="shared" si="96"/>
        <v>288.30197520356643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2.4802222006707697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2.4802222006707697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4.4337866711430253E-14</v>
      </c>
      <c r="DQ116" s="14">
        <f t="shared" si="97"/>
        <v>7.3222115536967035E-13</v>
      </c>
      <c r="DR116" s="22">
        <f t="shared" si="70"/>
        <v>1.3525069634579169E-12</v>
      </c>
      <c r="DS116" s="62">
        <f t="shared" si="71"/>
        <v>293.33333333333468</v>
      </c>
      <c r="DT116" s="62">
        <f ca="1">AVERAGE(OFFSET($DS$3,0,0,'Données projet'!$E$14+1,1))-AVERAGE(OFFSET($H$3,0,0,'Données projet'!$E$14+1,1))</f>
        <v>288.82868507674738</v>
      </c>
      <c r="DU116" s="62">
        <f t="shared" si="98"/>
        <v>283.48738729114024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1.9727997526608054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1.9727997526608054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-5.6843418860808015E-14</v>
      </c>
      <c r="EK116" s="18">
        <f>EJ116*VLOOKUP('Données projet'!$B$15,Paramètres!$A$1:$I$89,3,0)*VLOOKUP('Données projet'!$B$15,Paramètres!$A$1:$I$89,5,0)</f>
        <v>-5.1431925385259088E-14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366.86025470473652</v>
      </c>
      <c r="EP116" s="62">
        <f t="shared" si="100"/>
        <v>513.80016421153414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2.0455656032222214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2.0455656032222214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</v>
      </c>
      <c r="O117" s="14">
        <f>N117*VLOOKUP('Données projet'!$B$9,Paramètres!$A$1:$I$89,3,0)*VLOOKUP('Données projet'!$B$9,Paramètres!$A$1:$I$89,5,0)</f>
        <v>254.42975999999996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843.63607294105645</v>
      </c>
      <c r="S117" s="62">
        <f ca="1">AVERAGE(OFFSET($R$3,0,0,'Données projet'!$E$9+1,1))-AVERAGE(OFFSET($H$3,0,0,'Données projet'!$E$9+1,1))</f>
        <v>371.7282125501186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15.35354659720478</v>
      </c>
      <c r="AA117" s="23">
        <f>EXP(-LN(2)/25)*AA116+(1-EXP(-LN(2)/25))/(LN(2)/25)*Calculateur!V117*Calculateur!X117*VLOOKUP('Données projet'!$B$9,Paramètres!$A$1:$I$89,3,0)*0.475*44/12</f>
        <v>4.2339622428153367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19.587508840020117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236.88288000000003</v>
      </c>
      <c r="AK117" s="14">
        <f t="shared" si="89"/>
        <v>57.768357506620532</v>
      </c>
      <c r="AL117" s="22">
        <f t="shared" si="58"/>
        <v>513.18423865736406</v>
      </c>
      <c r="AM117" s="62">
        <f t="shared" si="59"/>
        <v>806.51757199069743</v>
      </c>
      <c r="AN117" s="62">
        <f ca="1">AVERAGE(OFFSET($AM$3,0,0,'Données projet'!$E$10+1,1))-AVERAGE(OFFSET($H$3,0,0,'Données projet'!$E$10+1,1))</f>
        <v>348.82438445524105</v>
      </c>
      <c r="AO117" s="62">
        <f t="shared" si="90"/>
        <v>218.26721063098552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14.294681314638932</v>
      </c>
      <c r="AV117" s="23">
        <f>EXP(-LN(2)/25)*AV116+(1-EXP(-LN(2)/25))/(LN(2)/25)*Calculateur!AQ117*Calculateur!AS117*VLOOKUP('Données projet'!$B$10,Paramètres!$A$1:$I$89,3,0)*0.475*44/12</f>
        <v>3.9419648467591113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18.236646161398042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-3.2514435588382188E-14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309.71642374647882</v>
      </c>
      <c r="BJ117" s="62">
        <f t="shared" si="92"/>
        <v>266.63880397664315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102.22373831325844</v>
      </c>
      <c r="BQ117" s="23">
        <f>EXP(-LN(2)/25)*BQ116+(1-EXP(-LN(2)/25))/(LN(2)/25)*Calculateur!BL117*Calculateur!BN117*VLOOKUP('Données projet'!$B$11,Paramètres!$A$1:$I$89,3,0)*0.475*44/12</f>
        <v>5.7474310666093293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107.97116937986776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281.2</v>
      </c>
      <c r="BZ117" s="14">
        <f>BY117*VLOOKUP('Données projet'!$B$12,Paramètres!$A$1:$I$89,3,0)*VLOOKUP('Données projet'!$B$12,Paramètres!$A$1:$I$89,5,0)</f>
        <v>271.97663999999997</v>
      </c>
      <c r="CA117" s="14">
        <f t="shared" si="93"/>
        <v>65.268583932202432</v>
      </c>
      <c r="CB117" s="22">
        <f t="shared" si="64"/>
        <v>587.36876501525251</v>
      </c>
      <c r="CC117" s="62">
        <f t="shared" si="65"/>
        <v>880.70209834858588</v>
      </c>
      <c r="CD117" s="62">
        <f ca="1">AVERAGE(OFFSET($CC$3,0,0,'Données projet'!$E$12+1,1))-AVERAGE(OFFSET($H$3,0,0,'Données projet'!$E$12+1,1))</f>
        <v>394.59880827600006</v>
      </c>
      <c r="CE117" s="62">
        <f t="shared" si="94"/>
        <v>244.45149244446094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16.412411879770616</v>
      </c>
      <c r="CL117" s="23">
        <f>EXP(-LN(2)/25)*CL116+(1-EXP(-LN(2)/25))/(LN(2)/25)*Calculateur!CG117*Calculateur!CI117*VLOOKUP('Données projet'!$B$12,Paramètres!$A$1:$I$89,3,0)*0.475*44/12</f>
        <v>4.5259596388715684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20.938371518642185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4.5224624045658861E-14</v>
      </c>
      <c r="CV117" s="14">
        <f t="shared" si="95"/>
        <v>7.4514601661523691E-13</v>
      </c>
      <c r="CW117" s="22">
        <f t="shared" si="67"/>
        <v>1.3765621991510601E-12</v>
      </c>
      <c r="CX117" s="62">
        <f t="shared" si="68"/>
        <v>293.33333333333468</v>
      </c>
      <c r="CY117" s="62">
        <f ca="1">AVERAGE(OFFSET($CX$3,0,0,'Données projet'!$E$13+1,1))-AVERAGE(OFFSET($H$3,0,0,'Données projet'!$E$13+1,1))</f>
        <v>293.90975929253631</v>
      </c>
      <c r="CZ117" s="62">
        <f t="shared" si="96"/>
        <v>288.30197520356643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2.4315865561017831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2.4315865561017831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4.4337866711430253E-14</v>
      </c>
      <c r="DQ117" s="14">
        <f t="shared" si="97"/>
        <v>7.3222115536967035E-13</v>
      </c>
      <c r="DR117" s="22">
        <f t="shared" si="70"/>
        <v>1.3525069634579169E-12</v>
      </c>
      <c r="DS117" s="62">
        <f t="shared" si="71"/>
        <v>293.33333333333468</v>
      </c>
      <c r="DT117" s="62">
        <f ca="1">AVERAGE(OFFSET($DS$3,0,0,'Données projet'!$E$14+1,1))-AVERAGE(OFFSET($H$3,0,0,'Données projet'!$E$14+1,1))</f>
        <v>288.82868507674738</v>
      </c>
      <c r="DU117" s="62">
        <f t="shared" si="98"/>
        <v>283.48738729114024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1.9341143528001612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1.9341143528001612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-5.6843418860808015E-14</v>
      </c>
      <c r="EK117" s="18">
        <f>EJ117*VLOOKUP('Données projet'!$B$15,Paramètres!$A$1:$I$89,3,0)*VLOOKUP('Données projet'!$B$15,Paramètres!$A$1:$I$89,5,0)</f>
        <v>-5.1431925385259088E-14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366.86025470473652</v>
      </c>
      <c r="EP117" s="62">
        <f t="shared" si="100"/>
        <v>513.80016421153414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2.0054533094148543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2.0054533094148543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</v>
      </c>
      <c r="O118" s="14">
        <f>N118*VLOOKUP('Données projet'!$B$9,Paramètres!$A$1:$I$89,3,0)*VLOOKUP('Données projet'!$B$9,Paramètres!$A$1:$I$89,5,0)</f>
        <v>257.86799999999999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850.90301808359141</v>
      </c>
      <c r="S118" s="62">
        <f ca="1">AVERAGE(OFFSET($R$3,0,0,'Données projet'!$E$9+1,1))-AVERAGE(OFFSET($H$3,0,0,'Données projet'!$E$9+1,1))</f>
        <v>371.7282125501186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15.052472913172327</v>
      </c>
      <c r="AA118" s="23">
        <f>EXP(-LN(2)/25)*AA117+(1-EXP(-LN(2)/25))/(LN(2)/25)*Calculateur!V118*Calculateur!X118*VLOOKUP('Données projet'!$B$9,Paramètres!$A$1:$I$89,3,0)*0.475*44/12</f>
        <v>4.1181843226311541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19.170657235803482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240.084</v>
      </c>
      <c r="AK118" s="14">
        <f t="shared" si="89"/>
        <v>58.457603123312211</v>
      </c>
      <c r="AL118" s="22">
        <f t="shared" si="58"/>
        <v>519.95995877310202</v>
      </c>
      <c r="AM118" s="62">
        <f t="shared" si="59"/>
        <v>813.29329210643527</v>
      </c>
      <c r="AN118" s="62">
        <f ca="1">AVERAGE(OFFSET($AM$3,0,0,'Données projet'!$E$10+1,1))-AVERAGE(OFFSET($H$3,0,0,'Données projet'!$E$10+1,1))</f>
        <v>348.82438445524105</v>
      </c>
      <c r="AO118" s="62">
        <f t="shared" si="90"/>
        <v>218.26721063098552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14.014371332953546</v>
      </c>
      <c r="AV118" s="23">
        <f>EXP(-LN(2)/25)*AV117+(1-EXP(-LN(2)/25))/(LN(2)/25)*Calculateur!AQ118*Calculateur!AS118*VLOOKUP('Données projet'!$B$10,Paramètres!$A$1:$I$89,3,0)*0.475*44/12</f>
        <v>3.8341716107255617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17.848542943679107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-3.2514435588382188E-14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309.71642374647882</v>
      </c>
      <c r="BJ118" s="62">
        <f t="shared" si="92"/>
        <v>266.63880397664315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100.21919315525923</v>
      </c>
      <c r="BQ118" s="23">
        <f>EXP(-LN(2)/25)*BQ117+(1-EXP(-LN(2)/25))/(LN(2)/25)*Calculateur!BL118*Calculateur!BN118*VLOOKUP('Données projet'!$B$11,Paramètres!$A$1:$I$89,3,0)*0.475*44/12</f>
        <v>5.5902672618486333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105.80946041710787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285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285</v>
      </c>
      <c r="BZ118" s="14">
        <f>BY118*VLOOKUP('Données projet'!$B$12,Paramètres!$A$1:$I$89,3,0)*VLOOKUP('Données projet'!$B$12,Paramètres!$A$1:$I$89,5,0)</f>
        <v>275.65199999999999</v>
      </c>
      <c r="CA118" s="14">
        <f t="shared" si="93"/>
        <v>66.047316223107259</v>
      </c>
      <c r="CB118" s="22">
        <f t="shared" si="64"/>
        <v>595.12630908857841</v>
      </c>
      <c r="CC118" s="62">
        <f t="shared" si="65"/>
        <v>888.45964242191167</v>
      </c>
      <c r="CD118" s="62">
        <f ca="1">AVERAGE(OFFSET($CC$3,0,0,'Données projet'!$E$12+1,1))-AVERAGE(OFFSET($H$3,0,0,'Données projet'!$E$12+1,1))</f>
        <v>394.59880827600006</v>
      </c>
      <c r="CE118" s="62">
        <f t="shared" si="94"/>
        <v>244.45149244446094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16.090574493391099</v>
      </c>
      <c r="CL118" s="23">
        <f>EXP(-LN(2)/25)*CL117+(1-EXP(-LN(2)/25))/(LN(2)/25)*Calculateur!CG118*Calculateur!CI118*VLOOKUP('Données projet'!$B$12,Paramètres!$A$1:$I$89,3,0)*0.475*44/12</f>
        <v>4.4021970345367523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20.49277152792785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4.5224624045658861E-14</v>
      </c>
      <c r="CV118" s="14">
        <f t="shared" si="95"/>
        <v>7.4514601661523691E-13</v>
      </c>
      <c r="CW118" s="22">
        <f t="shared" si="67"/>
        <v>1.3765621991510601E-12</v>
      </c>
      <c r="CX118" s="62">
        <f t="shared" si="68"/>
        <v>293.33333333333468</v>
      </c>
      <c r="CY118" s="62">
        <f ca="1">AVERAGE(OFFSET($CX$3,0,0,'Données projet'!$E$13+1,1))-AVERAGE(OFFSET($H$3,0,0,'Données projet'!$E$13+1,1))</f>
        <v>293.90975929253631</v>
      </c>
      <c r="CZ118" s="62">
        <f t="shared" si="96"/>
        <v>288.30197520356643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2.3839046268579804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2.3839046268579804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4.4337866711430253E-14</v>
      </c>
      <c r="DQ118" s="14">
        <f t="shared" si="97"/>
        <v>7.3222115536967035E-13</v>
      </c>
      <c r="DR118" s="22">
        <f t="shared" si="70"/>
        <v>1.3525069634579169E-12</v>
      </c>
      <c r="DS118" s="62">
        <f t="shared" si="71"/>
        <v>293.33333333333468</v>
      </c>
      <c r="DT118" s="62">
        <f ca="1">AVERAGE(OFFSET($DS$3,0,0,'Données projet'!$E$14+1,1))-AVERAGE(OFFSET($H$3,0,0,'Données projet'!$E$14+1,1))</f>
        <v>288.82868507674738</v>
      </c>
      <c r="DU118" s="62">
        <f t="shared" si="98"/>
        <v>283.48738729114024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1.8961875500350203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1.8961875500350203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-5.6843418860808015E-14</v>
      </c>
      <c r="EK118" s="18">
        <f>EJ118*VLOOKUP('Données projet'!$B$15,Paramètres!$A$1:$I$89,3,0)*VLOOKUP('Données projet'!$B$15,Paramètres!$A$1:$I$89,5,0)</f>
        <v>-5.1431925385259088E-14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366.86025470473652</v>
      </c>
      <c r="EP118" s="62">
        <f t="shared" si="100"/>
        <v>513.80016421153414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1.9661275932229663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1.9661275932229663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270.60000000000002</v>
      </c>
      <c r="O119" s="14">
        <f>N119*VLOOKUP('Données projet'!$B$9,Paramètres!$A$1:$I$89,3,0)*VLOOKUP('Données projet'!$B$9,Paramètres!$A$1:$I$89,5,0)</f>
        <v>244.83888000000002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823.35438380242022</v>
      </c>
      <c r="S119" s="62">
        <f ca="1">AVERAGE(OFFSET($R$3,0,0,'Données projet'!$E$9+1,1))-AVERAGE(OFFSET($H$3,0,0,'Données projet'!$E$9+1,1))</f>
        <v>371.7282125501186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14.757303100446936</v>
      </c>
      <c r="AA119" s="23">
        <f>EXP(-LN(2)/25)*AA118+(1-EXP(-LN(2)/25))/(LN(2)/25)*Calculateur!V119*Calculateur!X119*VLOOKUP('Données projet'!$B$9,Paramètres!$A$1:$I$89,3,0)*0.475*44/12</f>
        <v>4.0055723557629035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18.762875456209841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227.95344000000006</v>
      </c>
      <c r="AK119" s="14">
        <f t="shared" si="89"/>
        <v>55.839937483946954</v>
      </c>
      <c r="AL119" s="22">
        <f t="shared" si="58"/>
        <v>494.27346578454097</v>
      </c>
      <c r="AM119" s="62">
        <f t="shared" si="59"/>
        <v>787.60679911787429</v>
      </c>
      <c r="AN119" s="62">
        <f ca="1">AVERAGE(OFFSET($AM$3,0,0,'Données projet'!$E$10+1,1))-AVERAGE(OFFSET($H$3,0,0,'Données projet'!$E$10+1,1))</f>
        <v>348.82438445524105</v>
      </c>
      <c r="AO119" s="62">
        <f t="shared" si="90"/>
        <v>218.26721063098552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13.739558059036803</v>
      </c>
      <c r="AV119" s="23">
        <f>EXP(-LN(2)/25)*AV118+(1-EXP(-LN(2)/25))/(LN(2)/25)*Calculateur!AQ119*Calculateur!AS119*VLOOKUP('Données projet'!$B$10,Paramètres!$A$1:$I$89,3,0)*0.475*44/12</f>
        <v>3.7293259863999495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17.468884045436752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-3.2514435588382188E-14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309.71642374647882</v>
      </c>
      <c r="BJ119" s="62">
        <f t="shared" si="92"/>
        <v>266.63880397664315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98.253955905156573</v>
      </c>
      <c r="BQ119" s="23">
        <f>EXP(-LN(2)/25)*BQ118+(1-EXP(-LN(2)/25))/(LN(2)/25)*Calculateur!BL119*Calculateur!BN119*VLOOKUP('Données projet'!$B$11,Paramètres!$A$1:$I$89,3,0)*0.475*44/12</f>
        <v>5.4374011095940036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103.69135701475058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270.60000000000002</v>
      </c>
      <c r="BZ119" s="14">
        <f>BY119*VLOOKUP('Données projet'!$B$12,Paramètres!$A$1:$I$89,3,0)*VLOOKUP('Données projet'!$B$12,Paramètres!$A$1:$I$89,5,0)</f>
        <v>261.72432000000003</v>
      </c>
      <c r="CA119" s="14">
        <f t="shared" si="93"/>
        <v>63.089791777829888</v>
      </c>
      <c r="CB119" s="22">
        <f t="shared" si="64"/>
        <v>565.71791134638704</v>
      </c>
      <c r="CC119" s="62">
        <f t="shared" si="65"/>
        <v>859.05124467972041</v>
      </c>
      <c r="CD119" s="62">
        <f ca="1">AVERAGE(OFFSET($CC$3,0,0,'Données projet'!$E$12+1,1))-AVERAGE(OFFSET($H$3,0,0,'Données projet'!$E$12+1,1))</f>
        <v>394.59880827600006</v>
      </c>
      <c r="CE119" s="62">
        <f t="shared" si="94"/>
        <v>244.45149244446094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15.775048141857061</v>
      </c>
      <c r="CL119" s="23">
        <f>EXP(-LN(2)/25)*CL118+(1-EXP(-LN(2)/25))/(LN(2)/25)*Calculateur!CG119*Calculateur!CI119*VLOOKUP('Données projet'!$B$12,Paramètres!$A$1:$I$89,3,0)*0.475*44/12</f>
        <v>4.2818187251258637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20.056866866982926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4.5224624045658861E-14</v>
      </c>
      <c r="CV119" s="14">
        <f t="shared" si="95"/>
        <v>7.4514601661523691E-13</v>
      </c>
      <c r="CW119" s="22">
        <f t="shared" si="67"/>
        <v>1.3765621991510601E-12</v>
      </c>
      <c r="CX119" s="62">
        <f t="shared" si="68"/>
        <v>293.33333333333468</v>
      </c>
      <c r="CY119" s="62">
        <f ca="1">AVERAGE(OFFSET($CX$3,0,0,'Données projet'!$E$13+1,1))-AVERAGE(OFFSET($H$3,0,0,'Données projet'!$E$13+1,1))</f>
        <v>293.90975929253631</v>
      </c>
      <c r="CZ119" s="62">
        <f t="shared" si="96"/>
        <v>288.30197520356643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2.3371577111635435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2.3371577111635435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4.4337866711430253E-14</v>
      </c>
      <c r="DQ119" s="14">
        <f t="shared" si="97"/>
        <v>7.3222115536967035E-13</v>
      </c>
      <c r="DR119" s="22">
        <f t="shared" si="70"/>
        <v>1.3525069634579169E-12</v>
      </c>
      <c r="DS119" s="62">
        <f t="shared" si="71"/>
        <v>293.33333333333468</v>
      </c>
      <c r="DT119" s="62">
        <f ca="1">AVERAGE(OFFSET($DS$3,0,0,'Données projet'!$E$14+1,1))-AVERAGE(OFFSET($H$3,0,0,'Données projet'!$E$14+1,1))</f>
        <v>288.82868507674738</v>
      </c>
      <c r="DU119" s="62">
        <f t="shared" si="98"/>
        <v>283.48738729114024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1.8590044687390381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1.8590044687390381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-5.6843418860808015E-14</v>
      </c>
      <c r="EK119" s="18">
        <f>EJ119*VLOOKUP('Données projet'!$B$15,Paramètres!$A$1:$I$89,3,0)*VLOOKUP('Données projet'!$B$15,Paramètres!$A$1:$I$89,5,0)</f>
        <v>-5.1431925385259088E-14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366.86025470473652</v>
      </c>
      <c r="EP119" s="62">
        <f t="shared" si="100"/>
        <v>513.80016421153414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1.9275730303392826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1.9275730303392826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274.20000000000005</v>
      </c>
      <c r="O120" s="14">
        <f>N120*VLOOKUP('Données projet'!$B$9,Paramètres!$A$1:$I$89,3,0)*VLOOKUP('Données projet'!$B$9,Paramètres!$A$1:$I$89,5,0)</f>
        <v>248.09616</v>
      </c>
      <c r="P120" s="14">
        <f t="shared" si="87"/>
        <v>60.178080967364686</v>
      </c>
      <c r="Q120" s="22">
        <f t="shared" si="107"/>
        <v>536.91096968482668</v>
      </c>
      <c r="R120" s="62">
        <f t="shared" si="55"/>
        <v>830.24430301816005</v>
      </c>
      <c r="S120" s="62">
        <f ca="1">AVERAGE(OFFSET($R$3,0,0,'Données projet'!$E$9+1,1))-AVERAGE(OFFSET($H$3,0,0,'Données projet'!$E$9+1,1))</f>
        <v>371.7282125501186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14.467921387713282</v>
      </c>
      <c r="AA120" s="23">
        <f>EXP(-LN(2)/25)*AA119+(1-EXP(-LN(2)/25))/(LN(2)/25)*Calculateur!V120*Calculateur!X120*VLOOKUP('Données projet'!$B$9,Paramètres!$A$1:$I$89,3,0)*0.475*44/12</f>
        <v>3.8960397690506716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18.363961156763953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230.98608000000007</v>
      </c>
      <c r="AK120" s="14">
        <f t="shared" si="89"/>
        <v>56.495841965100801</v>
      </c>
      <c r="AL120" s="22">
        <f t="shared" si="58"/>
        <v>500.69768075588399</v>
      </c>
      <c r="AM120" s="62">
        <f t="shared" si="59"/>
        <v>794.03101408921725</v>
      </c>
      <c r="AN120" s="62">
        <f ca="1">AVERAGE(OFFSET($AM$3,0,0,'Données projet'!$E$10+1,1))-AVERAGE(OFFSET($H$3,0,0,'Données projet'!$E$10+1,1))</f>
        <v>348.82438445524105</v>
      </c>
      <c r="AO120" s="62">
        <f t="shared" si="90"/>
        <v>218.26721063098552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13.47013370580202</v>
      </c>
      <c r="AV120" s="23">
        <f>EXP(-LN(2)/25)*AV119+(1-EXP(-LN(2)/25))/(LN(2)/25)*Calculateur!AQ120*Calculateur!AS120*VLOOKUP('Données projet'!$B$10,Paramètres!$A$1:$I$89,3,0)*0.475*44/12</f>
        <v>3.6273473711851127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17.097481076987133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-3.2514435588382188E-14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309.71642374647882</v>
      </c>
      <c r="BJ120" s="62">
        <f t="shared" si="92"/>
        <v>266.63880397664315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96.327255758852061</v>
      </c>
      <c r="BQ120" s="23">
        <f>EXP(-LN(2)/25)*BQ119+(1-EXP(-LN(2)/25))/(LN(2)/25)*Calculateur!BL120*Calculateur!BN120*VLOOKUP('Données projet'!$B$11,Paramètres!$A$1:$I$89,3,0)*0.475*44/12</f>
        <v>5.2887150903116584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101.61597084916372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274.20000000000005</v>
      </c>
      <c r="BZ120" s="14">
        <f>BY120*VLOOKUP('Données projet'!$B$12,Paramètres!$A$1:$I$89,3,0)*VLOOKUP('Données projet'!$B$12,Paramètres!$A$1:$I$89,5,0)</f>
        <v>265.20624000000004</v>
      </c>
      <c r="CA120" s="14">
        <f t="shared" si="93"/>
        <v>63.830854160896443</v>
      </c>
      <c r="CB120" s="22">
        <f t="shared" si="64"/>
        <v>573.07293899689466</v>
      </c>
      <c r="CC120" s="62">
        <f t="shared" si="65"/>
        <v>866.40627233022792</v>
      </c>
      <c r="CD120" s="62">
        <f ca="1">AVERAGE(OFFSET($CC$3,0,0,'Données projet'!$E$12+1,1))-AVERAGE(OFFSET($H$3,0,0,'Données projet'!$E$12+1,1))</f>
        <v>394.59880827600006</v>
      </c>
      <c r="CE120" s="62">
        <f t="shared" si="94"/>
        <v>244.45149244446094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15.465709069624534</v>
      </c>
      <c r="CL120" s="23">
        <f>EXP(-LN(2)/25)*CL119+(1-EXP(-LN(2)/25))/(LN(2)/25)*Calculateur!CG120*Calculateur!CI120*VLOOKUP('Données projet'!$B$12,Paramètres!$A$1:$I$89,3,0)*0.475*44/12</f>
        <v>4.1647321669162363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19.630441236540769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4.5224624045658861E-14</v>
      </c>
      <c r="CV120" s="14">
        <f t="shared" si="95"/>
        <v>7.4514601661523691E-13</v>
      </c>
      <c r="CW120" s="22">
        <f t="shared" si="67"/>
        <v>1.3765621991510601E-12</v>
      </c>
      <c r="CX120" s="62">
        <f t="shared" si="68"/>
        <v>293.33333333333468</v>
      </c>
      <c r="CY120" s="62">
        <f ca="1">AVERAGE(OFFSET($CX$3,0,0,'Données projet'!$E$13+1,1))-AVERAGE(OFFSET($H$3,0,0,'Données projet'!$E$13+1,1))</f>
        <v>293.90975929253631</v>
      </c>
      <c r="CZ120" s="62">
        <f t="shared" si="96"/>
        <v>288.30197520356643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2.2913274739730713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2.2913274739730713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4.4337866711430253E-14</v>
      </c>
      <c r="DQ120" s="14">
        <f t="shared" si="97"/>
        <v>7.3222115536967035E-13</v>
      </c>
      <c r="DR120" s="22">
        <f t="shared" si="70"/>
        <v>1.3525069634579169E-12</v>
      </c>
      <c r="DS120" s="62">
        <f t="shared" si="71"/>
        <v>293.33333333333468</v>
      </c>
      <c r="DT120" s="62">
        <f ca="1">AVERAGE(OFFSET($DS$3,0,0,'Données projet'!$E$14+1,1))-AVERAGE(OFFSET($H$3,0,0,'Données projet'!$E$14+1,1))</f>
        <v>288.82868507674738</v>
      </c>
      <c r="DU120" s="62">
        <f t="shared" si="98"/>
        <v>283.48738729114024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1.82255052498783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1.82255052498783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-5.6843418860808015E-14</v>
      </c>
      <c r="EK120" s="18">
        <f>EJ120*VLOOKUP('Données projet'!$B$15,Paramètres!$A$1:$I$89,3,0)*VLOOKUP('Données projet'!$B$15,Paramètres!$A$1:$I$89,5,0)</f>
        <v>-5.1431925385259088E-14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366.86025470473652</v>
      </c>
      <c r="EP120" s="62">
        <f t="shared" si="100"/>
        <v>513.80016421153414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1.8897744989177867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1.8897744989177867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277.80000000000007</v>
      </c>
      <c r="O121" s="14">
        <f>N121*VLOOKUP('Données projet'!$B$9,Paramètres!$A$1:$I$89,3,0)*VLOOKUP('Données projet'!$B$9,Paramètres!$A$1:$I$89,5,0)</f>
        <v>251.35344000000003</v>
      </c>
      <c r="P121" s="14">
        <f t="shared" si="87"/>
        <v>60.875668525285015</v>
      </c>
      <c r="Q121" s="22">
        <f t="shared" si="107"/>
        <v>543.79903068153806</v>
      </c>
      <c r="R121" s="62">
        <f t="shared" si="55"/>
        <v>837.13236401487143</v>
      </c>
      <c r="S121" s="62">
        <f ca="1">AVERAGE(OFFSET($R$3,0,0,'Données projet'!$E$9+1,1))-AVERAGE(OFFSET($H$3,0,0,'Données projet'!$E$9+1,1))</f>
        <v>371.7282125501186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14.184214273860919</v>
      </c>
      <c r="AA121" s="23">
        <f>EXP(-LN(2)/25)*AA120+(1-EXP(-LN(2)/25))/(LN(2)/25)*Calculateur!V121*Calculateur!X121*VLOOKUP('Données projet'!$B$9,Paramètres!$A$1:$I$89,3,0)*0.475*44/12</f>
        <v>3.7895023566821542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17.973716630543073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234.01872000000009</v>
      </c>
      <c r="AK121" s="14">
        <f t="shared" si="89"/>
        <v>57.150744810049616</v>
      </c>
      <c r="AL121" s="22">
        <f t="shared" si="58"/>
        <v>507.12015121083658</v>
      </c>
      <c r="AM121" s="62">
        <f t="shared" si="59"/>
        <v>800.4534845441699</v>
      </c>
      <c r="AN121" s="62">
        <f ca="1">AVERAGE(OFFSET($AM$3,0,0,'Données projet'!$E$10+1,1))-AVERAGE(OFFSET($H$3,0,0,'Données projet'!$E$10+1,1))</f>
        <v>348.82438445524105</v>
      </c>
      <c r="AO121" s="62">
        <f t="shared" si="90"/>
        <v>218.26721063098552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13.205992599801544</v>
      </c>
      <c r="AV121" s="23">
        <f>EXP(-LN(2)/25)*AV120+(1-EXP(-LN(2)/25))/(LN(2)/25)*Calculateur!AQ121*Calculateur!AS121*VLOOKUP('Données projet'!$B$10,Paramètres!$A$1:$I$89,3,0)*0.475*44/12</f>
        <v>3.5281573665661479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16.734149966367692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-3.2514435588382188E-14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309.71642374647882</v>
      </c>
      <c r="BJ121" s="62">
        <f t="shared" si="92"/>
        <v>266.63880397664315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94.438337027245524</v>
      </c>
      <c r="BQ121" s="23">
        <f>EXP(-LN(2)/25)*BQ120+(1-EXP(-LN(2)/25))/(LN(2)/25)*Calculateur!BL121*Calculateur!BN121*VLOOKUP('Données projet'!$B$11,Paramètres!$A$1:$I$89,3,0)*0.475*44/12</f>
        <v>5.1440948980456467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99.582431925291175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277.80000000000007</v>
      </c>
      <c r="BZ121" s="14">
        <f>BY121*VLOOKUP('Données projet'!$B$12,Paramètres!$A$1:$I$89,3,0)*VLOOKUP('Données projet'!$B$12,Paramètres!$A$1:$I$89,5,0)</f>
        <v>268.6881600000001</v>
      </c>
      <c r="CA121" s="14">
        <f t="shared" si="93"/>
        <v>64.570784862545381</v>
      </c>
      <c r="CB121" s="22">
        <f t="shared" si="64"/>
        <v>580.42599563560009</v>
      </c>
      <c r="CC121" s="62">
        <f t="shared" si="65"/>
        <v>873.75932896893346</v>
      </c>
      <c r="CD121" s="62">
        <f ca="1">AVERAGE(OFFSET($CC$3,0,0,'Données projet'!$E$12+1,1))-AVERAGE(OFFSET($H$3,0,0,'Données projet'!$E$12+1,1))</f>
        <v>394.59880827600006</v>
      </c>
      <c r="CE121" s="62">
        <f t="shared" si="94"/>
        <v>244.45149244446094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15.162435947920283</v>
      </c>
      <c r="CL121" s="23">
        <f>EXP(-LN(2)/25)*CL120+(1-EXP(-LN(2)/25))/(LN(2)/25)*Calculateur!CG121*Calculateur!CI121*VLOOKUP('Données projet'!$B$12,Paramètres!$A$1:$I$89,3,0)*0.475*44/12</f>
        <v>4.0508473467981654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19.213283294718448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4.5224624045658861E-14</v>
      </c>
      <c r="CV121" s="14">
        <f t="shared" si="95"/>
        <v>7.4514601661523691E-13</v>
      </c>
      <c r="CW121" s="22">
        <f t="shared" si="67"/>
        <v>1.3765621991510601E-12</v>
      </c>
      <c r="CX121" s="62">
        <f t="shared" si="68"/>
        <v>293.33333333333468</v>
      </c>
      <c r="CY121" s="62">
        <f ca="1">AVERAGE(OFFSET($CX$3,0,0,'Données projet'!$E$13+1,1))-AVERAGE(OFFSET($H$3,0,0,'Données projet'!$E$13+1,1))</f>
        <v>293.90975929253631</v>
      </c>
      <c r="CZ121" s="62">
        <f t="shared" si="96"/>
        <v>288.30197520356643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2.24639593978022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2.24639593978022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4.4337866711430253E-14</v>
      </c>
      <c r="DQ121" s="14">
        <f t="shared" si="97"/>
        <v>7.3222115536967035E-13</v>
      </c>
      <c r="DR121" s="22">
        <f t="shared" si="70"/>
        <v>1.3525069634579169E-12</v>
      </c>
      <c r="DS121" s="62">
        <f t="shared" si="71"/>
        <v>293.33333333333468</v>
      </c>
      <c r="DT121" s="62">
        <f ca="1">AVERAGE(OFFSET($DS$3,0,0,'Données projet'!$E$14+1,1))-AVERAGE(OFFSET($H$3,0,0,'Données projet'!$E$14+1,1))</f>
        <v>288.82868507674738</v>
      </c>
      <c r="DU121" s="62">
        <f t="shared" si="98"/>
        <v>283.48738729114024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1.786811420838873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1.786811420838873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-5.6843418860808015E-14</v>
      </c>
      <c r="EK121" s="18">
        <f>EJ121*VLOOKUP('Données projet'!$B$15,Paramètres!$A$1:$I$89,3,0)*VLOOKUP('Données projet'!$B$15,Paramètres!$A$1:$I$89,5,0)</f>
        <v>-5.1431925385259088E-14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366.86025470473652</v>
      </c>
      <c r="EP121" s="62">
        <f t="shared" si="100"/>
        <v>513.80016421153414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1.8527171736426387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1.8527171736426387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281.40000000000009</v>
      </c>
      <c r="O122" s="14">
        <f>N122*VLOOKUP('Données projet'!$B$9,Paramètres!$A$1:$I$89,3,0)*VLOOKUP('Données projet'!$B$9,Paramètres!$A$1:$I$89,5,0)</f>
        <v>254.61072000000007</v>
      </c>
      <c r="P122" s="14">
        <f t="shared" si="87"/>
        <v>61.572204587965729</v>
      </c>
      <c r="Q122" s="22">
        <f t="shared" si="107"/>
        <v>550.68526032404031</v>
      </c>
      <c r="R122" s="62">
        <f t="shared" si="55"/>
        <v>844.01859365737369</v>
      </c>
      <c r="S122" s="62">
        <f ca="1">AVERAGE(OFFSET($R$3,0,0,'Données projet'!$E$9+1,1))-AVERAGE(OFFSET($H$3,0,0,'Données projet'!$E$9+1,1))</f>
        <v>371.7282125501186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13.906070483466946</v>
      </c>
      <c r="AA122" s="23">
        <f>EXP(-LN(2)/25)*AA121+(1-EXP(-LN(2)/25))/(LN(2)/25)*Calculateur!V122*Calculateur!X122*VLOOKUP('Données projet'!$B$9,Paramètres!$A$1:$I$89,3,0)*0.475*44/12</f>
        <v>3.6858782154574126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17.591948698924359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237.05136000000007</v>
      </c>
      <c r="AK122" s="14">
        <f t="shared" si="89"/>
        <v>57.804660499743029</v>
      </c>
      <c r="AL122" s="22">
        <f t="shared" si="58"/>
        <v>513.54090237038588</v>
      </c>
      <c r="AM122" s="62">
        <f t="shared" si="59"/>
        <v>806.87423570371925</v>
      </c>
      <c r="AN122" s="62">
        <f ca="1">AVERAGE(OFFSET($AM$3,0,0,'Données projet'!$E$10+1,1))-AVERAGE(OFFSET($H$3,0,0,'Données projet'!$E$10+1,1))</f>
        <v>348.82438445524105</v>
      </c>
      <c r="AO122" s="62">
        <f t="shared" si="90"/>
        <v>218.26721063098552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12.94703113977957</v>
      </c>
      <c r="AV122" s="23">
        <f>EXP(-LN(2)/25)*AV121+(1-EXP(-LN(2)/25))/(LN(2)/25)*Calculateur!AQ122*Calculateur!AS122*VLOOKUP('Données projet'!$B$10,Paramètres!$A$1:$I$89,3,0)*0.475*44/12</f>
        <v>3.4316797178396645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16.378710857619236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-3.2514435588382188E-14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309.71642374647882</v>
      </c>
      <c r="BJ122" s="62">
        <f t="shared" si="92"/>
        <v>266.63880397664315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92.586458839839125</v>
      </c>
      <c r="BQ122" s="23">
        <f>EXP(-LN(2)/25)*BQ121+(1-EXP(-LN(2)/25))/(LN(2)/25)*Calculateur!BL122*Calculateur!BN122*VLOOKUP('Données projet'!$B$11,Paramètres!$A$1:$I$89,3,0)*0.475*44/12</f>
        <v>5.003429352542395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97.589888192381522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281.40000000000009</v>
      </c>
      <c r="BZ122" s="14">
        <f>BY122*VLOOKUP('Données projet'!$B$12,Paramètres!$A$1:$I$89,3,0)*VLOOKUP('Données projet'!$B$12,Paramètres!$A$1:$I$89,5,0)</f>
        <v>272.1700800000001</v>
      </c>
      <c r="CA122" s="14">
        <f t="shared" si="93"/>
        <v>65.309600243828299</v>
      </c>
      <c r="CB122" s="22">
        <f t="shared" si="64"/>
        <v>587.77710975800107</v>
      </c>
      <c r="CC122" s="62">
        <f t="shared" si="65"/>
        <v>881.11044309133445</v>
      </c>
      <c r="CD122" s="62">
        <f ca="1">AVERAGE(OFFSET($CC$3,0,0,'Données projet'!$E$12+1,1))-AVERAGE(OFFSET($H$3,0,0,'Données projet'!$E$12+1,1))</f>
        <v>394.59880827600006</v>
      </c>
      <c r="CE122" s="62">
        <f t="shared" si="94"/>
        <v>244.45149244446094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14.865109827154313</v>
      </c>
      <c r="CL122" s="23">
        <f>EXP(-LN(2)/25)*CL121+(1-EXP(-LN(2)/25))/(LN(2)/25)*Calculateur!CG122*Calculateur!CI122*VLOOKUP('Données projet'!$B$12,Paramètres!$A$1:$I$89,3,0)*0.475*44/12</f>
        <v>3.9400767130751659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18.805186540229478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4.5224624045658861E-14</v>
      </c>
      <c r="CV122" s="14">
        <f t="shared" si="95"/>
        <v>7.4514601661523691E-13</v>
      </c>
      <c r="CW122" s="22">
        <f t="shared" si="67"/>
        <v>1.3765621991510601E-12</v>
      </c>
      <c r="CX122" s="62">
        <f t="shared" si="68"/>
        <v>293.33333333333468</v>
      </c>
      <c r="CY122" s="62">
        <f ca="1">AVERAGE(OFFSET($CX$3,0,0,'Données projet'!$E$13+1,1))-AVERAGE(OFFSET($H$3,0,0,'Données projet'!$E$13+1,1))</f>
        <v>293.90975929253631</v>
      </c>
      <c r="CZ122" s="62">
        <f t="shared" si="96"/>
        <v>288.30197520356643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2.2023454855673603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2.2023454855673603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4.4337866711430253E-14</v>
      </c>
      <c r="DQ122" s="14">
        <f t="shared" si="97"/>
        <v>7.3222115536967035E-13</v>
      </c>
      <c r="DR122" s="22">
        <f t="shared" si="70"/>
        <v>1.3525069634579169E-12</v>
      </c>
      <c r="DS122" s="62">
        <f t="shared" si="71"/>
        <v>293.33333333333468</v>
      </c>
      <c r="DT122" s="62">
        <f ca="1">AVERAGE(OFFSET($DS$3,0,0,'Données projet'!$E$14+1,1))-AVERAGE(OFFSET($H$3,0,0,'Données projet'!$E$14+1,1))</f>
        <v>288.82868507674738</v>
      </c>
      <c r="DU122" s="62">
        <f t="shared" si="98"/>
        <v>283.48738729114024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1.751773138723576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1.751773138723576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-5.6843418860808015E-14</v>
      </c>
      <c r="EK122" s="18">
        <f>EJ122*VLOOKUP('Données projet'!$B$15,Paramètres!$A$1:$I$89,3,0)*VLOOKUP('Données projet'!$B$15,Paramètres!$A$1:$I$89,5,0)</f>
        <v>-5.1431925385259088E-14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366.86025470473652</v>
      </c>
      <c r="EP122" s="62">
        <f t="shared" si="100"/>
        <v>513.80016421153414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1.8163865199133997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1.8163865199133997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285.00000000000011</v>
      </c>
      <c r="O123" s="14">
        <f>N123*VLOOKUP('Données projet'!$B$9,Paramètres!$A$1:$I$89,3,0)*VLOOKUP('Données projet'!$B$9,Paramètres!$A$1:$I$89,5,0)</f>
        <v>257.86800000000011</v>
      </c>
      <c r="P123" s="14">
        <f t="shared" si="87"/>
        <v>62.267704162827528</v>
      </c>
      <c r="Q123" s="22">
        <f t="shared" si="107"/>
        <v>557.56968475025815</v>
      </c>
      <c r="R123" s="62">
        <f t="shared" si="55"/>
        <v>850.90301808359141</v>
      </c>
      <c r="S123" s="62">
        <f ca="1">AVERAGE(OFFSET($R$3,0,0,'Données projet'!$E$9+1,1))-AVERAGE(OFFSET($H$3,0,0,'Données projet'!$E$9+1,1))</f>
        <v>371.7282125501186</v>
      </c>
      <c r="T123" s="62">
        <f t="shared" si="88"/>
        <v>231.36959598460686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13.633380923151639</v>
      </c>
      <c r="AA123" s="23">
        <f>EXP(-LN(2)/25)*AA122+(1-EXP(-LN(2)/25))/(LN(2)/25)*Calculateur!V123*Calculateur!X123*VLOOKUP('Données projet'!$B$9,Paramètres!$A$1:$I$89,3,0)*0.475*44/12</f>
        <v>3.5850876818238184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17.218468604975456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240.08400000000012</v>
      </c>
      <c r="AK123" s="14">
        <f t="shared" si="89"/>
        <v>58.457603123312211</v>
      </c>
      <c r="AL123" s="22">
        <f t="shared" si="58"/>
        <v>519.95995877310224</v>
      </c>
      <c r="AM123" s="62">
        <f t="shared" si="59"/>
        <v>813.2932921064355</v>
      </c>
      <c r="AN123" s="62">
        <f ca="1">AVERAGE(OFFSET($AM$3,0,0,'Données projet'!$E$10+1,1))-AVERAGE(OFFSET($H$3,0,0,'Données projet'!$E$10+1,1))</f>
        <v>348.82438445524105</v>
      </c>
      <c r="AO123" s="62">
        <f t="shared" si="90"/>
        <v>218.26721063098552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12.693147756037733</v>
      </c>
      <c r="AV123" s="23">
        <f>EXP(-LN(2)/25)*AV122+(1-EXP(-LN(2)/25))/(LN(2)/25)*Calculateur!AQ123*Calculateur!AS123*VLOOKUP('Données projet'!$B$10,Paramètres!$A$1:$I$89,3,0)*0.475*44/12</f>
        <v>3.3378402554911459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16.03098801152888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-3.2514435588382188E-14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309.71642374647882</v>
      </c>
      <c r="BJ123" s="62">
        <f t="shared" si="92"/>
        <v>266.63880397664315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90.77089485415361</v>
      </c>
      <c r="BQ123" s="23">
        <f>EXP(-LN(2)/25)*BQ122+(1-EXP(-LN(2)/25))/(LN(2)/25)*Calculateur!BL123*Calculateur!BN123*VLOOKUP('Données projet'!$B$11,Paramètres!$A$1:$I$89,3,0)*0.475*44/12</f>
        <v>4.8666103137782093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95.63750516793182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285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285.00000000000011</v>
      </c>
      <c r="BZ123" s="14">
        <f>BY123*VLOOKUP('Données projet'!$B$12,Paramètres!$A$1:$I$89,3,0)*VLOOKUP('Données projet'!$B$12,Paramètres!$A$1:$I$89,5,0)</f>
        <v>275.6520000000001</v>
      </c>
      <c r="CA123" s="14">
        <f t="shared" si="93"/>
        <v>66.047316223107316</v>
      </c>
      <c r="CB123" s="22">
        <f t="shared" si="64"/>
        <v>595.12630908857875</v>
      </c>
      <c r="CC123" s="62">
        <f t="shared" si="65"/>
        <v>888.45964242191212</v>
      </c>
      <c r="CD123" s="62">
        <f ca="1">AVERAGE(OFFSET($CC$3,0,0,'Données projet'!$E$12+1,1))-AVERAGE(OFFSET($H$3,0,0,'Données projet'!$E$12+1,1))</f>
        <v>394.59880827600006</v>
      </c>
      <c r="CE123" s="62">
        <f t="shared" si="94"/>
        <v>244.45149244446094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14.573614090265538</v>
      </c>
      <c r="CL123" s="23">
        <f>EXP(-LN(2)/25)*CL122+(1-EXP(-LN(2)/25))/(LN(2)/25)*Calculateur!CG123*Calculateur!CI123*VLOOKUP('Données projet'!$B$12,Paramètres!$A$1:$I$89,3,0)*0.475*44/12</f>
        <v>3.8323351081564963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18.405949198422036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4.5224624045658861E-14</v>
      </c>
      <c r="CV123" s="14">
        <f t="shared" si="95"/>
        <v>7.4514601661523691E-13</v>
      </c>
      <c r="CW123" s="22">
        <f t="shared" si="67"/>
        <v>1.3765621991510601E-12</v>
      </c>
      <c r="CX123" s="62">
        <f t="shared" si="68"/>
        <v>293.33333333333468</v>
      </c>
      <c r="CY123" s="62">
        <f ca="1">AVERAGE(OFFSET($CX$3,0,0,'Données projet'!$E$13+1,1))-AVERAGE(OFFSET($H$3,0,0,'Données projet'!$E$13+1,1))</f>
        <v>293.90975929253631</v>
      </c>
      <c r="CZ123" s="62">
        <f t="shared" si="96"/>
        <v>288.30197520356643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2.1591588338934908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2.1591588338934908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4.4337866711430253E-14</v>
      </c>
      <c r="DQ123" s="14">
        <f t="shared" si="97"/>
        <v>7.3222115536967035E-13</v>
      </c>
      <c r="DR123" s="22">
        <f t="shared" si="70"/>
        <v>1.3525069634579169E-12</v>
      </c>
      <c r="DS123" s="62">
        <f t="shared" si="71"/>
        <v>293.33333333333468</v>
      </c>
      <c r="DT123" s="62">
        <f ca="1">AVERAGE(OFFSET($DS$3,0,0,'Données projet'!$E$14+1,1))-AVERAGE(OFFSET($H$3,0,0,'Données projet'!$E$14+1,1))</f>
        <v>288.82868507674738</v>
      </c>
      <c r="DU123" s="62">
        <f t="shared" si="98"/>
        <v>283.48738729114024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1.7174219359493181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1.7174219359493181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-5.6843418860808015E-14</v>
      </c>
      <c r="EK123" s="18">
        <f>EJ123*VLOOKUP('Données projet'!$B$15,Paramètres!$A$1:$I$89,3,0)*VLOOKUP('Données projet'!$B$15,Paramètres!$A$1:$I$89,5,0)</f>
        <v>-5.1431925385259088E-14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366.86025470473652</v>
      </c>
      <c r="EP123" s="62">
        <f t="shared" si="100"/>
        <v>513.80016421153414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1.7807682881442803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1.7807682881442803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371.7282125501186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13.366038638789908</v>
      </c>
      <c r="AA124" s="23">
        <f>EXP(-LN(2)/25)*AA123+(1-EXP(-LN(2)/25))/(LN(2)/25)*Calculateur!V124*Calculateur!X124*VLOOKUP('Données projet'!$B$9,Paramètres!$A$1:$I$89,3,0)*0.475*44/12</f>
        <v>3.4870532706327788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16.853091909422687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9.5769792096689348E-14</v>
      </c>
      <c r="AK124" s="14">
        <f t="shared" si="89"/>
        <v>1.4459910566979609E-12</v>
      </c>
      <c r="AL124" s="22">
        <f t="shared" si="58"/>
        <v>2.6852334783173491E-12</v>
      </c>
      <c r="AM124" s="62">
        <f t="shared" si="59"/>
        <v>293.33333333333599</v>
      </c>
      <c r="AN124" s="62">
        <f ca="1">AVERAGE(OFFSET($AM$3,0,0,'Données projet'!$E$10+1,1))-AVERAGE(OFFSET($H$3,0,0,'Données projet'!$E$10+1,1))</f>
        <v>348.82438445524105</v>
      </c>
      <c r="AO124" s="62">
        <f t="shared" si="90"/>
        <v>218.26721063098552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12.444242870597501</v>
      </c>
      <c r="AV124" s="23">
        <f>EXP(-LN(2)/25)*AV123+(1-EXP(-LN(2)/25))/(LN(2)/25)*Calculateur!AQ124*Calculateur!AS124*VLOOKUP('Données projet'!$B$10,Paramètres!$A$1:$I$89,3,0)*0.475*44/12</f>
        <v>3.2465668381753501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15.69080970877285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-3.2514435588382188E-14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309.71642374647882</v>
      </c>
      <c r="BJ124" s="62">
        <f t="shared" si="92"/>
        <v>266.63880397664315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88.990932970842707</v>
      </c>
      <c r="BQ124" s="23">
        <f>EXP(-LN(2)/25)*BQ123+(1-EXP(-LN(2)/25))/(LN(2)/25)*Calculateur!BL124*Calculateur!BN124*VLOOKUP('Données projet'!$B$11,Paramètres!$A$1:$I$89,3,0)*0.475*44/12</f>
        <v>4.7335325988240307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93.724465569666734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1.0995790944434703E-13</v>
      </c>
      <c r="CA124" s="14">
        <f t="shared" si="93"/>
        <v>1.6337280948049956E-12</v>
      </c>
      <c r="CB124" s="22">
        <f t="shared" si="64"/>
        <v>3.036919790734272E-12</v>
      </c>
      <c r="CC124" s="62">
        <f t="shared" si="65"/>
        <v>293.33333333333633</v>
      </c>
      <c r="CD124" s="62">
        <f ca="1">AVERAGE(OFFSET($CC$3,0,0,'Données projet'!$E$12+1,1))-AVERAGE(OFFSET($H$3,0,0,'Données projet'!$E$12+1,1))</f>
        <v>394.59880827600006</v>
      </c>
      <c r="CE124" s="62">
        <f t="shared" si="94"/>
        <v>244.45149244446094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14.287834406982308</v>
      </c>
      <c r="CL124" s="23">
        <f>EXP(-LN(2)/25)*CL123+(1-EXP(-LN(2)/25))/(LN(2)/25)*Calculateur!CG124*Calculateur!CI124*VLOOKUP('Données projet'!$B$12,Paramètres!$A$1:$I$89,3,0)*0.475*44/12</f>
        <v>3.7275397030902124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18.015374110072521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4.5224624045658861E-14</v>
      </c>
      <c r="CV124" s="14">
        <f t="shared" si="95"/>
        <v>7.4514601661523691E-13</v>
      </c>
      <c r="CW124" s="22">
        <f t="shared" si="67"/>
        <v>1.3765621991510601E-12</v>
      </c>
      <c r="CX124" s="62">
        <f t="shared" si="68"/>
        <v>293.33333333333468</v>
      </c>
      <c r="CY124" s="62">
        <f ca="1">AVERAGE(OFFSET($CX$3,0,0,'Données projet'!$E$13+1,1))-AVERAGE(OFFSET($H$3,0,0,'Données projet'!$E$13+1,1))</f>
        <v>293.90975929253631</v>
      </c>
      <c r="CZ124" s="62">
        <f t="shared" si="96"/>
        <v>288.30197520356643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2.1168190461176897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2.1168190461176897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4.4337866711430253E-14</v>
      </c>
      <c r="DQ124" s="14">
        <f t="shared" si="97"/>
        <v>7.3222115536967035E-13</v>
      </c>
      <c r="DR124" s="22">
        <f t="shared" si="70"/>
        <v>1.3525069634579169E-12</v>
      </c>
      <c r="DS124" s="62">
        <f t="shared" si="71"/>
        <v>293.33333333333468</v>
      </c>
      <c r="DT124" s="62">
        <f ca="1">AVERAGE(OFFSET($DS$3,0,0,'Données projet'!$E$14+1,1))-AVERAGE(OFFSET($H$3,0,0,'Données projet'!$E$14+1,1))</f>
        <v>288.82868507674738</v>
      </c>
      <c r="DU124" s="62">
        <f t="shared" si="98"/>
        <v>283.48738729114024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1.6837443393092986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1.6837443393092986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-5.6843418860808015E-14</v>
      </c>
      <c r="EK124" s="18">
        <f>EJ124*VLOOKUP('Données projet'!$B$15,Paramètres!$A$1:$I$89,3,0)*VLOOKUP('Données projet'!$B$15,Paramètres!$A$1:$I$89,5,0)</f>
        <v>-5.1431925385259088E-14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366.86025470473652</v>
      </c>
      <c r="EP124" s="62">
        <f t="shared" si="100"/>
        <v>513.80016421153414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1.7458485081751773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1.7458485081751773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371.7282125501186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13.103938773561817</v>
      </c>
      <c r="AA125" s="23">
        <f>EXP(-LN(2)/25)*AA124+(1-EXP(-LN(2)/25))/(LN(2)/25)*Calculateur!V125*Calculateur!X125*VLOOKUP('Données projet'!$B$9,Paramètres!$A$1:$I$89,3,0)*0.475*44/12</f>
        <v>3.3916996155711638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16.495638389132981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9.5769792096689348E-14</v>
      </c>
      <c r="AK125" s="14">
        <f t="shared" si="89"/>
        <v>1.4459910566979609E-12</v>
      </c>
      <c r="AL125" s="22">
        <f t="shared" si="58"/>
        <v>2.6852334783173491E-12</v>
      </c>
      <c r="AM125" s="62">
        <f t="shared" si="59"/>
        <v>293.33333333333599</v>
      </c>
      <c r="AN125" s="62">
        <f ca="1">AVERAGE(OFFSET($AM$3,0,0,'Données projet'!$E$10+1,1))-AVERAGE(OFFSET($H$3,0,0,'Données projet'!$E$10+1,1))</f>
        <v>348.82438445524105</v>
      </c>
      <c r="AO125" s="62">
        <f t="shared" si="90"/>
        <v>218.26721063098552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12.200218858143762</v>
      </c>
      <c r="AV125" s="23">
        <f>EXP(-LN(2)/25)*AV124+(1-EXP(-LN(2)/25))/(LN(2)/25)*Calculateur!AQ125*Calculateur!AS125*VLOOKUP('Données projet'!$B$10,Paramètres!$A$1:$I$89,3,0)*0.475*44/12</f>
        <v>3.1577892972559152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15.358008155399677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-3.2514435588382188E-14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309.71642374647882</v>
      </c>
      <c r="BJ125" s="62">
        <f t="shared" si="92"/>
        <v>266.63880397664315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87.245875054393977</v>
      </c>
      <c r="BQ125" s="23">
        <f>EXP(-LN(2)/25)*BQ124+(1-EXP(-LN(2)/25))/(LN(2)/25)*Calculateur!BL125*Calculateur!BN125*VLOOKUP('Données projet'!$B$11,Paramètres!$A$1:$I$89,3,0)*0.475*44/12</f>
        <v>4.6040939009835267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91.849968955377506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1.0995790944434703E-13</v>
      </c>
      <c r="CA125" s="14">
        <f t="shared" si="93"/>
        <v>1.6337280948049956E-12</v>
      </c>
      <c r="CB125" s="22">
        <f t="shared" si="64"/>
        <v>3.036919790734272E-12</v>
      </c>
      <c r="CC125" s="62">
        <f t="shared" si="65"/>
        <v>293.33333333333633</v>
      </c>
      <c r="CD125" s="62">
        <f ca="1">AVERAGE(OFFSET($CC$3,0,0,'Données projet'!$E$12+1,1))-AVERAGE(OFFSET($H$3,0,0,'Données projet'!$E$12+1,1))</f>
        <v>394.59880827600006</v>
      </c>
      <c r="CE125" s="62">
        <f t="shared" si="94"/>
        <v>244.45149244446094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14.007658688979866</v>
      </c>
      <c r="CL125" s="23">
        <f>EXP(-LN(2)/25)*CL124+(1-EXP(-LN(2)/25))/(LN(2)/25)*Calculateur!CG125*Calculateur!CI125*VLOOKUP('Données projet'!$B$12,Paramètres!$A$1:$I$89,3,0)*0.475*44/12</f>
        <v>3.6256099338864169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17.633268622866282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4.5224624045658861E-14</v>
      </c>
      <c r="CV125" s="14">
        <f t="shared" si="95"/>
        <v>7.4514601661523691E-13</v>
      </c>
      <c r="CW125" s="22">
        <f t="shared" si="67"/>
        <v>1.3765621991510601E-12</v>
      </c>
      <c r="CX125" s="62">
        <f t="shared" si="68"/>
        <v>293.33333333333468</v>
      </c>
      <c r="CY125" s="62">
        <f ca="1">AVERAGE(OFFSET($CX$3,0,0,'Données projet'!$E$13+1,1))-AVERAGE(OFFSET($H$3,0,0,'Données projet'!$E$13+1,1))</f>
        <v>293.90975929253631</v>
      </c>
      <c r="CZ125" s="62">
        <f t="shared" si="96"/>
        <v>288.30197520356643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2.0753095157554511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2.0753095157554511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4.4337866711430253E-14</v>
      </c>
      <c r="DQ125" s="14">
        <f t="shared" si="97"/>
        <v>7.3222115536967035E-13</v>
      </c>
      <c r="DR125" s="22">
        <f t="shared" si="70"/>
        <v>1.3525069634579169E-12</v>
      </c>
      <c r="DS125" s="62">
        <f t="shared" si="71"/>
        <v>293.33333333333468</v>
      </c>
      <c r="DT125" s="62">
        <f ca="1">AVERAGE(OFFSET($DS$3,0,0,'Données projet'!$E$14+1,1))-AVERAGE(OFFSET($H$3,0,0,'Données projet'!$E$14+1,1))</f>
        <v>288.82868507674738</v>
      </c>
      <c r="DU125" s="62">
        <f t="shared" si="98"/>
        <v>283.48738729114024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1.6507271397980841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1.6507271397980841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-5.6843418860808015E-14</v>
      </c>
      <c r="EK125" s="18">
        <f>EJ125*VLOOKUP('Données projet'!$B$15,Paramètres!$A$1:$I$89,3,0)*VLOOKUP('Données projet'!$B$15,Paramètres!$A$1:$I$89,5,0)</f>
        <v>-5.1431925385259088E-14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366.86025470473652</v>
      </c>
      <c r="EP125" s="62">
        <f t="shared" si="100"/>
        <v>513.80016421153414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1.7116134837923056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1.7116134837923056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371.7282125501186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12.846978526825716</v>
      </c>
      <c r="AA126" s="23">
        <f>EXP(-LN(2)/25)*AA125+(1-EXP(-LN(2)/25))/(LN(2)/25)*Calculateur!V126*Calculateur!X126*VLOOKUP('Données projet'!$B$9,Paramètres!$A$1:$I$89,3,0)*0.475*44/12</f>
        <v>3.2989534112216394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16.145931938047354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9.5769792096689348E-14</v>
      </c>
      <c r="AK126" s="14">
        <f t="shared" si="89"/>
        <v>1.4459910566979609E-12</v>
      </c>
      <c r="AL126" s="22">
        <f t="shared" si="58"/>
        <v>2.6852334783173491E-12</v>
      </c>
      <c r="AM126" s="62">
        <f t="shared" si="59"/>
        <v>293.33333333333599</v>
      </c>
      <c r="AN126" s="62">
        <f ca="1">AVERAGE(OFFSET($AM$3,0,0,'Données projet'!$E$10+1,1))-AVERAGE(OFFSET($H$3,0,0,'Données projet'!$E$10+1,1))</f>
        <v>348.82438445524105</v>
      </c>
      <c r="AO126" s="62">
        <f t="shared" si="90"/>
        <v>218.26721063098552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11.960980007734289</v>
      </c>
      <c r="AV126" s="23">
        <f>EXP(-LN(2)/25)*AV125+(1-EXP(-LN(2)/25))/(LN(2)/25)*Calculateur!AQ126*Calculateur!AS126*VLOOKUP('Données projet'!$B$10,Paramètres!$A$1:$I$89,3,0)*0.475*44/12</f>
        <v>3.0714393828615303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15.03241939059582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-3.2514435588382188E-14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309.71642374647882</v>
      </c>
      <c r="BJ126" s="62">
        <f t="shared" si="92"/>
        <v>266.63880397664315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85.53503665930657</v>
      </c>
      <c r="BQ126" s="23">
        <f>EXP(-LN(2)/25)*BQ125+(1-EXP(-LN(2)/25))/(LN(2)/25)*Calculateur!BL126*Calculateur!BN126*VLOOKUP('Données projet'!$B$11,Paramètres!$A$1:$I$89,3,0)*0.475*44/12</f>
        <v>4.4781947111423568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90.013231370448921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1.0995790944434703E-13</v>
      </c>
      <c r="CA126" s="14">
        <f t="shared" si="93"/>
        <v>1.6337280948049956E-12</v>
      </c>
      <c r="CB126" s="22">
        <f t="shared" si="64"/>
        <v>3.036919790734272E-12</v>
      </c>
      <c r="CC126" s="62">
        <f t="shared" si="65"/>
        <v>293.33333333333633</v>
      </c>
      <c r="CD126" s="62">
        <f ca="1">AVERAGE(OFFSET($CC$3,0,0,'Données projet'!$E$12+1,1))-AVERAGE(OFFSET($H$3,0,0,'Données projet'!$E$12+1,1))</f>
        <v>394.59880827600006</v>
      </c>
      <c r="CE126" s="62">
        <f t="shared" si="94"/>
        <v>244.45149244446094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13.732977045917139</v>
      </c>
      <c r="CL126" s="23">
        <f>EXP(-LN(2)/25)*CL125+(1-EXP(-LN(2)/25))/(LN(2)/25)*Calculateur!CG126*Calculateur!CI126*VLOOKUP('Données projet'!$B$12,Paramètres!$A$1:$I$89,3,0)*0.475*44/12</f>
        <v>3.526467439581753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17.259444485498893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4.5224624045658861E-14</v>
      </c>
      <c r="CV126" s="14">
        <f t="shared" si="95"/>
        <v>7.4514601661523691E-13</v>
      </c>
      <c r="CW126" s="22">
        <f t="shared" si="67"/>
        <v>1.3765621991510601E-12</v>
      </c>
      <c r="CX126" s="62">
        <f t="shared" si="68"/>
        <v>293.33333333333468</v>
      </c>
      <c r="CY126" s="62">
        <f ca="1">AVERAGE(OFFSET($CX$3,0,0,'Données projet'!$E$13+1,1))-AVERAGE(OFFSET($H$3,0,0,'Données projet'!$E$13+1,1))</f>
        <v>293.90975929253631</v>
      </c>
      <c r="CZ126" s="62">
        <f t="shared" si="96"/>
        <v>288.30197520356643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2.0346139619653028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2.0346139619653028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4.4337866711430253E-14</v>
      </c>
      <c r="DQ126" s="14">
        <f t="shared" si="97"/>
        <v>7.3222115536967035E-13</v>
      </c>
      <c r="DR126" s="22">
        <f t="shared" si="70"/>
        <v>1.3525069634579169E-12</v>
      </c>
      <c r="DS126" s="62">
        <f t="shared" si="71"/>
        <v>293.33333333333468</v>
      </c>
      <c r="DT126" s="62">
        <f ca="1">AVERAGE(OFFSET($DS$3,0,0,'Données projet'!$E$14+1,1))-AVERAGE(OFFSET($H$3,0,0,'Données projet'!$E$14+1,1))</f>
        <v>288.82868507674738</v>
      </c>
      <c r="DU126" s="62">
        <f t="shared" si="98"/>
        <v>283.48738729114024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1.6183573874307813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1.6183573874307813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-5.6843418860808015E-14</v>
      </c>
      <c r="EK126" s="18">
        <f>EJ126*VLOOKUP('Données projet'!$B$15,Paramètres!$A$1:$I$89,3,0)*VLOOKUP('Données projet'!$B$15,Paramètres!$A$1:$I$89,5,0)</f>
        <v>-5.1431925385259088E-14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366.86025470473652</v>
      </c>
      <c r="EP126" s="62">
        <f t="shared" si="100"/>
        <v>513.80016421153414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1.678049787356279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1.678049787356279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371.7282125501186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12.595057113797836</v>
      </c>
      <c r="AA127" s="23">
        <f>EXP(-LN(2)/25)*AA126+(1-EXP(-LN(2)/25))/(LN(2)/25)*Calculateur!V127*Calculateur!X127*VLOOKUP('Données projet'!$B$9,Paramètres!$A$1:$I$89,3,0)*0.475*44/12</f>
        <v>3.2087433567073638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15.8038004705052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9.5769792096689348E-14</v>
      </c>
      <c r="AK127" s="14">
        <f t="shared" si="89"/>
        <v>1.4459910566979609E-12</v>
      </c>
      <c r="AL127" s="22">
        <f t="shared" si="58"/>
        <v>2.6852334783173491E-12</v>
      </c>
      <c r="AM127" s="62">
        <f t="shared" si="59"/>
        <v>293.33333333333599</v>
      </c>
      <c r="AN127" s="62">
        <f ca="1">AVERAGE(OFFSET($AM$3,0,0,'Données projet'!$E$10+1,1))-AVERAGE(OFFSET($H$3,0,0,'Données projet'!$E$10+1,1))</f>
        <v>348.82438445524105</v>
      </c>
      <c r="AO127" s="62">
        <f t="shared" si="90"/>
        <v>218.26721063098552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11.726432485260055</v>
      </c>
      <c r="AV127" s="23">
        <f>EXP(-LN(2)/25)*AV126+(1-EXP(-LN(2)/25))/(LN(2)/25)*Calculateur!AQ127*Calculateur!AS127*VLOOKUP('Données projet'!$B$10,Paramètres!$A$1:$I$89,3,0)*0.475*44/12</f>
        <v>2.9874507114172046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14.71388319667726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-3.2514435588382188E-14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309.71642374647882</v>
      </c>
      <c r="BJ127" s="62">
        <f t="shared" si="92"/>
        <v>266.63880397664315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83.857746761638452</v>
      </c>
      <c r="BQ127" s="23">
        <f>EXP(-LN(2)/25)*BQ126+(1-EXP(-LN(2)/25))/(LN(2)/25)*Calculateur!BL127*Calculateur!BN127*VLOOKUP('Données projet'!$B$11,Paramètres!$A$1:$I$89,3,0)*0.475*44/12</f>
        <v>4.3557382412681438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88.213485002906594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1.0995790944434703E-13</v>
      </c>
      <c r="CA127" s="14">
        <f t="shared" si="93"/>
        <v>1.6337280948049956E-12</v>
      </c>
      <c r="CB127" s="22">
        <f t="shared" si="64"/>
        <v>3.036919790734272E-12</v>
      </c>
      <c r="CC127" s="62">
        <f t="shared" si="65"/>
        <v>293.33333333333633</v>
      </c>
      <c r="CD127" s="62">
        <f ca="1">AVERAGE(OFFSET($CC$3,0,0,'Données projet'!$E$12+1,1))-AVERAGE(OFFSET($H$3,0,0,'Données projet'!$E$12+1,1))</f>
        <v>394.59880827600006</v>
      </c>
      <c r="CE127" s="62">
        <f t="shared" si="94"/>
        <v>244.45149244446094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13.463681742335611</v>
      </c>
      <c r="CL127" s="23">
        <f>EXP(-LN(2)/25)*CL126+(1-EXP(-LN(2)/25))/(LN(2)/25)*Calculateur!CG127*Calculateur!CI127*VLOOKUP('Données projet'!$B$12,Paramètres!$A$1:$I$89,3,0)*0.475*44/12</f>
        <v>3.4300360019975273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16.893717744333138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4.5224624045658861E-14</v>
      </c>
      <c r="CV127" s="14">
        <f t="shared" si="95"/>
        <v>7.4514601661523691E-13</v>
      </c>
      <c r="CW127" s="22">
        <f t="shared" si="67"/>
        <v>1.3765621991510601E-12</v>
      </c>
      <c r="CX127" s="62">
        <f t="shared" si="68"/>
        <v>293.33333333333468</v>
      </c>
      <c r="CY127" s="62">
        <f ca="1">AVERAGE(OFFSET($CX$3,0,0,'Données projet'!$E$13+1,1))-AVERAGE(OFFSET($H$3,0,0,'Données projet'!$E$13+1,1))</f>
        <v>293.90975929253631</v>
      </c>
      <c r="CZ127" s="62">
        <f t="shared" si="96"/>
        <v>288.30197520356643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1.9947164231631422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1.9947164231631422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4.4337866711430253E-14</v>
      </c>
      <c r="DQ127" s="14">
        <f t="shared" si="97"/>
        <v>7.3222115536967035E-13</v>
      </c>
      <c r="DR127" s="22">
        <f t="shared" si="70"/>
        <v>1.3525069634579169E-12</v>
      </c>
      <c r="DS127" s="62">
        <f t="shared" si="71"/>
        <v>293.33333333333468</v>
      </c>
      <c r="DT127" s="62">
        <f ca="1">AVERAGE(OFFSET($DS$3,0,0,'Données projet'!$E$14+1,1))-AVERAGE(OFFSET($H$3,0,0,'Données projet'!$E$14+1,1))</f>
        <v>288.82868507674738</v>
      </c>
      <c r="DU127" s="62">
        <f t="shared" si="98"/>
        <v>283.48738729114024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1.5866223861638018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1.5866223861638018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-5.6843418860808015E-14</v>
      </c>
      <c r="EK127" s="18">
        <f>EJ127*VLOOKUP('Données projet'!$B$15,Paramètres!$A$1:$I$89,3,0)*VLOOKUP('Données projet'!$B$15,Paramètres!$A$1:$I$89,5,0)</f>
        <v>-5.1431925385259088E-14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366.86025470473652</v>
      </c>
      <c r="EP127" s="62">
        <f t="shared" si="100"/>
        <v>513.80016421153414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1.6451442545355295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1.6451442545355295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371.7282125501186</v>
      </c>
      <c r="T128" s="62">
        <f t="shared" si="88"/>
        <v>231.36959598460686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12.348075726022543</v>
      </c>
      <c r="AA128" s="23">
        <f>EXP(-LN(2)/25)*AA127+(1-EXP(-LN(2)/25))/(LN(2)/25)*Calculateur!V128*Calculateur!X128*VLOOKUP('Données projet'!$B$9,Paramètres!$A$1:$I$89,3,0)*0.475*44/12</f>
        <v>3.1210001008777213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15.469075826900264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9.5769792096689348E-14</v>
      </c>
      <c r="AK128" s="14">
        <f t="shared" si="89"/>
        <v>1.4459910566979609E-12</v>
      </c>
      <c r="AL128" s="22">
        <f t="shared" si="58"/>
        <v>2.6852334783173491E-12</v>
      </c>
      <c r="AM128" s="62">
        <f t="shared" si="59"/>
        <v>293.33333333333599</v>
      </c>
      <c r="AN128" s="62">
        <f ca="1">AVERAGE(OFFSET($AM$3,0,0,'Données projet'!$E$10+1,1))-AVERAGE(OFFSET($H$3,0,0,'Données projet'!$E$10+1,1))</f>
        <v>348.82438445524105</v>
      </c>
      <c r="AO128" s="62">
        <f t="shared" si="90"/>
        <v>218.26721063098552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11.496484296641679</v>
      </c>
      <c r="AV128" s="23">
        <f>EXP(-LN(2)/25)*AV127+(1-EXP(-LN(2)/25))/(LN(2)/25)*Calculateur!AQ128*Calculateur!AS128*VLOOKUP('Données projet'!$B$10,Paramètres!$A$1:$I$89,3,0)*0.475*44/12</f>
        <v>2.9057587146102963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14.402243011251976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-3.2514435588382188E-14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309.71642374647882</v>
      </c>
      <c r="BJ128" s="62">
        <f t="shared" si="92"/>
        <v>266.63880397664315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82.213347495817786</v>
      </c>
      <c r="BQ128" s="23">
        <f>EXP(-LN(2)/25)*BQ127+(1-EXP(-LN(2)/25))/(LN(2)/25)*Calculateur!BL128*Calculateur!BN128*VLOOKUP('Données projet'!$B$11,Paramètres!$A$1:$I$89,3,0)*0.475*44/12</f>
        <v>4.2366303500023479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86.449977845820129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1.0995790944434703E-13</v>
      </c>
      <c r="CA128" s="14">
        <f t="shared" si="93"/>
        <v>1.6337280948049956E-12</v>
      </c>
      <c r="CB128" s="22">
        <f t="shared" si="64"/>
        <v>3.036919790734272E-12</v>
      </c>
      <c r="CC128" s="62">
        <f t="shared" si="65"/>
        <v>293.33333333333633</v>
      </c>
      <c r="CD128" s="62">
        <f ca="1">AVERAGE(OFFSET($CC$3,0,0,'Données projet'!$E$12+1,1))-AVERAGE(OFFSET($H$3,0,0,'Données projet'!$E$12+1,1))</f>
        <v>394.59880827600006</v>
      </c>
      <c r="CE128" s="62">
        <f t="shared" si="94"/>
        <v>244.45149244446094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13.199667155403402</v>
      </c>
      <c r="CL128" s="23">
        <f>EXP(-LN(2)/25)*CL127+(1-EXP(-LN(2)/25))/(LN(2)/25)*Calculateur!CG128*Calculateur!CI128*VLOOKUP('Données projet'!$B$12,Paramètres!$A$1:$I$89,3,0)*0.475*44/12</f>
        <v>3.3362414871451511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16.535908642548552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4.5224624045658861E-14</v>
      </c>
      <c r="CV128" s="14">
        <f t="shared" si="95"/>
        <v>7.4514601661523691E-13</v>
      </c>
      <c r="CW128" s="22">
        <f t="shared" si="67"/>
        <v>1.3765621991510601E-12</v>
      </c>
      <c r="CX128" s="62">
        <f t="shared" si="68"/>
        <v>293.33333333333468</v>
      </c>
      <c r="CY128" s="62">
        <f ca="1">AVERAGE(OFFSET($CX$3,0,0,'Données projet'!$E$13+1,1))-AVERAGE(OFFSET($H$3,0,0,'Données projet'!$E$13+1,1))</f>
        <v>293.90975929253631</v>
      </c>
      <c r="CZ128" s="62">
        <f t="shared" si="96"/>
        <v>288.30197520356643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1.9556012507617964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1.9556012507617964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4.4337866711430253E-14</v>
      </c>
      <c r="DQ128" s="14">
        <f t="shared" si="97"/>
        <v>7.3222115536967035E-13</v>
      </c>
      <c r="DR128" s="22">
        <f t="shared" si="70"/>
        <v>1.3525069634579169E-12</v>
      </c>
      <c r="DS128" s="62">
        <f t="shared" si="71"/>
        <v>293.33333333333468</v>
      </c>
      <c r="DT128" s="62">
        <f ca="1">AVERAGE(OFFSET($DS$3,0,0,'Données projet'!$E$14+1,1))-AVERAGE(OFFSET($H$3,0,0,'Données projet'!$E$14+1,1))</f>
        <v>288.82868507674738</v>
      </c>
      <c r="DU128" s="62">
        <f t="shared" si="98"/>
        <v>283.48738729114024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1.5555096889152285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1.5555096889152285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-5.6843418860808015E-14</v>
      </c>
      <c r="EK128" s="18">
        <f>EJ128*VLOOKUP('Données projet'!$B$15,Paramètres!$A$1:$I$89,3,0)*VLOOKUP('Données projet'!$B$15,Paramètres!$A$1:$I$89,5,0)</f>
        <v>-5.1431925385259088E-14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366.86025470473652</v>
      </c>
      <c r="EP128" s="62">
        <f t="shared" si="100"/>
        <v>513.80016421153414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1.6128839791430016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1.6128839791430016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371.7282125501186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12.105937492617752</v>
      </c>
      <c r="AA129" s="23">
        <f>EXP(-LN(2)/25)*AA128+(1-EXP(-LN(2)/25))/(LN(2)/25)*Calculateur!V129*Calculateur!X129*VLOOKUP('Données projet'!$B$9,Paramètres!$A$1:$I$89,3,0)*0.475*44/12</f>
        <v>3.0356561889929576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15.14159368161071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9.5769792096689348E-14</v>
      </c>
      <c r="AK129" s="14">
        <f t="shared" si="89"/>
        <v>1.4459910566979609E-12</v>
      </c>
      <c r="AL129" s="22">
        <f t="shared" si="58"/>
        <v>2.6852334783173491E-12</v>
      </c>
      <c r="AM129" s="62">
        <f t="shared" si="59"/>
        <v>293.33333333333599</v>
      </c>
      <c r="AN129" s="62">
        <f ca="1">AVERAGE(OFFSET($AM$3,0,0,'Données projet'!$E$10+1,1))-AVERAGE(OFFSET($H$3,0,0,'Données projet'!$E$10+1,1))</f>
        <v>348.82438445524105</v>
      </c>
      <c r="AO129" s="62">
        <f t="shared" si="90"/>
        <v>218.26721063098552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11.271045251747562</v>
      </c>
      <c r="AV129" s="23">
        <f>EXP(-LN(2)/25)*AV128+(1-EXP(-LN(2)/25))/(LN(2)/25)*Calculateur!AQ129*Calculateur!AS129*VLOOKUP('Données projet'!$B$10,Paramètres!$A$1:$I$89,3,0)*0.475*44/12</f>
        <v>2.8263005897520683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14.097345841499632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-3.2514435588382188E-14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309.71642374647882</v>
      </c>
      <c r="BJ129" s="62">
        <f t="shared" si="92"/>
        <v>266.63880397664315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80.601193896615342</v>
      </c>
      <c r="BQ129" s="23">
        <f>EXP(-LN(2)/25)*BQ128+(1-EXP(-LN(2)/25))/(LN(2)/25)*Calculateur!BL129*Calculateur!BN129*VLOOKUP('Données projet'!$B$11,Paramètres!$A$1:$I$89,3,0)*0.475*44/12</f>
        <v>4.1207794702868261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84.721973366902162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1.0995790944434703E-13</v>
      </c>
      <c r="CA129" s="14">
        <f t="shared" si="93"/>
        <v>1.6337280948049956E-12</v>
      </c>
      <c r="CB129" s="22">
        <f t="shared" si="64"/>
        <v>3.036919790734272E-12</v>
      </c>
      <c r="CC129" s="62">
        <f t="shared" si="65"/>
        <v>293.33333333333633</v>
      </c>
      <c r="CD129" s="62">
        <f ca="1">AVERAGE(OFFSET($CC$3,0,0,'Données projet'!$E$12+1,1))-AVERAGE(OFFSET($H$3,0,0,'Données projet'!$E$12+1,1))</f>
        <v>394.59880827600006</v>
      </c>
      <c r="CE129" s="62">
        <f t="shared" si="94"/>
        <v>244.45149244446094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12.940829733487936</v>
      </c>
      <c r="CL129" s="23">
        <f>EXP(-LN(2)/25)*CL128+(1-EXP(-LN(2)/25))/(LN(2)/25)*Calculateur!CG129*Calculateur!CI129*VLOOKUP('Données projet'!$B$12,Paramètres!$A$1:$I$89,3,0)*0.475*44/12</f>
        <v>3.2450117882338523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16.185841521721787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4.5224624045658861E-14</v>
      </c>
      <c r="CV129" s="14">
        <f t="shared" si="95"/>
        <v>7.4514601661523691E-13</v>
      </c>
      <c r="CW129" s="22">
        <f t="shared" si="67"/>
        <v>1.3765621991510601E-12</v>
      </c>
      <c r="CX129" s="62">
        <f t="shared" si="68"/>
        <v>293.33333333333468</v>
      </c>
      <c r="CY129" s="62">
        <f ca="1">AVERAGE(OFFSET($CX$3,0,0,'Données projet'!$E$13+1,1))-AVERAGE(OFFSET($H$3,0,0,'Données projet'!$E$13+1,1))</f>
        <v>293.90975929253631</v>
      </c>
      <c r="CZ129" s="62">
        <f t="shared" si="96"/>
        <v>288.30197520356643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1.9172531030333413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1.9172531030333413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4.4337866711430253E-14</v>
      </c>
      <c r="DQ129" s="14">
        <f t="shared" si="97"/>
        <v>7.3222115536967035E-13</v>
      </c>
      <c r="DR129" s="22">
        <f t="shared" si="70"/>
        <v>1.3525069634579169E-12</v>
      </c>
      <c r="DS129" s="62">
        <f t="shared" si="71"/>
        <v>293.33333333333468</v>
      </c>
      <c r="DT129" s="62">
        <f ca="1">AVERAGE(OFFSET($DS$3,0,0,'Données projet'!$E$14+1,1))-AVERAGE(OFFSET($H$3,0,0,'Données projet'!$E$14+1,1))</f>
        <v>288.82868507674738</v>
      </c>
      <c r="DU129" s="62">
        <f t="shared" si="98"/>
        <v>283.48738729114024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1.5250070926828281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1.5250070926828281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-5.6843418860808015E-14</v>
      </c>
      <c r="EK129" s="18">
        <f>EJ129*VLOOKUP('Données projet'!$B$15,Paramètres!$A$1:$I$89,3,0)*VLOOKUP('Données projet'!$B$15,Paramètres!$A$1:$I$89,5,0)</f>
        <v>-5.1431925385259088E-14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366.86025470473652</v>
      </c>
      <c r="EP129" s="62">
        <f t="shared" si="100"/>
        <v>513.80016421153414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1.5812563080740962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1.5812563080740962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371.7282125501186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11.86854744228029</v>
      </c>
      <c r="AA130" s="23">
        <f>EXP(-LN(2)/25)*AA129+(1-EXP(-LN(2)/25))/(LN(2)/25)*Calculateur!V130*Calculateur!X130*VLOOKUP('Données projet'!$B$9,Paramètres!$A$1:$I$89,3,0)*0.475*44/12</f>
        <v>2.9526460108667245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14.821193453147014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9.5769792096689348E-14</v>
      </c>
      <c r="AK130" s="14">
        <f t="shared" si="89"/>
        <v>1.4459910566979609E-12</v>
      </c>
      <c r="AL130" s="22">
        <f t="shared" si="58"/>
        <v>2.6852334783173491E-12</v>
      </c>
      <c r="AM130" s="62">
        <f t="shared" si="59"/>
        <v>293.33333333333599</v>
      </c>
      <c r="AN130" s="62">
        <f ca="1">AVERAGE(OFFSET($AM$3,0,0,'Données projet'!$E$10+1,1))-AVERAGE(OFFSET($H$3,0,0,'Données projet'!$E$10+1,1))</f>
        <v>348.82438445524105</v>
      </c>
      <c r="AO130" s="62">
        <f t="shared" si="90"/>
        <v>218.26721063098552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11.05002692901958</v>
      </c>
      <c r="AV130" s="23">
        <f>EXP(-LN(2)/25)*AV129+(1-EXP(-LN(2)/25))/(LN(2)/25)*Calculateur!AQ130*Calculateur!AS130*VLOOKUP('Données projet'!$B$10,Paramètres!$A$1:$I$89,3,0)*0.475*44/12</f>
        <v>2.7490152514966097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13.79904218051619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-3.2514435588382188E-14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309.71642374647882</v>
      </c>
      <c r="BJ130" s="62">
        <f t="shared" si="92"/>
        <v>266.63880397664315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79.020653646176655</v>
      </c>
      <c r="BQ130" s="23">
        <f>EXP(-LN(2)/25)*BQ129+(1-EXP(-LN(2)/25))/(LN(2)/25)*Calculateur!BL130*Calculateur!BN130*VLOOKUP('Données projet'!$B$11,Paramètres!$A$1:$I$89,3,0)*0.475*44/12</f>
        <v>4.0080965389694585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83.028750185146109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1.0995790944434703E-13</v>
      </c>
      <c r="CA130" s="14">
        <f t="shared" si="93"/>
        <v>1.6337280948049956E-12</v>
      </c>
      <c r="CB130" s="22">
        <f t="shared" si="64"/>
        <v>3.036919790734272E-12</v>
      </c>
      <c r="CC130" s="62">
        <f t="shared" si="65"/>
        <v>293.33333333333633</v>
      </c>
      <c r="CD130" s="62">
        <f ca="1">AVERAGE(OFFSET($CC$3,0,0,'Données projet'!$E$12+1,1))-AVERAGE(OFFSET($H$3,0,0,'Données projet'!$E$12+1,1))</f>
        <v>394.59880827600006</v>
      </c>
      <c r="CE130" s="62">
        <f t="shared" si="94"/>
        <v>244.45149244446094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12.687067955540993</v>
      </c>
      <c r="CL130" s="23">
        <f>EXP(-LN(2)/25)*CL129+(1-EXP(-LN(2)/25))/(LN(2)/25)*Calculateur!CG130*Calculateur!CI130*VLOOKUP('Données projet'!$B$12,Paramètres!$A$1:$I$89,3,0)*0.475*44/12</f>
        <v>3.1562767702368442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15.843344725777836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4.5224624045658861E-14</v>
      </c>
      <c r="CV130" s="14">
        <f t="shared" si="95"/>
        <v>7.4514601661523691E-13</v>
      </c>
      <c r="CW130" s="22">
        <f t="shared" si="67"/>
        <v>1.3765621991510601E-12</v>
      </c>
      <c r="CX130" s="62">
        <f t="shared" si="68"/>
        <v>293.33333333333468</v>
      </c>
      <c r="CY130" s="62">
        <f ca="1">AVERAGE(OFFSET($CX$3,0,0,'Données projet'!$E$13+1,1))-AVERAGE(OFFSET($H$3,0,0,'Données projet'!$E$13+1,1))</f>
        <v>293.90975929253631</v>
      </c>
      <c r="CZ130" s="62">
        <f t="shared" si="96"/>
        <v>288.30197520356643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1.8796569390917808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1.8796569390917808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4.4337866711430253E-14</v>
      </c>
      <c r="DQ130" s="14">
        <f t="shared" si="97"/>
        <v>7.3222115536967035E-13</v>
      </c>
      <c r="DR130" s="22">
        <f t="shared" si="70"/>
        <v>1.3525069634579169E-12</v>
      </c>
      <c r="DS130" s="62">
        <f t="shared" si="71"/>
        <v>293.33333333333468</v>
      </c>
      <c r="DT130" s="62">
        <f ca="1">AVERAGE(OFFSET($DS$3,0,0,'Données projet'!$E$14+1,1))-AVERAGE(OFFSET($H$3,0,0,'Données projet'!$E$14+1,1))</f>
        <v>288.82868507674738</v>
      </c>
      <c r="DU130" s="62">
        <f t="shared" si="98"/>
        <v>283.48738729114024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1.4951026337577984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1.4951026337577984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-5.6843418860808015E-14</v>
      </c>
      <c r="EK130" s="18">
        <f>EJ130*VLOOKUP('Données projet'!$B$15,Paramètres!$A$1:$I$89,3,0)*VLOOKUP('Données projet'!$B$15,Paramètres!$A$1:$I$89,5,0)</f>
        <v>-5.1431925385259088E-14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366.86025470473652</v>
      </c>
      <c r="EP130" s="62">
        <f t="shared" si="100"/>
        <v>513.80016421153414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1.5502488363438776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1.5502488363438776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371.7282125501186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11.635812466036311</v>
      </c>
      <c r="AA131" s="23">
        <f>EXP(-LN(2)/25)*AA130+(1-EXP(-LN(2)/25))/(LN(2)/25)*Calculateur!V131*Calculateur!X131*VLOOKUP('Données projet'!$B$9,Paramètres!$A$1:$I$89,3,0)*0.475*44/12</f>
        <v>2.8719057504266687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14.50771821646298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9.5769792096689348E-14</v>
      </c>
      <c r="AK131" s="14">
        <f t="shared" si="89"/>
        <v>1.4459910566979609E-12</v>
      </c>
      <c r="AL131" s="22">
        <f t="shared" si="58"/>
        <v>2.6852334783173491E-12</v>
      </c>
      <c r="AM131" s="62">
        <f t="shared" si="59"/>
        <v>293.33333333333599</v>
      </c>
      <c r="AN131" s="62">
        <f ca="1">AVERAGE(OFFSET($AM$3,0,0,'Données projet'!$E$10+1,1))-AVERAGE(OFFSET($H$3,0,0,'Données projet'!$E$10+1,1))</f>
        <v>348.82438445524105</v>
      </c>
      <c r="AO131" s="62">
        <f t="shared" si="90"/>
        <v>218.26721063098552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10.833342640792427</v>
      </c>
      <c r="AV131" s="23">
        <f>EXP(-LN(2)/25)*AV130+(1-EXP(-LN(2)/25))/(LN(2)/25)*Calculateur!AQ131*Calculateur!AS131*VLOOKUP('Données projet'!$B$10,Paramètres!$A$1:$I$89,3,0)*0.475*44/12</f>
        <v>2.673843284880006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13.507185925672433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-3.2514435588382188E-14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309.71642374647882</v>
      </c>
      <c r="BJ131" s="62">
        <f t="shared" si="92"/>
        <v>266.63880397664315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77.471106826014719</v>
      </c>
      <c r="BQ131" s="23">
        <f>EXP(-LN(2)/25)*BQ130+(1-EXP(-LN(2)/25))/(LN(2)/25)*Calculateur!BL131*Calculateur!BN131*VLOOKUP('Données projet'!$B$11,Paramètres!$A$1:$I$89,3,0)*0.475*44/12</f>
        <v>3.8984949283347023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81.369601754349418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1.0995790944434703E-13</v>
      </c>
      <c r="CA131" s="14">
        <f t="shared" si="93"/>
        <v>1.6337280948049956E-12</v>
      </c>
      <c r="CB131" s="22">
        <f t="shared" si="64"/>
        <v>3.036919790734272E-12</v>
      </c>
      <c r="CC131" s="62">
        <f t="shared" si="65"/>
        <v>293.33333333333633</v>
      </c>
      <c r="CD131" s="62">
        <f ca="1">AVERAGE(OFFSET($CC$3,0,0,'Données projet'!$E$12+1,1))-AVERAGE(OFFSET($H$3,0,0,'Données projet'!$E$12+1,1))</f>
        <v>394.59880827600006</v>
      </c>
      <c r="CE131" s="62">
        <f t="shared" si="94"/>
        <v>244.45149244446094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12.438282291280188</v>
      </c>
      <c r="CL131" s="23">
        <f>EXP(-LN(2)/25)*CL130+(1-EXP(-LN(2)/25))/(LN(2)/25)*Calculateur!CG131*Calculateur!CI131*VLOOKUP('Données projet'!$B$12,Paramètres!$A$1:$I$89,3,0)*0.475*44/12</f>
        <v>3.0699682159733359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15.508250507253525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4.5224624045658861E-14</v>
      </c>
      <c r="CV131" s="14">
        <f t="shared" si="95"/>
        <v>7.4514601661523691E-13</v>
      </c>
      <c r="CW131" s="22">
        <f t="shared" si="67"/>
        <v>1.3765621991510601E-12</v>
      </c>
      <c r="CX131" s="62">
        <f t="shared" si="68"/>
        <v>293.33333333333468</v>
      </c>
      <c r="CY131" s="62">
        <f ca="1">AVERAGE(OFFSET($CX$3,0,0,'Données projet'!$E$13+1,1))-AVERAGE(OFFSET($H$3,0,0,'Données projet'!$E$13+1,1))</f>
        <v>293.90975929253631</v>
      </c>
      <c r="CZ131" s="62">
        <f t="shared" si="96"/>
        <v>288.30197520356643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1.8427980129937185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1.8427980129937185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4.4337866711430253E-14</v>
      </c>
      <c r="DQ131" s="14">
        <f t="shared" si="97"/>
        <v>7.3222115536967035E-13</v>
      </c>
      <c r="DR131" s="22">
        <f t="shared" si="70"/>
        <v>1.3525069634579169E-12</v>
      </c>
      <c r="DS131" s="62">
        <f t="shared" si="71"/>
        <v>293.33333333333468</v>
      </c>
      <c r="DT131" s="62">
        <f ca="1">AVERAGE(OFFSET($DS$3,0,0,'Données projet'!$E$14+1,1))-AVERAGE(OFFSET($H$3,0,0,'Données projet'!$E$14+1,1))</f>
        <v>288.82868507674738</v>
      </c>
      <c r="DU131" s="62">
        <f t="shared" si="98"/>
        <v>283.48738729114024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1.4657845830323697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1.4657845830323697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-5.6843418860808015E-14</v>
      </c>
      <c r="EK131" s="18">
        <f>EJ131*VLOOKUP('Données projet'!$B$15,Paramètres!$A$1:$I$89,3,0)*VLOOKUP('Données projet'!$B$15,Paramètres!$A$1:$I$89,5,0)</f>
        <v>-5.1431925385259088E-14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366.86025470473652</v>
      </c>
      <c r="EP131" s="62">
        <f t="shared" si="100"/>
        <v>513.80016421153414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1.5198494022215983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1.5198494022215983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371.7282125501186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11.407641280722158</v>
      </c>
      <c r="AA132" s="23">
        <f>EXP(-LN(2)/25)*AA131+(1-EXP(-LN(2)/25))/(LN(2)/25)*Calculateur!V132*Calculateur!X132*VLOOKUP('Données projet'!$B$9,Paramètres!$A$1:$I$89,3,0)*0.475*44/12</f>
        <v>2.7933733366542919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14.201014617376451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9.5769792096689348E-14</v>
      </c>
      <c r="AK132" s="14">
        <f t="shared" si="89"/>
        <v>1.4459910566979609E-12</v>
      </c>
      <c r="AL132" s="22">
        <f t="shared" ref="AL132:AL153" si="112">(AJ132+AK132)*0.475*44/12</f>
        <v>2.6852334783173491E-12</v>
      </c>
      <c r="AM132" s="62">
        <f t="shared" ref="AM132:AM195" si="113">AL132+(AD132+AE132)*44/12</f>
        <v>293.33333333333599</v>
      </c>
      <c r="AN132" s="62">
        <f ca="1">AVERAGE(OFFSET($AM$3,0,0,'Données projet'!$E$10+1,1))-AVERAGE(OFFSET($H$3,0,0,'Données projet'!$E$10+1,1))</f>
        <v>348.82438445524105</v>
      </c>
      <c r="AO132" s="62">
        <f t="shared" si="90"/>
        <v>218.26721063098552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10.620907399293044</v>
      </c>
      <c r="AV132" s="23">
        <f>EXP(-LN(2)/25)*AV131+(1-EXP(-LN(2)/25))/(LN(2)/25)*Calculateur!AQ132*Calculateur!AS132*VLOOKUP('Données projet'!$B$10,Paramètres!$A$1:$I$89,3,0)*0.475*44/12</f>
        <v>2.600726899643655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13.221634298936699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-3.2514435588382188E-14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309.71642374647882</v>
      </c>
      <c r="BJ132" s="62">
        <f t="shared" si="92"/>
        <v>266.63880397664315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75.951945673865922</v>
      </c>
      <c r="BQ132" s="23">
        <f>EXP(-LN(2)/25)*BQ131+(1-EXP(-LN(2)/25))/(LN(2)/25)*Calculateur!BL132*Calculateur!BN132*VLOOKUP('Données projet'!$B$11,Paramètres!$A$1:$I$89,3,0)*0.475*44/12</f>
        <v>3.7918903795064516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79.743836053372377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1.0995790944434703E-13</v>
      </c>
      <c r="CA132" s="14">
        <f t="shared" si="93"/>
        <v>1.6337280948049956E-12</v>
      </c>
      <c r="CB132" s="22">
        <f t="shared" ref="CB132:CB153" si="118">(BZ132+CA132)*0.475*44/12</f>
        <v>3.036919790734272E-12</v>
      </c>
      <c r="CC132" s="62">
        <f t="shared" ref="CC132:CC195" si="119">CB132+(BT132+BU132)*44/12</f>
        <v>293.33333333333633</v>
      </c>
      <c r="CD132" s="62">
        <f ca="1">AVERAGE(OFFSET($CC$3,0,0,'Données projet'!$E$12+1,1))-AVERAGE(OFFSET($H$3,0,0,'Données projet'!$E$12+1,1))</f>
        <v>394.59880827600006</v>
      </c>
      <c r="CE132" s="62">
        <f t="shared" si="94"/>
        <v>244.45149244446094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12.194375162151267</v>
      </c>
      <c r="CL132" s="23">
        <f>EXP(-LN(2)/25)*CL131+(1-EXP(-LN(2)/25))/(LN(2)/25)*Calculateur!CG132*Calculateur!CI132*VLOOKUP('Données projet'!$B$12,Paramètres!$A$1:$I$89,3,0)*0.475*44/12</f>
        <v>2.9860197736649332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15.180394935816201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4.5224624045658861E-14</v>
      </c>
      <c r="CV132" s="14">
        <f t="shared" si="95"/>
        <v>7.4514601661523691E-13</v>
      </c>
      <c r="CW132" s="22">
        <f t="shared" ref="CW132:CW153" si="121">(CU132+CV132)*0.475*44/12</f>
        <v>1.3765621991510601E-12</v>
      </c>
      <c r="CX132" s="62">
        <f t="shared" ref="CX132:CX195" si="122">CW132+(CO132+CP132)*44/12</f>
        <v>293.33333333333468</v>
      </c>
      <c r="CY132" s="62">
        <f ca="1">AVERAGE(OFFSET($CX$3,0,0,'Données projet'!$E$13+1,1))-AVERAGE(OFFSET($H$3,0,0,'Données projet'!$E$13+1,1))</f>
        <v>293.90975929253631</v>
      </c>
      <c r="CZ132" s="62">
        <f t="shared" si="96"/>
        <v>288.30197520356643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1.8066618679547142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1.8066618679547142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4.4337866711430253E-14</v>
      </c>
      <c r="DQ132" s="14">
        <f t="shared" si="97"/>
        <v>7.3222115536967035E-13</v>
      </c>
      <c r="DR132" s="22">
        <f t="shared" ref="DR132:DR153" si="124">(DP132+DQ132)*0.475*44/12</f>
        <v>1.3525069634579169E-12</v>
      </c>
      <c r="DS132" s="62">
        <f t="shared" ref="DS132:DS195" si="125">DR132+(DJ132+DK132)*44/12</f>
        <v>293.33333333333468</v>
      </c>
      <c r="DT132" s="62">
        <f ca="1">AVERAGE(OFFSET($DS$3,0,0,'Données projet'!$E$14+1,1))-AVERAGE(OFFSET($H$3,0,0,'Données projet'!$E$14+1,1))</f>
        <v>288.82868507674738</v>
      </c>
      <c r="DU132" s="62">
        <f t="shared" si="98"/>
        <v>283.48738729114024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1.4370414413994215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1.4370414413994215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-5.6843418860808015E-14</v>
      </c>
      <c r="EK132" s="18">
        <f>EJ132*VLOOKUP('Données projet'!$B$15,Paramètres!$A$1:$I$89,3,0)*VLOOKUP('Données projet'!$B$15,Paramètres!$A$1:$I$89,5,0)</f>
        <v>-5.1431925385259088E-14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366.86025470473652</v>
      </c>
      <c r="EP132" s="62">
        <f t="shared" si="100"/>
        <v>513.80016421153414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1.4900460824606327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1.4900460824606327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371.7282125501186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11.183944393181335</v>
      </c>
      <c r="AA133" s="23">
        <f>EXP(-LN(2)/25)*AA132+(1-EXP(-LN(2)/25))/(LN(2)/25)*Calculateur!V133*Calculateur!X133*VLOOKUP('Données projet'!$B$9,Paramètres!$A$1:$I$89,3,0)*0.475*44/12</f>
        <v>2.7169883958663608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13.900932789047696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9.5769792096689348E-14</v>
      </c>
      <c r="AK133" s="14">
        <f t="shared" ref="AK133:AK153" si="143">EXP(-1.0587+0.8836*LN(AJ133)+0.284)</f>
        <v>1.4459910566979609E-12</v>
      </c>
      <c r="AL133" s="22">
        <f t="shared" si="112"/>
        <v>2.6852334783173491E-12</v>
      </c>
      <c r="AM133" s="62">
        <f t="shared" si="113"/>
        <v>293.33333333333599</v>
      </c>
      <c r="AN133" s="62">
        <f ca="1">AVERAGE(OFFSET($AM$3,0,0,'Données projet'!$E$10+1,1))-AVERAGE(OFFSET($H$3,0,0,'Données projet'!$E$10+1,1))</f>
        <v>348.82438445524105</v>
      </c>
      <c r="AO133" s="62">
        <f t="shared" ref="AO133:AO196" si="144">$AO$3</f>
        <v>218.26721063098552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10.412637883306759</v>
      </c>
      <c r="AV133" s="23">
        <f>EXP(-LN(2)/25)*AV132+(1-EXP(-LN(2)/25))/(LN(2)/25)*Calculateur!AQ133*Calculateur!AS133*VLOOKUP('Données projet'!$B$10,Paramètres!$A$1:$I$89,3,0)*0.475*44/12</f>
        <v>2.5296098858066158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12.942247769113376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-3.2514435588382188E-14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309.71642374647882</v>
      </c>
      <c r="BJ133" s="62">
        <f t="shared" ref="BJ133:BJ196" si="146">$BJ$3</f>
        <v>266.63880397664315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74.462574345313953</v>
      </c>
      <c r="BQ133" s="23">
        <f>EXP(-LN(2)/25)*BQ132+(1-EXP(-LN(2)/25))/(LN(2)/25)*Calculateur!BL133*Calculateur!BN133*VLOOKUP('Données projet'!$B$11,Paramètres!$A$1:$I$89,3,0)*0.475*44/12</f>
        <v>3.6882009376719993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78.150775282985947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1.0995790944434703E-13</v>
      </c>
      <c r="CA133" s="14">
        <f t="shared" ref="CA133:CA153" si="147">EXP(-1.0587+0.8836*LN(BZ133)+0.284)</f>
        <v>1.6337280948049956E-12</v>
      </c>
      <c r="CB133" s="22">
        <f t="shared" si="118"/>
        <v>3.036919790734272E-12</v>
      </c>
      <c r="CC133" s="62">
        <f t="shared" si="119"/>
        <v>293.33333333333633</v>
      </c>
      <c r="CD133" s="62">
        <f ca="1">AVERAGE(OFFSET($CC$3,0,0,'Données projet'!$E$12+1,1))-AVERAGE(OFFSET($H$3,0,0,'Données projet'!$E$12+1,1))</f>
        <v>394.59880827600006</v>
      </c>
      <c r="CE133" s="62">
        <f t="shared" ref="CE133:CE196" si="148">$CE$3</f>
        <v>244.45149244446094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11.955250903055905</v>
      </c>
      <c r="CL133" s="23">
        <f>EXP(-LN(2)/25)*CL132+(1-EXP(-LN(2)/25))/(LN(2)/25)*Calculateur!CG133*Calculateur!CI133*VLOOKUP('Données projet'!$B$12,Paramètres!$A$1:$I$89,3,0)*0.475*44/12</f>
        <v>2.9043669059261101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14.859617808982016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4.5224624045658861E-14</v>
      </c>
      <c r="CV133" s="14">
        <f t="shared" ref="CV133:CV153" si="149">EXP(-1.0587+0.8836*LN(CU133)+0.284)</f>
        <v>7.4514601661523691E-13</v>
      </c>
      <c r="CW133" s="22">
        <f t="shared" si="121"/>
        <v>1.3765621991510601E-12</v>
      </c>
      <c r="CX133" s="62">
        <f t="shared" si="122"/>
        <v>293.33333333333468</v>
      </c>
      <c r="CY133" s="62">
        <f ca="1">AVERAGE(OFFSET($CX$3,0,0,'Données projet'!$E$13+1,1))-AVERAGE(OFFSET($H$3,0,0,'Données projet'!$E$13+1,1))</f>
        <v>293.90975929253631</v>
      </c>
      <c r="CZ133" s="62">
        <f t="shared" ref="CZ133:CZ196" si="150">$CZ$3</f>
        <v>288.30197520356643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1.7712343306790526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1.7712343306790526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4.4337866711430253E-14</v>
      </c>
      <c r="DQ133" s="14">
        <f t="shared" ref="DQ133:DQ153" si="151">EXP(-1.0587+0.8836*LN(DP133)+0.284)</f>
        <v>7.3222115536967035E-13</v>
      </c>
      <c r="DR133" s="22">
        <f t="shared" si="124"/>
        <v>1.3525069634579169E-12</v>
      </c>
      <c r="DS133" s="62">
        <f t="shared" si="125"/>
        <v>293.33333333333468</v>
      </c>
      <c r="DT133" s="62">
        <f ca="1">AVERAGE(OFFSET($DS$3,0,0,'Données projet'!$E$14+1,1))-AVERAGE(OFFSET($H$3,0,0,'Données projet'!$E$14+1,1))</f>
        <v>288.82868507674738</v>
      </c>
      <c r="DU133" s="62">
        <f t="shared" ref="DU133:DU196" si="152">$DU$3</f>
        <v>283.48738729114024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1.40886193524231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1.40886193524231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-5.6843418860808015E-14</v>
      </c>
      <c r="EK133" s="18">
        <f>EJ133*VLOOKUP('Données projet'!$B$15,Paramètres!$A$1:$I$89,3,0)*VLOOKUP('Données projet'!$B$15,Paramètres!$A$1:$I$89,5,0)</f>
        <v>-5.1431925385259088E-14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366.86025470473652</v>
      </c>
      <c r="EP133" s="62">
        <f t="shared" ref="EP133:EP196" si="154">$EP$3</f>
        <v>513.80016421153414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1.4608271876219496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1.4608271876219496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371.7282125501186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10.964634065163558</v>
      </c>
      <c r="AA134" s="23">
        <f>EXP(-LN(2)/25)*AA133+(1-EXP(-LN(2)/25))/(LN(2)/25)*Calculateur!V134*Calculateur!X134*VLOOKUP('Données projet'!$B$9,Paramètres!$A$1:$I$89,3,0)*0.475*44/12</f>
        <v>2.6426922053011852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13.607326270464743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9.5769792096689348E-14</v>
      </c>
      <c r="AK134" s="14">
        <f t="shared" si="143"/>
        <v>1.4459910566979609E-12</v>
      </c>
      <c r="AL134" s="22">
        <f t="shared" si="112"/>
        <v>2.6852334783173491E-12</v>
      </c>
      <c r="AM134" s="62">
        <f t="shared" si="113"/>
        <v>293.33333333333599</v>
      </c>
      <c r="AN134" s="62">
        <f ca="1">AVERAGE(OFFSET($AM$3,0,0,'Données projet'!$E$10+1,1))-AVERAGE(OFFSET($H$3,0,0,'Données projet'!$E$10+1,1))</f>
        <v>348.82438445524105</v>
      </c>
      <c r="AO134" s="62">
        <f t="shared" si="144"/>
        <v>218.26721063098552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10.208452405497106</v>
      </c>
      <c r="AV134" s="23">
        <f>EXP(-LN(2)/25)*AV133+(1-EXP(-LN(2)/25))/(LN(2)/25)*Calculateur!AQ134*Calculateur!AS134*VLOOKUP('Données projet'!$B$10,Paramètres!$A$1:$I$89,3,0)*0.475*44/12</f>
        <v>2.4604375704528314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12.668889975949938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-3.2514435588382188E-14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309.71642374647882</v>
      </c>
      <c r="BJ134" s="62">
        <f t="shared" si="146"/>
        <v>266.63880397664315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73.002408680088067</v>
      </c>
      <c r="BQ134" s="23">
        <f>EXP(-LN(2)/25)*BQ133+(1-EXP(-LN(2)/25))/(LN(2)/25)*Calculateur!BL134*Calculateur!BN134*VLOOKUP('Données projet'!$B$11,Paramètres!$A$1:$I$89,3,0)*0.475*44/12</f>
        <v>3.5873468890773008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76.589755569165362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1.0995790944434703E-13</v>
      </c>
      <c r="CA134" s="14">
        <f t="shared" si="147"/>
        <v>1.6337280948049956E-12</v>
      </c>
      <c r="CB134" s="22">
        <f t="shared" si="118"/>
        <v>3.036919790734272E-12</v>
      </c>
      <c r="CC134" s="62">
        <f t="shared" si="119"/>
        <v>293.33333333333633</v>
      </c>
      <c r="CD134" s="62">
        <f ca="1">AVERAGE(OFFSET($CC$3,0,0,'Données projet'!$E$12+1,1))-AVERAGE(OFFSET($H$3,0,0,'Données projet'!$E$12+1,1))</f>
        <v>394.59880827600006</v>
      </c>
      <c r="CE134" s="62">
        <f t="shared" si="148"/>
        <v>244.45149244446094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11.720815724830006</v>
      </c>
      <c r="CL134" s="23">
        <f>EXP(-LN(2)/25)*CL133+(1-EXP(-LN(2)/25))/(LN(2)/25)*Calculateur!CG134*Calculateur!CI134*VLOOKUP('Données projet'!$B$12,Paramètres!$A$1:$I$89,3,0)*0.475*44/12</f>
        <v>2.824946840149543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14.545762564979549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4.5224624045658861E-14</v>
      </c>
      <c r="CV134" s="14">
        <f t="shared" si="149"/>
        <v>7.4514601661523691E-13</v>
      </c>
      <c r="CW134" s="22">
        <f t="shared" si="121"/>
        <v>1.3765621991510601E-12</v>
      </c>
      <c r="CX134" s="62">
        <f t="shared" si="122"/>
        <v>293.33333333333468</v>
      </c>
      <c r="CY134" s="62">
        <f ca="1">AVERAGE(OFFSET($CX$3,0,0,'Données projet'!$E$13+1,1))-AVERAGE(OFFSET($H$3,0,0,'Données projet'!$E$13+1,1))</f>
        <v>293.90975929253631</v>
      </c>
      <c r="CZ134" s="62">
        <f t="shared" si="150"/>
        <v>288.30197520356643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1.7365015058007027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1.7365015058007027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4.4337866711430253E-14</v>
      </c>
      <c r="DQ134" s="14">
        <f t="shared" si="151"/>
        <v>7.3222115536967035E-13</v>
      </c>
      <c r="DR134" s="22">
        <f t="shared" si="124"/>
        <v>1.3525069634579169E-12</v>
      </c>
      <c r="DS134" s="62">
        <f t="shared" si="125"/>
        <v>293.33333333333468</v>
      </c>
      <c r="DT134" s="62">
        <f ca="1">AVERAGE(OFFSET($DS$3,0,0,'Données projet'!$E$14+1,1))-AVERAGE(OFFSET($H$3,0,0,'Données projet'!$E$14+1,1))</f>
        <v>288.82868507674738</v>
      </c>
      <c r="DU134" s="62">
        <f t="shared" si="152"/>
        <v>283.48738729114024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1.3812350120131378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1.3812350120131378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-5.6843418860808015E-14</v>
      </c>
      <c r="EK134" s="18">
        <f>EJ134*VLOOKUP('Données projet'!$B$15,Paramètres!$A$1:$I$89,3,0)*VLOOKUP('Données projet'!$B$15,Paramètres!$A$1:$I$89,5,0)</f>
        <v>-5.1431925385259088E-14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366.86025470473652</v>
      </c>
      <c r="EP134" s="62">
        <f t="shared" si="154"/>
        <v>513.80016421153414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1.4321812574892872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1.4321812574892872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371.7282125501186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10.749624278912119</v>
      </c>
      <c r="AA135" s="23">
        <f>EXP(-LN(2)/25)*AA134+(1-EXP(-LN(2)/25))/(LN(2)/25)*Calculateur!V135*Calculateur!X135*VLOOKUP('Données projet'!$B$9,Paramètres!$A$1:$I$89,3,0)*0.475*44/12</f>
        <v>2.5704276479740811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13.320051926886201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9.5769792096689348E-14</v>
      </c>
      <c r="AK135" s="14">
        <f t="shared" si="143"/>
        <v>1.4459910566979609E-12</v>
      </c>
      <c r="AL135" s="22">
        <f t="shared" si="112"/>
        <v>2.6852334783173491E-12</v>
      </c>
      <c r="AM135" s="62">
        <f t="shared" si="113"/>
        <v>293.33333333333599</v>
      </c>
      <c r="AN135" s="62">
        <f ca="1">AVERAGE(OFFSET($AM$3,0,0,'Données projet'!$E$10+1,1))-AVERAGE(OFFSET($H$3,0,0,'Données projet'!$E$10+1,1))</f>
        <v>348.82438445524105</v>
      </c>
      <c r="AO135" s="62">
        <f t="shared" si="144"/>
        <v>218.26721063098552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10.008270880366455</v>
      </c>
      <c r="AV135" s="23">
        <f>EXP(-LN(2)/25)*AV134+(1-EXP(-LN(2)/25))/(LN(2)/25)*Calculateur!AQ135*Calculateur!AS135*VLOOKUP('Données projet'!$B$10,Paramètres!$A$1:$I$89,3,0)*0.475*44/12</f>
        <v>2.3931567757000103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12.401427656066465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-3.2514435588382188E-14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309.71642374647882</v>
      </c>
      <c r="BJ135" s="62">
        <f t="shared" si="146"/>
        <v>266.63880397664315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71.570875972944151</v>
      </c>
      <c r="BQ135" s="23">
        <f>EXP(-LN(2)/25)*BQ134+(1-EXP(-LN(2)/25))/(LN(2)/25)*Calculateur!BL135*Calculateur!BN135*VLOOKUP('Données projet'!$B$11,Paramètres!$A$1:$I$89,3,0)*0.475*44/12</f>
        <v>3.4892506997451083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75.060126672689265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1.0995790944434703E-13</v>
      </c>
      <c r="CA135" s="14">
        <f t="shared" si="147"/>
        <v>1.6337280948049956E-12</v>
      </c>
      <c r="CB135" s="22">
        <f t="shared" si="118"/>
        <v>3.036919790734272E-12</v>
      </c>
      <c r="CC135" s="62">
        <f t="shared" si="119"/>
        <v>293.33333333333633</v>
      </c>
      <c r="CD135" s="62">
        <f ca="1">AVERAGE(OFFSET($CC$3,0,0,'Données projet'!$E$12+1,1))-AVERAGE(OFFSET($H$3,0,0,'Données projet'!$E$12+1,1))</f>
        <v>394.59880827600006</v>
      </c>
      <c r="CE135" s="62">
        <f t="shared" si="148"/>
        <v>244.45149244446094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11.490977677457778</v>
      </c>
      <c r="CL135" s="23">
        <f>EXP(-LN(2)/25)*CL134+(1-EXP(-LN(2)/25))/(LN(2)/25)*Calculateur!CG135*Calculateur!CI135*VLOOKUP('Données projet'!$B$12,Paramètres!$A$1:$I$89,3,0)*0.475*44/12</f>
        <v>2.7476985202481559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14.238676197705933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4.5224624045658861E-14</v>
      </c>
      <c r="CV135" s="14">
        <f t="shared" si="149"/>
        <v>7.4514601661523691E-13</v>
      </c>
      <c r="CW135" s="22">
        <f t="shared" si="121"/>
        <v>1.3765621991510601E-12</v>
      </c>
      <c r="CX135" s="62">
        <f t="shared" si="122"/>
        <v>293.33333333333468</v>
      </c>
      <c r="CY135" s="62">
        <f ca="1">AVERAGE(OFFSET($CX$3,0,0,'Données projet'!$E$13+1,1))-AVERAGE(OFFSET($H$3,0,0,'Données projet'!$E$13+1,1))</f>
        <v>293.90975929253631</v>
      </c>
      <c r="CZ135" s="62">
        <f t="shared" si="150"/>
        <v>288.30197520356643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1.7024497704332859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1.7024497704332859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4.4337866711430253E-14</v>
      </c>
      <c r="DQ135" s="14">
        <f t="shared" si="151"/>
        <v>7.3222115536967035E-13</v>
      </c>
      <c r="DR135" s="22">
        <f t="shared" si="124"/>
        <v>1.3525069634579169E-12</v>
      </c>
      <c r="DS135" s="62">
        <f t="shared" si="125"/>
        <v>293.33333333333468</v>
      </c>
      <c r="DT135" s="62">
        <f ca="1">AVERAGE(OFFSET($DS$3,0,0,'Données projet'!$E$14+1,1))-AVERAGE(OFFSET($H$3,0,0,'Données projet'!$E$14+1,1))</f>
        <v>288.82868507674738</v>
      </c>
      <c r="DU135" s="62">
        <f t="shared" si="152"/>
        <v>283.48738729114024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1.3541498358977304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1.3541498358977304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-5.6843418860808015E-14</v>
      </c>
      <c r="EK135" s="18">
        <f>EJ135*VLOOKUP('Données projet'!$B$15,Paramètres!$A$1:$I$89,3,0)*VLOOKUP('Données projet'!$B$15,Paramètres!$A$1:$I$89,5,0)</f>
        <v>-5.1431925385259088E-14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366.86025470473652</v>
      </c>
      <c r="EP135" s="62">
        <f t="shared" si="154"/>
        <v>513.80016421153414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1.4040970565742339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1.4040970565742339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371.7282125501186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10.538830703426049</v>
      </c>
      <c r="AA136" s="23">
        <f>EXP(-LN(2)/25)*AA135+(1-EXP(-LN(2)/25))/(LN(2)/25)*Calculateur!V136*Calculateur!X136*VLOOKUP('Données projet'!$B$9,Paramètres!$A$1:$I$89,3,0)*0.475*44/12</f>
        <v>2.5001391687673147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13.038969872193363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9.5769792096689348E-14</v>
      </c>
      <c r="AK136" s="14">
        <f t="shared" si="143"/>
        <v>1.4459910566979609E-12</v>
      </c>
      <c r="AL136" s="22">
        <f t="shared" si="112"/>
        <v>2.6852334783173491E-12</v>
      </c>
      <c r="AM136" s="62">
        <f t="shared" si="113"/>
        <v>293.33333333333599</v>
      </c>
      <c r="AN136" s="62">
        <f ca="1">AVERAGE(OFFSET($AM$3,0,0,'Données projet'!$E$10+1,1))-AVERAGE(OFFSET($H$3,0,0,'Données projet'!$E$10+1,1))</f>
        <v>348.82438445524105</v>
      </c>
      <c r="AO136" s="62">
        <f t="shared" si="144"/>
        <v>218.26721063098552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9.8120147928449413</v>
      </c>
      <c r="AV136" s="23">
        <f>EXP(-LN(2)/25)*AV135+(1-EXP(-LN(2)/25))/(LN(2)/25)*Calculateur!AQ136*Calculateur!AS136*VLOOKUP('Données projet'!$B$10,Paramètres!$A$1:$I$89,3,0)*0.475*44/12</f>
        <v>2.3277157778178483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12.13973057066279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-3.2514435588382188E-14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309.71642374647882</v>
      </c>
      <c r="BJ136" s="62">
        <f t="shared" si="146"/>
        <v>266.63880397664315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70.167414749038599</v>
      </c>
      <c r="BQ136" s="23">
        <f>EXP(-LN(2)/25)*BQ135+(1-EXP(-LN(2)/25))/(LN(2)/25)*Calculateur!BL136*Calculateur!BN136*VLOOKUP('Données projet'!$B$11,Paramètres!$A$1:$I$89,3,0)*0.475*44/12</f>
        <v>3.3938369558688586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73.561251704907463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1.0995790944434703E-13</v>
      </c>
      <c r="CA136" s="14">
        <f t="shared" si="147"/>
        <v>1.6337280948049956E-12</v>
      </c>
      <c r="CB136" s="22">
        <f t="shared" si="118"/>
        <v>3.036919790734272E-12</v>
      </c>
      <c r="CC136" s="62">
        <f t="shared" si="119"/>
        <v>293.33333333333633</v>
      </c>
      <c r="CD136" s="62">
        <f ca="1">AVERAGE(OFFSET($CC$3,0,0,'Données projet'!$E$12+1,1))-AVERAGE(OFFSET($H$3,0,0,'Données projet'!$E$12+1,1))</f>
        <v>394.59880827600006</v>
      </c>
      <c r="CE136" s="62">
        <f t="shared" si="148"/>
        <v>244.45149244446094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11.265646614007153</v>
      </c>
      <c r="CL136" s="23">
        <f>EXP(-LN(2)/25)*CL135+(1-EXP(-LN(2)/25))/(LN(2)/25)*Calculateur!CG136*Calculateur!CI136*VLOOKUP('Données projet'!$B$12,Paramètres!$A$1:$I$89,3,0)*0.475*44/12</f>
        <v>2.672562559716785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13.938209173723937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4.5224624045658861E-14</v>
      </c>
      <c r="CV136" s="14">
        <f t="shared" si="149"/>
        <v>7.4514601661523691E-13</v>
      </c>
      <c r="CW136" s="22">
        <f t="shared" si="121"/>
        <v>1.3765621991510601E-12</v>
      </c>
      <c r="CX136" s="62">
        <f t="shared" si="122"/>
        <v>293.33333333333468</v>
      </c>
      <c r="CY136" s="62">
        <f ca="1">AVERAGE(OFFSET($CX$3,0,0,'Données projet'!$E$13+1,1))-AVERAGE(OFFSET($H$3,0,0,'Données projet'!$E$13+1,1))</f>
        <v>293.90975929253631</v>
      </c>
      <c r="CZ136" s="62">
        <f t="shared" si="150"/>
        <v>288.30197520356643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1.6690657688269166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1.6690657688269166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4.4337866711430253E-14</v>
      </c>
      <c r="DQ136" s="14">
        <f t="shared" si="151"/>
        <v>7.3222115536967035E-13</v>
      </c>
      <c r="DR136" s="22">
        <f t="shared" si="124"/>
        <v>1.3525069634579169E-12</v>
      </c>
      <c r="DS136" s="62">
        <f t="shared" si="125"/>
        <v>293.33333333333468</v>
      </c>
      <c r="DT136" s="62">
        <f ca="1">AVERAGE(OFFSET($DS$3,0,0,'Données projet'!$E$14+1,1))-AVERAGE(OFFSET($H$3,0,0,'Données projet'!$E$14+1,1))</f>
        <v>288.82868507674738</v>
      </c>
      <c r="DU136" s="62">
        <f t="shared" si="152"/>
        <v>283.48738729114024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1.32759578356562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1.32759578356562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-5.6843418860808015E-14</v>
      </c>
      <c r="EK136" s="18">
        <f>EJ136*VLOOKUP('Données projet'!$B$15,Paramètres!$A$1:$I$89,3,0)*VLOOKUP('Données projet'!$B$15,Paramètres!$A$1:$I$89,5,0)</f>
        <v>-5.1431925385259088E-14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366.86025470473652</v>
      </c>
      <c r="EP136" s="62">
        <f t="shared" si="154"/>
        <v>513.80016421153414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1.3765635697094538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1.3765635697094538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371.7282125501186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10.332170661383875</v>
      </c>
      <c r="AA137" s="23">
        <f>EXP(-LN(2)/25)*AA136+(1-EXP(-LN(2)/25))/(LN(2)/25)*Calculateur!V137*Calculateur!X137*VLOOKUP('Données projet'!$B$9,Paramètres!$A$1:$I$89,3,0)*0.475*44/12</f>
        <v>2.4317727317207676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12.763943393104643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9.5769792096689348E-14</v>
      </c>
      <c r="AK137" s="14">
        <f t="shared" si="143"/>
        <v>1.4459910566979609E-12</v>
      </c>
      <c r="AL137" s="22">
        <f t="shared" si="112"/>
        <v>2.6852334783173491E-12</v>
      </c>
      <c r="AM137" s="62">
        <f t="shared" si="113"/>
        <v>293.33333333333599</v>
      </c>
      <c r="AN137" s="62">
        <f ca="1">AVERAGE(OFFSET($AM$3,0,0,'Données projet'!$E$10+1,1))-AVERAGE(OFFSET($H$3,0,0,'Données projet'!$E$10+1,1))</f>
        <v>348.82438445524105</v>
      </c>
      <c r="AO137" s="62">
        <f t="shared" si="144"/>
        <v>218.26721063098552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9.6196071674953316</v>
      </c>
      <c r="AV137" s="23">
        <f>EXP(-LN(2)/25)*AV136+(1-EXP(-LN(2)/25))/(LN(2)/25)*Calculateur!AQ137*Calculateur!AS137*VLOOKUP('Données projet'!$B$10,Paramètres!$A$1:$I$89,3,0)*0.475*44/12</f>
        <v>2.2640642674641667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11.883671434959499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-3.2514435588382188E-14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309.71642374647882</v>
      </c>
      <c r="BJ137" s="62">
        <f t="shared" si="146"/>
        <v>266.63880397664315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68.791474543707011</v>
      </c>
      <c r="BQ137" s="23">
        <f>EXP(-LN(2)/25)*BQ136+(1-EXP(-LN(2)/25))/(LN(2)/25)*Calculateur!BL137*Calculateur!BN137*VLOOKUP('Données projet'!$B$11,Paramètres!$A$1:$I$89,3,0)*0.475*44/12</f>
        <v>3.3010323058364959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72.092506849543511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1.0995790944434703E-13</v>
      </c>
      <c r="CA137" s="14">
        <f t="shared" si="147"/>
        <v>1.6337280948049956E-12</v>
      </c>
      <c r="CB137" s="22">
        <f t="shared" si="118"/>
        <v>3.036919790734272E-12</v>
      </c>
      <c r="CC137" s="62">
        <f t="shared" si="119"/>
        <v>293.33333333333633</v>
      </c>
      <c r="CD137" s="62">
        <f ca="1">AVERAGE(OFFSET($CC$3,0,0,'Données projet'!$E$12+1,1))-AVERAGE(OFFSET($H$3,0,0,'Données projet'!$E$12+1,1))</f>
        <v>394.59880827600006</v>
      </c>
      <c r="CE137" s="62">
        <f t="shared" si="148"/>
        <v>244.45149244446094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11.044734155272415</v>
      </c>
      <c r="CL137" s="23">
        <f>EXP(-LN(2)/25)*CL136+(1-EXP(-LN(2)/25))/(LN(2)/25)*Calculateur!CG137*Calculateur!CI137*VLOOKUP('Données projet'!$B$12,Paramètres!$A$1:$I$89,3,0)*0.475*44/12</f>
        <v>2.5994811959773729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13.644215351249787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4.5224624045658861E-14</v>
      </c>
      <c r="CV137" s="14">
        <f t="shared" si="149"/>
        <v>7.4514601661523691E-13</v>
      </c>
      <c r="CW137" s="22">
        <f t="shared" si="121"/>
        <v>1.3765621991510601E-12</v>
      </c>
      <c r="CX137" s="62">
        <f t="shared" si="122"/>
        <v>293.33333333333468</v>
      </c>
      <c r="CY137" s="62">
        <f ca="1">AVERAGE(OFFSET($CX$3,0,0,'Données projet'!$E$13+1,1))-AVERAGE(OFFSET($H$3,0,0,'Données projet'!$E$13+1,1))</f>
        <v>293.90975929253631</v>
      </c>
      <c r="CZ137" s="62">
        <f t="shared" si="150"/>
        <v>288.30197520356643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1.6363364071298176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1.6363364071298176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4.4337866711430253E-14</v>
      </c>
      <c r="DQ137" s="14">
        <f t="shared" si="151"/>
        <v>7.3222115536967035E-13</v>
      </c>
      <c r="DR137" s="22">
        <f t="shared" si="124"/>
        <v>1.3525069634579169E-12</v>
      </c>
      <c r="DS137" s="62">
        <f t="shared" si="125"/>
        <v>293.33333333333468</v>
      </c>
      <c r="DT137" s="62">
        <f ca="1">AVERAGE(OFFSET($DS$3,0,0,'Données projet'!$E$14+1,1))-AVERAGE(OFFSET($H$3,0,0,'Données projet'!$E$14+1,1))</f>
        <v>288.82868507674738</v>
      </c>
      <c r="DU137" s="62">
        <f t="shared" si="152"/>
        <v>283.48738729114024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1.3015624400033696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1.3015624400033696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-5.6843418860808015E-14</v>
      </c>
      <c r="EK137" s="18">
        <f>EJ137*VLOOKUP('Données projet'!$B$15,Paramètres!$A$1:$I$89,3,0)*VLOOKUP('Données projet'!$B$15,Paramètres!$A$1:$I$89,5,0)</f>
        <v>-5.1431925385259088E-14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366.86025470473652</v>
      </c>
      <c r="EP137" s="62">
        <f t="shared" si="154"/>
        <v>513.80016421153414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1.3495699977283233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1.3495699977283233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371.7282125501186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10.12956309671597</v>
      </c>
      <c r="AA138" s="23">
        <f>EXP(-LN(2)/25)*AA137+(1-EXP(-LN(2)/25))/(LN(2)/25)*Calculateur!V138*Calculateur!X138*VLOOKUP('Données projet'!$B$9,Paramètres!$A$1:$I$89,3,0)*0.475*44/12</f>
        <v>2.365275778490493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12.494838875206462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9.5769792096689348E-14</v>
      </c>
      <c r="AK138" s="14">
        <f t="shared" si="143"/>
        <v>1.4459910566979609E-12</v>
      </c>
      <c r="AL138" s="22">
        <f t="shared" si="112"/>
        <v>2.6852334783173491E-12</v>
      </c>
      <c r="AM138" s="62">
        <f t="shared" si="113"/>
        <v>293.33333333333599</v>
      </c>
      <c r="AN138" s="62">
        <f ca="1">AVERAGE(OFFSET($AM$3,0,0,'Données projet'!$E$10+1,1))-AVERAGE(OFFSET($H$3,0,0,'Données projet'!$E$10+1,1))</f>
        <v>348.82438445524105</v>
      </c>
      <c r="AO138" s="62">
        <f t="shared" si="144"/>
        <v>218.26721063098552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9.4309725383217646</v>
      </c>
      <c r="AV138" s="23">
        <f>EXP(-LN(2)/25)*AV137+(1-EXP(-LN(2)/25))/(LN(2)/25)*Calculateur!AQ138*Calculateur!AS138*VLOOKUP('Données projet'!$B$10,Paramètres!$A$1:$I$89,3,0)*0.475*44/12</f>
        <v>2.2021533110083937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11.633125849330158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-3.2514435588382188E-14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309.71642374647882</v>
      </c>
      <c r="BJ138" s="62">
        <f t="shared" si="146"/>
        <v>266.63880397664315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67.442515686561322</v>
      </c>
      <c r="BQ138" s="23">
        <f>EXP(-LN(2)/25)*BQ137+(1-EXP(-LN(2)/25))/(LN(2)/25)*Calculateur!BL138*Calculateur!BN138*VLOOKUP('Données projet'!$B$11,Paramètres!$A$1:$I$89,3,0)*0.475*44/12</f>
        <v>3.2107654038396527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70.653281090400981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1.0995790944434703E-13</v>
      </c>
      <c r="CA138" s="14">
        <f t="shared" si="147"/>
        <v>1.6337280948049956E-12</v>
      </c>
      <c r="CB138" s="22">
        <f t="shared" si="118"/>
        <v>3.036919790734272E-12</v>
      </c>
      <c r="CC138" s="62">
        <f t="shared" si="119"/>
        <v>293.33333333333633</v>
      </c>
      <c r="CD138" s="62">
        <f ca="1">AVERAGE(OFFSET($CC$3,0,0,'Données projet'!$E$12+1,1))-AVERAGE(OFFSET($H$3,0,0,'Données projet'!$E$12+1,1))</f>
        <v>394.59880827600006</v>
      </c>
      <c r="CE138" s="62">
        <f t="shared" si="148"/>
        <v>244.45149244446094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10.828153655110173</v>
      </c>
      <c r="CL138" s="23">
        <f>EXP(-LN(2)/25)*CL137+(1-EXP(-LN(2)/25))/(LN(2)/25)*Calculateur!CG138*Calculateur!CI138*VLOOKUP('Données projet'!$B$12,Paramètres!$A$1:$I$89,3,0)*0.475*44/12</f>
        <v>2.5283982459725967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13.356551901082769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4.5224624045658861E-14</v>
      </c>
      <c r="CV138" s="14">
        <f t="shared" si="149"/>
        <v>7.4514601661523691E-13</v>
      </c>
      <c r="CW138" s="22">
        <f t="shared" si="121"/>
        <v>1.3765621991510601E-12</v>
      </c>
      <c r="CX138" s="62">
        <f t="shared" si="122"/>
        <v>293.33333333333468</v>
      </c>
      <c r="CY138" s="62">
        <f ca="1">AVERAGE(OFFSET($CX$3,0,0,'Données projet'!$E$13+1,1))-AVERAGE(OFFSET($H$3,0,0,'Données projet'!$E$13+1,1))</f>
        <v>293.90975929253631</v>
      </c>
      <c r="CZ138" s="62">
        <f t="shared" si="150"/>
        <v>288.30197520356643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1.6042488482526593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1.6042488482526593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4.4337866711430253E-14</v>
      </c>
      <c r="DQ138" s="14">
        <f t="shared" si="151"/>
        <v>7.3222115536967035E-13</v>
      </c>
      <c r="DR138" s="22">
        <f t="shared" si="124"/>
        <v>1.3525069634579169E-12</v>
      </c>
      <c r="DS138" s="62">
        <f t="shared" si="125"/>
        <v>293.33333333333468</v>
      </c>
      <c r="DT138" s="62">
        <f ca="1">AVERAGE(OFFSET($DS$3,0,0,'Données projet'!$E$14+1,1))-AVERAGE(OFFSET($H$3,0,0,'Données projet'!$E$14+1,1))</f>
        <v>288.82868507674738</v>
      </c>
      <c r="DU138" s="62">
        <f t="shared" si="152"/>
        <v>283.48738729114024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1.2760395944296032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1.2760395944296032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-5.6843418860808015E-14</v>
      </c>
      <c r="EK138" s="18">
        <f>EJ138*VLOOKUP('Données projet'!$B$15,Paramètres!$A$1:$I$89,3,0)*VLOOKUP('Données projet'!$B$15,Paramètres!$A$1:$I$89,5,0)</f>
        <v>-5.1431925385259088E-14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366.86025470473652</v>
      </c>
      <c r="EP138" s="62">
        <f t="shared" si="154"/>
        <v>513.80016421153414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1.3231057532292896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1.3231057532292896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371.7282125501186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9.93092854281279</v>
      </c>
      <c r="AA139" s="23">
        <f>EXP(-LN(2)/25)*AA138+(1-EXP(-LN(2)/25))/(LN(2)/25)*Calculateur!V139*Calculateur!X139*VLOOKUP('Données projet'!$B$9,Paramètres!$A$1:$I$89,3,0)*0.475*44/12</f>
        <v>2.300597187943223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12.231525730756013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9.5769792096689348E-14</v>
      </c>
      <c r="AK139" s="14">
        <f t="shared" si="143"/>
        <v>1.4459910566979609E-12</v>
      </c>
      <c r="AL139" s="22">
        <f t="shared" si="112"/>
        <v>2.6852334783173491E-12</v>
      </c>
      <c r="AM139" s="62">
        <f t="shared" si="113"/>
        <v>293.33333333333599</v>
      </c>
      <c r="AN139" s="62">
        <f ca="1">AVERAGE(OFFSET($AM$3,0,0,'Données projet'!$E$10+1,1))-AVERAGE(OFFSET($H$3,0,0,'Données projet'!$E$10+1,1))</f>
        <v>348.82438445524105</v>
      </c>
      <c r="AO139" s="62">
        <f t="shared" si="144"/>
        <v>218.26721063098552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9.2460369191705283</v>
      </c>
      <c r="AV139" s="23">
        <f>EXP(-LN(2)/25)*AV138+(1-EXP(-LN(2)/25))/(LN(2)/25)*Calculateur!AQ139*Calculateur!AS139*VLOOKUP('Données projet'!$B$10,Paramètres!$A$1:$I$89,3,0)*0.475*44/12</f>
        <v>2.1419353129126595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11.387972232083188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-3.2514435588382188E-14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309.71642374647882</v>
      </c>
      <c r="BJ139" s="62">
        <f t="shared" si="146"/>
        <v>266.63880397664315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66.120009089820599</v>
      </c>
      <c r="BQ139" s="23">
        <f>EXP(-LN(2)/25)*BQ138+(1-EXP(-LN(2)/25))/(LN(2)/25)*Calculateur!BL139*Calculateur!BN139*VLOOKUP('Données projet'!$B$11,Paramètres!$A$1:$I$89,3,0)*0.475*44/12</f>
        <v>3.1229668550248433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69.24297594484544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1.0995790944434703E-13</v>
      </c>
      <c r="CA139" s="14">
        <f t="shared" si="147"/>
        <v>1.6337280948049956E-12</v>
      </c>
      <c r="CB139" s="22">
        <f t="shared" si="118"/>
        <v>3.036919790734272E-12</v>
      </c>
      <c r="CC139" s="62">
        <f t="shared" si="119"/>
        <v>293.33333333333633</v>
      </c>
      <c r="CD139" s="62">
        <f ca="1">AVERAGE(OFFSET($CC$3,0,0,'Données projet'!$E$12+1,1))-AVERAGE(OFFSET($H$3,0,0,'Données projet'!$E$12+1,1))</f>
        <v>394.59880827600006</v>
      </c>
      <c r="CE139" s="62">
        <f t="shared" si="148"/>
        <v>244.45149244446094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10.61582016645505</v>
      </c>
      <c r="CL139" s="23">
        <f>EXP(-LN(2)/25)*CL138+(1-EXP(-LN(2)/25))/(LN(2)/25)*Calculateur!CG139*Calculateur!CI139*VLOOKUP('Données projet'!$B$12,Paramètres!$A$1:$I$89,3,0)*0.475*44/12</f>
        <v>2.4592590629737909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13.075079229428841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4.5224624045658861E-14</v>
      </c>
      <c r="CV139" s="14">
        <f t="shared" si="149"/>
        <v>7.4514601661523691E-13</v>
      </c>
      <c r="CW139" s="22">
        <f t="shared" si="121"/>
        <v>1.3765621991510601E-12</v>
      </c>
      <c r="CX139" s="62">
        <f t="shared" si="122"/>
        <v>293.33333333333468</v>
      </c>
      <c r="CY139" s="62">
        <f ca="1">AVERAGE(OFFSET($CX$3,0,0,'Données projet'!$E$13+1,1))-AVERAGE(OFFSET($H$3,0,0,'Données projet'!$E$13+1,1))</f>
        <v>293.90975929253631</v>
      </c>
      <c r="CZ139" s="62">
        <f t="shared" si="150"/>
        <v>288.30197520356643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1.5727905068336037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1.5727905068336037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4.4337866711430253E-14</v>
      </c>
      <c r="DQ139" s="14">
        <f t="shared" si="151"/>
        <v>7.3222115536967035E-13</v>
      </c>
      <c r="DR139" s="22">
        <f t="shared" si="124"/>
        <v>1.3525069634579169E-12</v>
      </c>
      <c r="DS139" s="62">
        <f t="shared" si="125"/>
        <v>293.33333333333468</v>
      </c>
      <c r="DT139" s="62">
        <f ca="1">AVERAGE(OFFSET($DS$3,0,0,'Données projet'!$E$14+1,1))-AVERAGE(OFFSET($H$3,0,0,'Données projet'!$E$14+1,1))</f>
        <v>288.82868507674738</v>
      </c>
      <c r="DU139" s="62">
        <f t="shared" si="152"/>
        <v>283.48738729114024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1.2510172362901399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1.2510172362901399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-5.6843418860808015E-14</v>
      </c>
      <c r="EK139" s="18">
        <f>EJ139*VLOOKUP('Données projet'!$B$15,Paramètres!$A$1:$I$89,3,0)*VLOOKUP('Données projet'!$B$15,Paramètres!$A$1:$I$89,5,0)</f>
        <v>-5.1431925385259088E-14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366.86025470473652</v>
      </c>
      <c r="EP139" s="62">
        <f t="shared" si="154"/>
        <v>513.80016421153414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1.2971604564232866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1.2971604564232866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371.7282125501186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9.7361890913565361</v>
      </c>
      <c r="AA140" s="23">
        <f>EXP(-LN(2)/25)*AA139+(1-EXP(-LN(2)/25))/(LN(2)/25)*Calculateur!V140*Calculateur!X140*VLOOKUP('Données projet'!$B$9,Paramètres!$A$1:$I$89,3,0)*0.475*44/12</f>
        <v>2.2376872368557676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11.973876328212304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9.5769792096689348E-14</v>
      </c>
      <c r="AK140" s="14">
        <f t="shared" si="143"/>
        <v>1.4459910566979609E-12</v>
      </c>
      <c r="AL140" s="22">
        <f t="shared" si="112"/>
        <v>2.6852334783173491E-12</v>
      </c>
      <c r="AM140" s="62">
        <f t="shared" si="113"/>
        <v>293.33333333333599</v>
      </c>
      <c r="AN140" s="62">
        <f ca="1">AVERAGE(OFFSET($AM$3,0,0,'Données projet'!$E$10+1,1))-AVERAGE(OFFSET($H$3,0,0,'Données projet'!$E$10+1,1))</f>
        <v>348.82438445524105</v>
      </c>
      <c r="AO140" s="62">
        <f t="shared" si="144"/>
        <v>218.26721063098552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9.0647277747112582</v>
      </c>
      <c r="AV140" s="23">
        <f>EXP(-LN(2)/25)*AV139+(1-EXP(-LN(2)/25))/(LN(2)/25)*Calculateur!AQ140*Calculateur!AS140*VLOOKUP('Données projet'!$B$10,Paramètres!$A$1:$I$89,3,0)*0.475*44/12</f>
        <v>2.0833639791415801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11.148091753852839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-3.2514435588382188E-14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309.71642374647882</v>
      </c>
      <c r="BJ140" s="62">
        <f t="shared" si="146"/>
        <v>266.63880397664315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64.823436040792586</v>
      </c>
      <c r="BQ140" s="23">
        <f>EXP(-LN(2)/25)*BQ139+(1-EXP(-LN(2)/25))/(LN(2)/25)*Calculateur!BL140*Calculateur!BN140*VLOOKUP('Données projet'!$B$11,Paramètres!$A$1:$I$89,3,0)*0.475*44/12</f>
        <v>3.0375691621444996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67.861005202937079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1.0995790944434703E-13</v>
      </c>
      <c r="CA140" s="14">
        <f t="shared" si="147"/>
        <v>1.6337280948049956E-12</v>
      </c>
      <c r="CB140" s="22">
        <f t="shared" si="118"/>
        <v>3.036919790734272E-12</v>
      </c>
      <c r="CC140" s="62">
        <f t="shared" si="119"/>
        <v>293.33333333333633</v>
      </c>
      <c r="CD140" s="62">
        <f ca="1">AVERAGE(OFFSET($CC$3,0,0,'Données projet'!$E$12+1,1))-AVERAGE(OFFSET($H$3,0,0,'Données projet'!$E$12+1,1))</f>
        <v>394.59880827600006</v>
      </c>
      <c r="CE140" s="62">
        <f t="shared" si="148"/>
        <v>244.45149244446094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10.407650408001814</v>
      </c>
      <c r="CL140" s="23">
        <f>EXP(-LN(2)/25)*CL139+(1-EXP(-LN(2)/25))/(LN(2)/25)*Calculateur!CG140*Calculateur!CI140*VLOOKUP('Données projet'!$B$12,Paramètres!$A$1:$I$89,3,0)*0.475*44/12</f>
        <v>2.3920104945699592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12.799660902571773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4.5224624045658861E-14</v>
      </c>
      <c r="CV140" s="14">
        <f t="shared" si="149"/>
        <v>7.4514601661523691E-13</v>
      </c>
      <c r="CW140" s="22">
        <f t="shared" si="121"/>
        <v>1.3765621991510601E-12</v>
      </c>
      <c r="CX140" s="62">
        <f t="shared" si="122"/>
        <v>293.33333333333468</v>
      </c>
      <c r="CY140" s="62">
        <f ca="1">AVERAGE(OFFSET($CX$3,0,0,'Données projet'!$E$13+1,1))-AVERAGE(OFFSET($H$3,0,0,'Données projet'!$E$13+1,1))</f>
        <v>293.90975929253631</v>
      </c>
      <c r="CZ140" s="62">
        <f t="shared" si="150"/>
        <v>288.30197520356643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1.541949044302082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1.541949044302082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4.4337866711430253E-14</v>
      </c>
      <c r="DQ140" s="14">
        <f t="shared" si="151"/>
        <v>7.3222115536967035E-13</v>
      </c>
      <c r="DR140" s="22">
        <f t="shared" si="124"/>
        <v>1.3525069634579169E-12</v>
      </c>
      <c r="DS140" s="62">
        <f t="shared" si="125"/>
        <v>293.33333333333468</v>
      </c>
      <c r="DT140" s="62">
        <f ca="1">AVERAGE(OFFSET($DS$3,0,0,'Données projet'!$E$14+1,1))-AVERAGE(OFFSET($H$3,0,0,'Données projet'!$E$14+1,1))</f>
        <v>288.82868507674738</v>
      </c>
      <c r="DU140" s="62">
        <f t="shared" si="152"/>
        <v>283.48738729114024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1.2264855513316599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1.2264855513316599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-5.6843418860808015E-14</v>
      </c>
      <c r="EK140" s="18">
        <f>EJ140*VLOOKUP('Données projet'!$B$15,Paramètres!$A$1:$I$89,3,0)*VLOOKUP('Données projet'!$B$15,Paramètres!$A$1:$I$89,5,0)</f>
        <v>-5.1431925385259088E-14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366.86025470473652</v>
      </c>
      <c r="EP140" s="62">
        <f t="shared" si="154"/>
        <v>513.80016421153414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1.2717239310625807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1.2717239310625807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371.7282125501186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9.5452683617640037</v>
      </c>
      <c r="AA141" s="23">
        <f>EXP(-LN(2)/25)*AA140+(1-EXP(-LN(2)/25))/(LN(2)/25)*Calculateur!V141*Calculateur!X141*VLOOKUP('Données projet'!$B$9,Paramètres!$A$1:$I$89,3,0)*0.475*44/12</f>
        <v>2.1764975616890894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11.721765923453093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9.5769792096689348E-14</v>
      </c>
      <c r="AK141" s="14">
        <f t="shared" si="143"/>
        <v>1.4459910566979609E-12</v>
      </c>
      <c r="AL141" s="22">
        <f t="shared" si="112"/>
        <v>2.6852334783173491E-12</v>
      </c>
      <c r="AM141" s="62">
        <f t="shared" si="113"/>
        <v>293.33333333333599</v>
      </c>
      <c r="AN141" s="62">
        <f ca="1">AVERAGE(OFFSET($AM$3,0,0,'Données projet'!$E$10+1,1))-AVERAGE(OFFSET($H$3,0,0,'Données projet'!$E$10+1,1))</f>
        <v>348.82438445524105</v>
      </c>
      <c r="AO141" s="62">
        <f t="shared" si="144"/>
        <v>218.26721063098552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8.8869739919871762</v>
      </c>
      <c r="AV141" s="23">
        <f>EXP(-LN(2)/25)*AV140+(1-EXP(-LN(2)/25))/(LN(2)/25)*Calculateur!AQ141*Calculateur!AS141*VLOOKUP('Données projet'!$B$10,Paramètres!$A$1:$I$89,3,0)*0.475*44/12</f>
        <v>2.0263942815726037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10.913368273559779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-3.2514435588382188E-14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309.71642374647882</v>
      </c>
      <c r="BJ141" s="62">
        <f t="shared" si="146"/>
        <v>266.63880397664315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63.552287998424539</v>
      </c>
      <c r="BQ141" s="23">
        <f>EXP(-LN(2)/25)*BQ140+(1-EXP(-LN(2)/25))/(LN(2)/25)*Calculateur!BL141*Calculateur!BN141*VLOOKUP('Données projet'!$B$11,Paramètres!$A$1:$I$89,3,0)*0.475*44/12</f>
        <v>2.9545066736668386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66.506794672091374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1.0995790944434703E-13</v>
      </c>
      <c r="CA141" s="14">
        <f t="shared" si="147"/>
        <v>1.6337280948049956E-12</v>
      </c>
      <c r="CB141" s="22">
        <f t="shared" si="118"/>
        <v>3.036919790734272E-12</v>
      </c>
      <c r="CC141" s="62">
        <f t="shared" si="119"/>
        <v>293.33333333333633</v>
      </c>
      <c r="CD141" s="62">
        <f ca="1">AVERAGE(OFFSET($CC$3,0,0,'Données projet'!$E$12+1,1))-AVERAGE(OFFSET($H$3,0,0,'Données projet'!$E$12+1,1))</f>
        <v>394.59880827600006</v>
      </c>
      <c r="CE141" s="62">
        <f t="shared" si="148"/>
        <v>244.45149244446094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10.203562731540831</v>
      </c>
      <c r="CL141" s="23">
        <f>EXP(-LN(2)/25)*CL140+(1-EXP(-LN(2)/25))/(LN(2)/25)*Calculateur!CG141*Calculateur!CI141*VLOOKUP('Données projet'!$B$12,Paramètres!$A$1:$I$89,3,0)*0.475*44/12</f>
        <v>2.3266008418055786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12.53016357334641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4.5224624045658861E-14</v>
      </c>
      <c r="CV141" s="14">
        <f t="shared" si="149"/>
        <v>7.4514601661523691E-13</v>
      </c>
      <c r="CW141" s="22">
        <f t="shared" si="121"/>
        <v>1.3765621991510601E-12</v>
      </c>
      <c r="CX141" s="62">
        <f t="shared" si="122"/>
        <v>293.33333333333468</v>
      </c>
      <c r="CY141" s="62">
        <f ca="1">AVERAGE(OFFSET($CX$3,0,0,'Données projet'!$E$13+1,1))-AVERAGE(OFFSET($H$3,0,0,'Données projet'!$E$13+1,1))</f>
        <v>293.90975929253631</v>
      </c>
      <c r="CZ141" s="62">
        <f t="shared" si="150"/>
        <v>288.30197520356643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1.511712364039369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1.511712364039369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4.4337866711430253E-14</v>
      </c>
      <c r="DQ141" s="14">
        <f t="shared" si="151"/>
        <v>7.3222115536967035E-13</v>
      </c>
      <c r="DR141" s="22">
        <f t="shared" si="124"/>
        <v>1.3525069634579169E-12</v>
      </c>
      <c r="DS141" s="62">
        <f t="shared" si="125"/>
        <v>293.33333333333468</v>
      </c>
      <c r="DT141" s="62">
        <f ca="1">AVERAGE(OFFSET($DS$3,0,0,'Données projet'!$E$14+1,1))-AVERAGE(OFFSET($H$3,0,0,'Données projet'!$E$14+1,1))</f>
        <v>288.82868507674738</v>
      </c>
      <c r="DU141" s="62">
        <f t="shared" si="152"/>
        <v>283.48738729114024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1.2024349177523654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1.2024349177523654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-5.6843418860808015E-14</v>
      </c>
      <c r="EK141" s="18">
        <f>EJ141*VLOOKUP('Données projet'!$B$15,Paramètres!$A$1:$I$89,3,0)*VLOOKUP('Données projet'!$B$15,Paramètres!$A$1:$I$89,5,0)</f>
        <v>-5.1431925385259088E-14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366.86025470473652</v>
      </c>
      <c r="EP141" s="62">
        <f t="shared" si="154"/>
        <v>513.80016421153414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1.2467862004494499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1.2467862004494499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371.7282125501186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9.3580914712286329</v>
      </c>
      <c r="AA142" s="23">
        <f>EXP(-LN(2)/25)*AA141+(1-EXP(-LN(2)/25))/(LN(2)/25)*Calculateur!V142*Calculateur!X142*VLOOKUP('Données projet'!$B$9,Paramètres!$A$1:$I$89,3,0)*0.475*44/12</f>
        <v>2.1169811214076688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11.475072592636302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9.5769792096689348E-14</v>
      </c>
      <c r="AK142" s="14">
        <f t="shared" si="143"/>
        <v>1.4459910566979609E-12</v>
      </c>
      <c r="AL142" s="22">
        <f t="shared" si="112"/>
        <v>2.6852334783173491E-12</v>
      </c>
      <c r="AM142" s="62">
        <f t="shared" si="113"/>
        <v>293.33333333333599</v>
      </c>
      <c r="AN142" s="62">
        <f ca="1">AVERAGE(OFFSET($AM$3,0,0,'Données projet'!$E$10+1,1))-AVERAGE(OFFSET($H$3,0,0,'Données projet'!$E$10+1,1))</f>
        <v>348.82438445524105</v>
      </c>
      <c r="AO142" s="62">
        <f t="shared" si="144"/>
        <v>218.26721063098552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8.7127058525232108</v>
      </c>
      <c r="AV142" s="23">
        <f>EXP(-LN(2)/25)*AV141+(1-EXP(-LN(2)/25))/(LN(2)/25)*Calculateur!AQ142*Calculateur!AS142*VLOOKUP('Données projet'!$B$10,Paramètres!$A$1:$I$89,3,0)*0.475*44/12</f>
        <v>1.970982423379557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10.683688275902767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-3.2514435588382188E-14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309.71642374647882</v>
      </c>
      <c r="BJ142" s="62">
        <f t="shared" si="146"/>
        <v>266.63880397664315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62.306066393843579</v>
      </c>
      <c r="BQ142" s="23">
        <f>EXP(-LN(2)/25)*BQ141+(1-EXP(-LN(2)/25))/(LN(2)/25)*Calculateur!BL142*Calculateur!BN142*VLOOKUP('Données projet'!$B$11,Paramètres!$A$1:$I$89,3,0)*0.475*44/12</f>
        <v>2.8737155333046656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65.179781927148241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1.0995790944434703E-13</v>
      </c>
      <c r="CA142" s="14">
        <f t="shared" si="147"/>
        <v>1.6337280948049956E-12</v>
      </c>
      <c r="CB142" s="22">
        <f t="shared" si="118"/>
        <v>3.036919790734272E-12</v>
      </c>
      <c r="CC142" s="62">
        <f t="shared" si="119"/>
        <v>293.33333333333633</v>
      </c>
      <c r="CD142" s="62">
        <f ca="1">AVERAGE(OFFSET($CC$3,0,0,'Données projet'!$E$12+1,1))-AVERAGE(OFFSET($H$3,0,0,'Données projet'!$E$12+1,1))</f>
        <v>394.59880827600006</v>
      </c>
      <c r="CE142" s="62">
        <f t="shared" si="148"/>
        <v>244.45149244446094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10.003477089934057</v>
      </c>
      <c r="CL142" s="23">
        <f>EXP(-LN(2)/25)*CL141+(1-EXP(-LN(2)/25))/(LN(2)/25)*Calculateur!CG142*Calculateur!CI142*VLOOKUP('Données projet'!$B$12,Paramètres!$A$1:$I$89,3,0)*0.475*44/12</f>
        <v>2.2629798194357842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12.266456909369841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4.5224624045658861E-14</v>
      </c>
      <c r="CV142" s="14">
        <f t="shared" si="149"/>
        <v>7.4514601661523691E-13</v>
      </c>
      <c r="CW142" s="22">
        <f t="shared" si="121"/>
        <v>1.3765621991510601E-12</v>
      </c>
      <c r="CX142" s="62">
        <f t="shared" si="122"/>
        <v>293.33333333333468</v>
      </c>
      <c r="CY142" s="62">
        <f ca="1">AVERAGE(OFFSET($CX$3,0,0,'Données projet'!$E$13+1,1))-AVERAGE(OFFSET($H$3,0,0,'Données projet'!$E$13+1,1))</f>
        <v>293.90975929253631</v>
      </c>
      <c r="CZ142" s="62">
        <f t="shared" si="150"/>
        <v>288.30197520356643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1.4820686066340538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1.4820686066340538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4.4337866711430253E-14</v>
      </c>
      <c r="DQ142" s="14">
        <f t="shared" si="151"/>
        <v>7.3222115536967035E-13</v>
      </c>
      <c r="DR142" s="22">
        <f t="shared" si="124"/>
        <v>1.3525069634579169E-12</v>
      </c>
      <c r="DS142" s="62">
        <f t="shared" si="125"/>
        <v>293.33333333333468</v>
      </c>
      <c r="DT142" s="62">
        <f ca="1">AVERAGE(OFFSET($DS$3,0,0,'Données projet'!$E$14+1,1))-AVERAGE(OFFSET($H$3,0,0,'Données projet'!$E$14+1,1))</f>
        <v>288.82868507674738</v>
      </c>
      <c r="DU142" s="62">
        <f t="shared" si="152"/>
        <v>283.48738729114024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1.1788559024281229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1.1788559024281229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-5.6843418860808015E-14</v>
      </c>
      <c r="EK142" s="18">
        <f>EJ142*VLOOKUP('Données projet'!$B$15,Paramètres!$A$1:$I$89,3,0)*VLOOKUP('Données projet'!$B$15,Paramètres!$A$1:$I$89,5,0)</f>
        <v>-5.1431925385259088E-14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366.86025470473652</v>
      </c>
      <c r="EP142" s="62">
        <f t="shared" si="154"/>
        <v>513.80016421153414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1.2223374835231289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1.2223374835231289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371.7282125501186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9.174585005350032</v>
      </c>
      <c r="AA143" s="23">
        <f>EXP(-LN(2)/25)*AA142+(1-EXP(-LN(2)/25))/(LN(2)/25)*Calculateur!V143*Calculateur!X143*VLOOKUP('Données projet'!$B$9,Paramètres!$A$1:$I$89,3,0)*0.475*44/12</f>
        <v>2.0590921613155775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11.233677166665609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9.5769792096689348E-14</v>
      </c>
      <c r="AK143" s="14">
        <f t="shared" si="143"/>
        <v>1.4459910566979609E-12</v>
      </c>
      <c r="AL143" s="22">
        <f t="shared" si="112"/>
        <v>2.6852334783173491E-12</v>
      </c>
      <c r="AM143" s="62">
        <f t="shared" si="113"/>
        <v>293.33333333333599</v>
      </c>
      <c r="AN143" s="62">
        <f ca="1">AVERAGE(OFFSET($AM$3,0,0,'Données projet'!$E$10+1,1))-AVERAGE(OFFSET($H$3,0,0,'Données projet'!$E$10+1,1))</f>
        <v>348.82438445524105</v>
      </c>
      <c r="AO143" s="62">
        <f t="shared" si="144"/>
        <v>218.26721063098552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8.5418550049810644</v>
      </c>
      <c r="AV143" s="23">
        <f>EXP(-LN(2)/25)*AV142+(1-EXP(-LN(2)/25))/(LN(2)/25)*Calculateur!AQ143*Calculateur!AS143*VLOOKUP('Données projet'!$B$10,Paramètres!$A$1:$I$89,3,0)*0.475*44/12</f>
        <v>1.9170858053627822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10.458940810343847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-3.2514435588382188E-14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309.71642374647882</v>
      </c>
      <c r="BJ143" s="62">
        <f t="shared" si="146"/>
        <v>266.63880397664315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61.08428243480833</v>
      </c>
      <c r="BQ143" s="23">
        <f>EXP(-LN(2)/25)*BQ142+(1-EXP(-LN(2)/25))/(LN(2)/25)*Calculateur!BL143*Calculateur!BN143*VLOOKUP('Données projet'!$B$11,Paramètres!$A$1:$I$89,3,0)*0.475*44/12</f>
        <v>2.7951336309243175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63.879416065732649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1.0995790944434703E-13</v>
      </c>
      <c r="CA143" s="14">
        <f t="shared" si="147"/>
        <v>1.6337280948049956E-12</v>
      </c>
      <c r="CB143" s="22">
        <f t="shared" si="118"/>
        <v>3.036919790734272E-12</v>
      </c>
      <c r="CC143" s="62">
        <f t="shared" si="119"/>
        <v>293.33333333333633</v>
      </c>
      <c r="CD143" s="62">
        <f ca="1">AVERAGE(OFFSET($CC$3,0,0,'Données projet'!$E$12+1,1))-AVERAGE(OFFSET($H$3,0,0,'Données projet'!$E$12+1,1))</f>
        <v>394.59880827600006</v>
      </c>
      <c r="CE143" s="62">
        <f t="shared" si="148"/>
        <v>244.45149244446094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9.8073150057189995</v>
      </c>
      <c r="CL143" s="23">
        <f>EXP(-LN(2)/25)*CL142+(1-EXP(-LN(2)/25))/(LN(2)/25)*Calculateur!CG143*Calculateur!CI143*VLOOKUP('Données projet'!$B$12,Paramètres!$A$1:$I$89,3,0)*0.475*44/12</f>
        <v>2.2010985172683761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12.008413522987375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4.5224624045658861E-14</v>
      </c>
      <c r="CV143" s="14">
        <f t="shared" si="149"/>
        <v>7.4514601661523691E-13</v>
      </c>
      <c r="CW143" s="22">
        <f t="shared" si="121"/>
        <v>1.3765621991510601E-12</v>
      </c>
      <c r="CX143" s="62">
        <f t="shared" si="122"/>
        <v>293.33333333333468</v>
      </c>
      <c r="CY143" s="62">
        <f ca="1">AVERAGE(OFFSET($CX$3,0,0,'Données projet'!$E$13+1,1))-AVERAGE(OFFSET($H$3,0,0,'Données projet'!$E$13+1,1))</f>
        <v>293.90975929253631</v>
      </c>
      <c r="CZ143" s="62">
        <f t="shared" si="150"/>
        <v>288.30197520356643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1.4530061452305503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1.4530061452305503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4.4337866711430253E-14</v>
      </c>
      <c r="DQ143" s="14">
        <f t="shared" si="151"/>
        <v>7.3222115536967035E-13</v>
      </c>
      <c r="DR143" s="22">
        <f t="shared" si="124"/>
        <v>1.3525069634579169E-12</v>
      </c>
      <c r="DS143" s="62">
        <f t="shared" si="125"/>
        <v>293.33333333333468</v>
      </c>
      <c r="DT143" s="62">
        <f ca="1">AVERAGE(OFFSET($DS$3,0,0,'Données projet'!$E$14+1,1))-AVERAGE(OFFSET($H$3,0,0,'Données projet'!$E$14+1,1))</f>
        <v>288.82868507674738</v>
      </c>
      <c r="DU143" s="62">
        <f t="shared" si="152"/>
        <v>283.48738729114024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1.1557392572126095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1.1557392572126095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-5.6843418860808015E-14</v>
      </c>
      <c r="EK143" s="18">
        <f>EJ143*VLOOKUP('Données projet'!$B$15,Paramètres!$A$1:$I$89,3,0)*VLOOKUP('Données projet'!$B$15,Paramètres!$A$1:$I$89,5,0)</f>
        <v>-5.1431925385259088E-14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366.86025470473652</v>
      </c>
      <c r="EP143" s="62">
        <f t="shared" si="154"/>
        <v>513.80016421153414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1.198368191023488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1.198368191023488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371.7282125501186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8.9946769893394176</v>
      </c>
      <c r="AA144" s="23">
        <f>EXP(-LN(2)/25)*AA143+(1-EXP(-LN(2)/25))/(LN(2)/25)*Calculateur!V144*Calculateur!X144*VLOOKUP('Données projet'!$B$9,Paramètres!$A$1:$I$89,3,0)*0.475*44/12</f>
        <v>2.0027861778814522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10.99746316722087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9.5769792096689348E-14</v>
      </c>
      <c r="AK144" s="14">
        <f t="shared" si="143"/>
        <v>1.4459910566979609E-12</v>
      </c>
      <c r="AL144" s="22">
        <f t="shared" si="112"/>
        <v>2.6852334783173491E-12</v>
      </c>
      <c r="AM144" s="62">
        <f t="shared" si="113"/>
        <v>293.33333333333599</v>
      </c>
      <c r="AN144" s="62">
        <f ca="1">AVERAGE(OFFSET($AM$3,0,0,'Données projet'!$E$10+1,1))-AVERAGE(OFFSET($H$3,0,0,'Données projet'!$E$10+1,1))</f>
        <v>348.82438445524105</v>
      </c>
      <c r="AO144" s="62">
        <f t="shared" si="144"/>
        <v>218.26721063098552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8.3743544383504922</v>
      </c>
      <c r="AV144" s="23">
        <f>EXP(-LN(2)/25)*AV143+(1-EXP(-LN(2)/25))/(LN(2)/25)*Calculateur!AQ144*Calculateur!AS144*VLOOKUP('Données projet'!$B$10,Paramètres!$A$1:$I$89,3,0)*0.475*44/12</f>
        <v>1.8646629931999759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10.239017431550469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-3.2514435588382188E-14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309.71642374647882</v>
      </c>
      <c r="BJ144" s="62">
        <f t="shared" si="146"/>
        <v>266.63880397664315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59.886456913995126</v>
      </c>
      <c r="BQ144" s="23">
        <f>EXP(-LN(2)/25)*BQ143+(1-EXP(-LN(2)/25))/(LN(2)/25)*Calculateur!BL144*Calculateur!BN144*VLOOKUP('Données projet'!$B$11,Paramètres!$A$1:$I$89,3,0)*0.475*44/12</f>
        <v>2.7187005547970027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62.605157468792129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1.0995790944434703E-13</v>
      </c>
      <c r="CA144" s="14">
        <f t="shared" si="147"/>
        <v>1.6337280948049956E-12</v>
      </c>
      <c r="CB144" s="22">
        <f t="shared" si="118"/>
        <v>3.036919790734272E-12</v>
      </c>
      <c r="CC144" s="62">
        <f t="shared" si="119"/>
        <v>293.33333333333633</v>
      </c>
      <c r="CD144" s="62">
        <f ca="1">AVERAGE(OFFSET($CC$3,0,0,'Données projet'!$E$12+1,1))-AVERAGE(OFFSET($H$3,0,0,'Données projet'!$E$12+1,1))</f>
        <v>394.59880827600006</v>
      </c>
      <c r="CE144" s="62">
        <f t="shared" si="148"/>
        <v>244.45149244446094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9.614999540328343</v>
      </c>
      <c r="CL144" s="23">
        <f>EXP(-LN(2)/25)*CL143+(1-EXP(-LN(2)/25))/(LN(2)/25)*Calculateur!CG144*Calculateur!CI144*VLOOKUP('Données projet'!$B$12,Paramètres!$A$1:$I$89,3,0)*0.475*44/12</f>
        <v>2.1409093625629319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11.755908902891274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4.5224624045658861E-14</v>
      </c>
      <c r="CV144" s="14">
        <f t="shared" si="149"/>
        <v>7.4514601661523691E-13</v>
      </c>
      <c r="CW144" s="22">
        <f t="shared" si="121"/>
        <v>1.3765621991510601E-12</v>
      </c>
      <c r="CX144" s="62">
        <f t="shared" si="122"/>
        <v>293.33333333333468</v>
      </c>
      <c r="CY144" s="62">
        <f ca="1">AVERAGE(OFFSET($CX$3,0,0,'Données projet'!$E$13+1,1))-AVERAGE(OFFSET($H$3,0,0,'Données projet'!$E$13+1,1))</f>
        <v>293.90975929253631</v>
      </c>
      <c r="CZ144" s="62">
        <f t="shared" si="150"/>
        <v>288.30197520356643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1.4245135809688183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1.4245135809688183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4.4337866711430253E-14</v>
      </c>
      <c r="DQ144" s="14">
        <f t="shared" si="151"/>
        <v>7.3222115536967035E-13</v>
      </c>
      <c r="DR144" s="22">
        <f t="shared" si="124"/>
        <v>1.3525069634579169E-12</v>
      </c>
      <c r="DS144" s="62">
        <f t="shared" si="125"/>
        <v>293.33333333333468</v>
      </c>
      <c r="DT144" s="62">
        <f ca="1">AVERAGE(OFFSET($DS$3,0,0,'Données projet'!$E$14+1,1))-AVERAGE(OFFSET($H$3,0,0,'Données projet'!$E$14+1,1))</f>
        <v>288.82868507674738</v>
      </c>
      <c r="DU144" s="62">
        <f t="shared" si="152"/>
        <v>283.48738729114024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1.133075915310011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1.133075915310011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-5.6843418860808015E-14</v>
      </c>
      <c r="EK144" s="18">
        <f>EJ144*VLOOKUP('Données projet'!$B$15,Paramètres!$A$1:$I$89,3,0)*VLOOKUP('Données projet'!$B$15,Paramètres!$A$1:$I$89,5,0)</f>
        <v>-5.1431925385259088E-14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366.86025470473652</v>
      </c>
      <c r="EP144" s="62">
        <f t="shared" si="154"/>
        <v>513.80016421153414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1.1748689217299404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1.1748689217299404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371.7282125501186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8.8182968597897169</v>
      </c>
      <c r="AA145" s="23">
        <f>EXP(-LN(2)/25)*AA144+(1-EXP(-LN(2)/25))/(LN(2)/25)*Calculateur!V145*Calculateur!X145*VLOOKUP('Données projet'!$B$9,Paramètres!$A$1:$I$89,3,0)*0.475*44/12</f>
        <v>1.9480198845253363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10.766316744315054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9.5769792096689348E-14</v>
      </c>
      <c r="AK145" s="14">
        <f t="shared" si="143"/>
        <v>1.4459910566979609E-12</v>
      </c>
      <c r="AL145" s="22">
        <f t="shared" si="112"/>
        <v>2.6852334783173491E-12</v>
      </c>
      <c r="AM145" s="62">
        <f t="shared" si="113"/>
        <v>293.33333333333599</v>
      </c>
      <c r="AN145" s="62">
        <f ca="1">AVERAGE(OFFSET($AM$3,0,0,'Données projet'!$E$10+1,1))-AVERAGE(OFFSET($H$3,0,0,'Données projet'!$E$10+1,1))</f>
        <v>348.82438445524105</v>
      </c>
      <c r="AO145" s="62">
        <f t="shared" si="144"/>
        <v>218.26721063098552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8.2101384556662875</v>
      </c>
      <c r="AV145" s="23">
        <f>EXP(-LN(2)/25)*AV144+(1-EXP(-LN(2)/25))/(LN(2)/25)*Calculateur!AQ145*Calculateur!AS145*VLOOKUP('Données projet'!$B$10,Paramètres!$A$1:$I$89,3,0)*0.475*44/12</f>
        <v>1.8136736855925575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10.023812141258844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-3.2514435588382188E-14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309.71642374647882</v>
      </c>
      <c r="BJ145" s="62">
        <f t="shared" si="146"/>
        <v>266.63880397664315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58.712120021043646</v>
      </c>
      <c r="BQ145" s="23">
        <f>EXP(-LN(2)/25)*BQ144+(1-EXP(-LN(2)/25))/(LN(2)/25)*Calculateur!BL145*Calculateur!BN145*VLOOKUP('Données projet'!$B$11,Paramètres!$A$1:$I$89,3,0)*0.475*44/12</f>
        <v>2.6443575451558301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61.356477566199473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1.0995790944434703E-13</v>
      </c>
      <c r="CA145" s="14">
        <f t="shared" si="147"/>
        <v>1.6337280948049956E-12</v>
      </c>
      <c r="CB145" s="22">
        <f t="shared" si="118"/>
        <v>3.036919790734272E-12</v>
      </c>
      <c r="CC145" s="62">
        <f t="shared" si="119"/>
        <v>293.33333333333633</v>
      </c>
      <c r="CD145" s="62">
        <f ca="1">AVERAGE(OFFSET($CC$3,0,0,'Données projet'!$E$12+1,1))-AVERAGE(OFFSET($H$3,0,0,'Données projet'!$E$12+1,1))</f>
        <v>394.59880827600006</v>
      </c>
      <c r="CE145" s="62">
        <f t="shared" si="148"/>
        <v>244.45149244446094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9.4264552639131463</v>
      </c>
      <c r="CL145" s="23">
        <f>EXP(-LN(2)/25)*CL144+(1-EXP(-LN(2)/25))/(LN(2)/25)*Calculateur!CG145*Calculateur!CI145*VLOOKUP('Données projet'!$B$12,Paramètres!$A$1:$I$89,3,0)*0.475*44/12</f>
        <v>2.0823660834581181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11.508821347371263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4.5224624045658861E-14</v>
      </c>
      <c r="CV145" s="14">
        <f t="shared" si="149"/>
        <v>7.4514601661523691E-13</v>
      </c>
      <c r="CW145" s="22">
        <f t="shared" si="121"/>
        <v>1.3765621991510601E-12</v>
      </c>
      <c r="CX145" s="62">
        <f t="shared" si="122"/>
        <v>293.33333333333468</v>
      </c>
      <c r="CY145" s="62">
        <f ca="1">AVERAGE(OFFSET($CX$3,0,0,'Données projet'!$E$13+1,1))-AVERAGE(OFFSET($H$3,0,0,'Données projet'!$E$13+1,1))</f>
        <v>293.90975929253631</v>
      </c>
      <c r="CZ145" s="62">
        <f t="shared" si="150"/>
        <v>288.30197520356643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1.3965797385135106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1.3965797385135106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4.4337866711430253E-14</v>
      </c>
      <c r="DQ145" s="14">
        <f t="shared" si="151"/>
        <v>7.3222115536967035E-13</v>
      </c>
      <c r="DR145" s="22">
        <f t="shared" si="124"/>
        <v>1.3525069634579169E-12</v>
      </c>
      <c r="DS145" s="62">
        <f t="shared" si="125"/>
        <v>293.33333333333468</v>
      </c>
      <c r="DT145" s="62">
        <f ca="1">AVERAGE(OFFSET($DS$3,0,0,'Données projet'!$E$14+1,1))-AVERAGE(OFFSET($H$3,0,0,'Données projet'!$E$14+1,1))</f>
        <v>288.82868507674738</v>
      </c>
      <c r="DU145" s="62">
        <f t="shared" si="152"/>
        <v>283.48738729114024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1.1108569877188488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1.1108569877188488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-5.6843418860808015E-14</v>
      </c>
      <c r="EK145" s="18">
        <f>EJ145*VLOOKUP('Données projet'!$B$15,Paramètres!$A$1:$I$89,3,0)*VLOOKUP('Données projet'!$B$15,Paramètres!$A$1:$I$89,5,0)</f>
        <v>-5.1431925385259088E-14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366.86025470473652</v>
      </c>
      <c r="EP145" s="62">
        <f t="shared" si="154"/>
        <v>513.80016421153414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1.1518304587741002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1.1518304587741002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371.7282125501186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8.6453754369992293</v>
      </c>
      <c r="AA146" s="23">
        <f>EXP(-LN(2)/25)*AA145+(1-EXP(-LN(2)/25))/(LN(2)/25)*Calculateur!V146*Calculateur!X146*VLOOKUP('Données projet'!$B$9,Paramètres!$A$1:$I$89,3,0)*0.475*44/12</f>
        <v>1.8947511783410775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10.540126615340307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9.5769792096689348E-14</v>
      </c>
      <c r="AK146" s="14">
        <f t="shared" si="143"/>
        <v>1.4459910566979609E-12</v>
      </c>
      <c r="AL146" s="22">
        <f t="shared" si="112"/>
        <v>2.6852334783173491E-12</v>
      </c>
      <c r="AM146" s="62">
        <f t="shared" si="113"/>
        <v>293.33333333333599</v>
      </c>
      <c r="AN146" s="62">
        <f ca="1">AVERAGE(OFFSET($AM$3,0,0,'Données projet'!$E$10+1,1))-AVERAGE(OFFSET($H$3,0,0,'Données projet'!$E$10+1,1))</f>
        <v>348.82438445524105</v>
      </c>
      <c r="AO146" s="62">
        <f t="shared" si="144"/>
        <v>218.26721063098552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8.0491426482406609</v>
      </c>
      <c r="AV146" s="23">
        <f>EXP(-LN(2)/25)*AV145+(1-EXP(-LN(2)/25))/(LN(2)/25)*Calculateur!AQ146*Calculateur!AS146*VLOOKUP('Données projet'!$B$10,Paramètres!$A$1:$I$89,3,0)*0.475*44/12</f>
        <v>1.764078683283075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9.8132213315237351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-3.2514435588382188E-14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309.71642374647882</v>
      </c>
      <c r="BJ146" s="62">
        <f t="shared" si="146"/>
        <v>266.63880397664315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57.560811158288161</v>
      </c>
      <c r="BQ146" s="23">
        <f>EXP(-LN(2)/25)*BQ145+(1-EXP(-LN(2)/25))/(LN(2)/25)*Calculateur!BL146*Calculateur!BN146*VLOOKUP('Données projet'!$B$11,Paramètres!$A$1:$I$89,3,0)*0.475*44/12</f>
        <v>2.5720474490228242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60.132858607310986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1.0995790944434703E-13</v>
      </c>
      <c r="CA146" s="14">
        <f t="shared" si="147"/>
        <v>1.6337280948049956E-12</v>
      </c>
      <c r="CB146" s="22">
        <f t="shared" si="118"/>
        <v>3.036919790734272E-12</v>
      </c>
      <c r="CC146" s="62">
        <f t="shared" si="119"/>
        <v>293.33333333333633</v>
      </c>
      <c r="CD146" s="62">
        <f ca="1">AVERAGE(OFFSET($CC$3,0,0,'Données projet'!$E$12+1,1))-AVERAGE(OFFSET($H$3,0,0,'Données projet'!$E$12+1,1))</f>
        <v>394.59880827600006</v>
      </c>
      <c r="CE146" s="62">
        <f t="shared" si="148"/>
        <v>244.45149244446094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9.2416082257577976</v>
      </c>
      <c r="CL146" s="23">
        <f>EXP(-LN(2)/25)*CL145+(1-EXP(-LN(2)/25))/(LN(2)/25)*Calculateur!CG146*Calculateur!CI146*VLOOKUP('Données projet'!$B$12,Paramètres!$A$1:$I$89,3,0)*0.475*44/12</f>
        <v>2.0254236733990827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11.26703189915688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4.5224624045658861E-14</v>
      </c>
      <c r="CV146" s="14">
        <f t="shared" si="149"/>
        <v>7.4514601661523691E-13</v>
      </c>
      <c r="CW146" s="22">
        <f t="shared" si="121"/>
        <v>1.3765621991510601E-12</v>
      </c>
      <c r="CX146" s="62">
        <f t="shared" si="122"/>
        <v>293.33333333333468</v>
      </c>
      <c r="CY146" s="62">
        <f ca="1">AVERAGE(OFFSET($CX$3,0,0,'Données projet'!$E$13+1,1))-AVERAGE(OFFSET($H$3,0,0,'Données projet'!$E$13+1,1))</f>
        <v>293.90975929253631</v>
      </c>
      <c r="CZ146" s="62">
        <f t="shared" si="150"/>
        <v>288.30197520356643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1.36919366167079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1.36919366167079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4.4337866711430253E-14</v>
      </c>
      <c r="DQ146" s="14">
        <f t="shared" si="151"/>
        <v>7.3222115536967035E-13</v>
      </c>
      <c r="DR146" s="22">
        <f t="shared" si="124"/>
        <v>1.3525069634579169E-12</v>
      </c>
      <c r="DS146" s="62">
        <f t="shared" si="125"/>
        <v>293.33333333333468</v>
      </c>
      <c r="DT146" s="62">
        <f ca="1">AVERAGE(OFFSET($DS$3,0,0,'Données projet'!$E$14+1,1))-AVERAGE(OFFSET($H$3,0,0,'Données projet'!$E$14+1,1))</f>
        <v>288.82868507674738</v>
      </c>
      <c r="DU146" s="62">
        <f t="shared" si="152"/>
        <v>283.48738729114024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1.0890737597455415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1.0890737597455415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-5.6843418860808015E-14</v>
      </c>
      <c r="EK146" s="18">
        <f>EJ146*VLOOKUP('Données projet'!$B$15,Paramètres!$A$1:$I$89,3,0)*VLOOKUP('Données projet'!$B$15,Paramètres!$A$1:$I$89,5,0)</f>
        <v>-5.1431925385259088E-14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366.86025470473652</v>
      </c>
      <c r="EP146" s="62">
        <f t="shared" si="154"/>
        <v>513.80016421153414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1.1292437660247492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1.1292437660247492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371.7282125501186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8.4758448978380105</v>
      </c>
      <c r="AA147" s="23">
        <f>EXP(-LN(2)/25)*AA146+(1-EXP(-LN(2)/25))/(LN(2)/25)*Calculateur!V147*Calculateur!X147*VLOOKUP('Données projet'!$B$9,Paramètres!$A$1:$I$89,3,0)*0.475*44/12</f>
        <v>1.8429391077287067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10.318784005566718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9.5769792096689348E-14</v>
      </c>
      <c r="AK147" s="14">
        <f t="shared" si="143"/>
        <v>1.4459910566979609E-12</v>
      </c>
      <c r="AL147" s="22">
        <f t="shared" si="112"/>
        <v>2.6852334783173491E-12</v>
      </c>
      <c r="AM147" s="62">
        <f t="shared" si="113"/>
        <v>293.33333333333599</v>
      </c>
      <c r="AN147" s="62">
        <f ca="1">AVERAGE(OFFSET($AM$3,0,0,'Données projet'!$E$10+1,1))-AVERAGE(OFFSET($H$3,0,0,'Données projet'!$E$10+1,1))</f>
        <v>348.82438445524105</v>
      </c>
      <c r="AO147" s="62">
        <f t="shared" si="144"/>
        <v>218.26721063098552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7.8913038704009049</v>
      </c>
      <c r="AV147" s="23">
        <f>EXP(-LN(2)/25)*AV146+(1-EXP(-LN(2)/25))/(LN(2)/25)*Calculateur!AQ147*Calculateur!AS147*VLOOKUP('Données projet'!$B$10,Paramètres!$A$1:$I$89,3,0)*0.475*44/12</f>
        <v>1.7158398589198331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9.6071437293207378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-3.2514435588382188E-14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309.71642374647882</v>
      </c>
      <c r="BJ147" s="62">
        <f t="shared" si="146"/>
        <v>266.63880397664315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56.43207876010225</v>
      </c>
      <c r="BQ147" s="23">
        <f>EXP(-LN(2)/25)*BQ146+(1-EXP(-LN(2)/25))/(LN(2)/25)*Calculateur!BL147*Calculateur!BN147*VLOOKUP('Données projet'!$B$11,Paramètres!$A$1:$I$89,3,0)*0.475*44/12</f>
        <v>2.5017146762711984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58.933793436373449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1.0995790944434703E-13</v>
      </c>
      <c r="CA147" s="14">
        <f t="shared" si="147"/>
        <v>1.6337280948049956E-12</v>
      </c>
      <c r="CB147" s="22">
        <f t="shared" si="118"/>
        <v>3.036919790734272E-12</v>
      </c>
      <c r="CC147" s="62">
        <f t="shared" si="119"/>
        <v>293.33333333333633</v>
      </c>
      <c r="CD147" s="62">
        <f ca="1">AVERAGE(OFFSET($CC$3,0,0,'Données projet'!$E$12+1,1))-AVERAGE(OFFSET($H$3,0,0,'Données projet'!$E$12+1,1))</f>
        <v>394.59880827600006</v>
      </c>
      <c r="CE147" s="62">
        <f t="shared" si="148"/>
        <v>244.45149244446094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9.0603859252751153</v>
      </c>
      <c r="CL147" s="23">
        <f>EXP(-LN(2)/25)*CL146+(1-EXP(-LN(2)/25))/(LN(2)/25)*Calculateur!CG147*Calculateur!CI147*VLOOKUP('Données projet'!$B$12,Paramètres!$A$1:$I$89,3,0)*0.475*44/12</f>
        <v>1.970038356537583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11.030424281812698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4.5224624045658861E-14</v>
      </c>
      <c r="CV147" s="14">
        <f t="shared" si="149"/>
        <v>7.4514601661523691E-13</v>
      </c>
      <c r="CW147" s="22">
        <f t="shared" si="121"/>
        <v>1.3765621991510601E-12</v>
      </c>
      <c r="CX147" s="62">
        <f t="shared" si="122"/>
        <v>293.33333333333468</v>
      </c>
      <c r="CY147" s="62">
        <f ca="1">AVERAGE(OFFSET($CX$3,0,0,'Données projet'!$E$13+1,1))-AVERAGE(OFFSET($H$3,0,0,'Données projet'!$E$13+1,1))</f>
        <v>293.90975929253631</v>
      </c>
      <c r="CZ147" s="62">
        <f t="shared" si="150"/>
        <v>288.30197520356643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1.3423446090910978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1.3423446090910978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4.4337866711430253E-14</v>
      </c>
      <c r="DQ147" s="14">
        <f t="shared" si="151"/>
        <v>7.3222115536967035E-13</v>
      </c>
      <c r="DR147" s="22">
        <f t="shared" si="124"/>
        <v>1.3525069634579169E-12</v>
      </c>
      <c r="DS147" s="62">
        <f t="shared" si="125"/>
        <v>293.33333333333468</v>
      </c>
      <c r="DT147" s="62">
        <f ca="1">AVERAGE(OFFSET($DS$3,0,0,'Données projet'!$E$14+1,1))-AVERAGE(OFFSET($H$3,0,0,'Données projet'!$E$14+1,1))</f>
        <v>288.82868507674738</v>
      </c>
      <c r="DU147" s="62">
        <f t="shared" si="152"/>
        <v>283.48738729114024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1.0677176875863337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1.0677176875863337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-5.6843418860808015E-14</v>
      </c>
      <c r="EK147" s="18">
        <f>EJ147*VLOOKUP('Données projet'!$B$15,Paramètres!$A$1:$I$89,3,0)*VLOOKUP('Données projet'!$B$15,Paramètres!$A$1:$I$89,5,0)</f>
        <v>-5.1431925385259088E-14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366.86025470473652</v>
      </c>
      <c r="EP147" s="62">
        <f t="shared" si="154"/>
        <v>513.80016421153414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1.1070999845436906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1.1070999845436906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371.7282125501186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8.3096387491463233</v>
      </c>
      <c r="AA148" s="23">
        <f>EXP(-LN(2)/25)*AA147+(1-EXP(-LN(2)/25))/(LN(2)/25)*Calculateur!V148*Calculateur!X148*VLOOKUP('Données projet'!$B$9,Paramètres!$A$1:$I$89,3,0)*0.475*44/12</f>
        <v>1.7925438409119097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10.102182590058232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9.5769792096689348E-14</v>
      </c>
      <c r="AK148" s="14">
        <f t="shared" si="143"/>
        <v>1.4459910566979609E-12</v>
      </c>
      <c r="AL148" s="22">
        <f t="shared" si="112"/>
        <v>2.6852334783173491E-12</v>
      </c>
      <c r="AM148" s="62">
        <f t="shared" si="113"/>
        <v>293.33333333333599</v>
      </c>
      <c r="AN148" s="62">
        <f ca="1">AVERAGE(OFFSET($AM$3,0,0,'Données projet'!$E$10+1,1))-AVERAGE(OFFSET($H$3,0,0,'Données projet'!$E$10+1,1))</f>
        <v>348.82438445524105</v>
      </c>
      <c r="AO148" s="62">
        <f t="shared" si="144"/>
        <v>218.26721063098552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7.7365602147224379</v>
      </c>
      <c r="AV148" s="23">
        <f>EXP(-LN(2)/25)*AV147+(1-EXP(-LN(2)/25))/(LN(2)/25)*Calculateur!AQ148*Calculateur!AS148*VLOOKUP('Données projet'!$B$10,Paramètres!$A$1:$I$89,3,0)*0.475*44/12</f>
        <v>1.6689201277455736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9.405480342468012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-3.2514435588382188E-14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309.71642374647882</v>
      </c>
      <c r="BJ148" s="62">
        <f t="shared" si="146"/>
        <v>266.63880397664315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55.325480115785979</v>
      </c>
      <c r="BQ148" s="23">
        <f>EXP(-LN(2)/25)*BQ147+(1-EXP(-LN(2)/25))/(LN(2)/25)*Calculateur!BL148*Calculateur!BN148*VLOOKUP('Données projet'!$B$11,Paramètres!$A$1:$I$89,3,0)*0.475*44/12</f>
        <v>2.4333051568891055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57.758785272675084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1.0995790944434703E-13</v>
      </c>
      <c r="CA148" s="14">
        <f t="shared" si="147"/>
        <v>1.6337280948049956E-12</v>
      </c>
      <c r="CB148" s="22">
        <f t="shared" si="118"/>
        <v>3.036919790734272E-12</v>
      </c>
      <c r="CC148" s="62">
        <f t="shared" si="119"/>
        <v>293.33333333333633</v>
      </c>
      <c r="CD148" s="62">
        <f ca="1">AVERAGE(OFFSET($CC$3,0,0,'Données projet'!$E$12+1,1))-AVERAGE(OFFSET($H$3,0,0,'Données projet'!$E$12+1,1))</f>
        <v>394.59880827600006</v>
      </c>
      <c r="CE148" s="62">
        <f t="shared" si="148"/>
        <v>244.45149244446094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8.8827172835702086</v>
      </c>
      <c r="CL148" s="23">
        <f>EXP(-LN(2)/25)*CL147+(1-EXP(-LN(2)/25))/(LN(2)/25)*Calculateur!CG148*Calculateur!CI148*VLOOKUP('Données projet'!$B$12,Paramètres!$A$1:$I$89,3,0)*0.475*44/12</f>
        <v>1.9161675540782481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10.798884837648457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4.5224624045658861E-14</v>
      </c>
      <c r="CV148" s="14">
        <f t="shared" si="149"/>
        <v>7.4514601661523691E-13</v>
      </c>
      <c r="CW148" s="22">
        <f t="shared" si="121"/>
        <v>1.3765621991510601E-12</v>
      </c>
      <c r="CX148" s="62">
        <f t="shared" si="122"/>
        <v>293.33333333333468</v>
      </c>
      <c r="CY148" s="62">
        <f ca="1">AVERAGE(OFFSET($CX$3,0,0,'Données projet'!$E$13+1,1))-AVERAGE(OFFSET($H$3,0,0,'Données projet'!$E$13+1,1))</f>
        <v>293.90975929253631</v>
      </c>
      <c r="CZ148" s="62">
        <f t="shared" si="150"/>
        <v>288.30197520356643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1.3160220500561881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1.3160220500561881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4.4337866711430253E-14</v>
      </c>
      <c r="DQ148" s="14">
        <f t="shared" si="151"/>
        <v>7.3222115536967035E-13</v>
      </c>
      <c r="DR148" s="22">
        <f t="shared" si="124"/>
        <v>1.3525069634579169E-12</v>
      </c>
      <c r="DS148" s="62">
        <f t="shared" si="125"/>
        <v>293.33333333333468</v>
      </c>
      <c r="DT148" s="62">
        <f ca="1">AVERAGE(OFFSET($DS$3,0,0,'Données projet'!$E$14+1,1))-AVERAGE(OFFSET($H$3,0,0,'Données projet'!$E$14+1,1))</f>
        <v>288.82868507674738</v>
      </c>
      <c r="DU148" s="62">
        <f t="shared" si="152"/>
        <v>283.48738729114024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1.0467803949762502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1.0467803949762502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-5.6843418860808015E-14</v>
      </c>
      <c r="EK148" s="18">
        <f>EJ148*VLOOKUP('Données projet'!$B$15,Paramètres!$A$1:$I$89,3,0)*VLOOKUP('Données projet'!$B$15,Paramètres!$A$1:$I$89,5,0)</f>
        <v>-5.1431925385259088E-14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366.86025470473652</v>
      </c>
      <c r="EP148" s="62">
        <f t="shared" si="154"/>
        <v>513.80016421153414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1.0853904291111025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1.0853904291111025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371.7282125501186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8.1466918016547396</v>
      </c>
      <c r="AA149" s="23">
        <f>EXP(-LN(2)/25)*AA148+(1-EXP(-LN(2)/25))/(LN(2)/25)*Calculateur!V149*Calculateur!X149*VLOOKUP('Données projet'!$B$9,Paramètres!$A$1:$I$89,3,0)*0.475*44/12</f>
        <v>1.7435266353163899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9.8902184369711286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9.5769792096689348E-14</v>
      </c>
      <c r="AK149" s="14">
        <f t="shared" si="143"/>
        <v>1.4459910566979609E-12</v>
      </c>
      <c r="AL149" s="22">
        <f t="shared" si="112"/>
        <v>2.6852334783173491E-12</v>
      </c>
      <c r="AM149" s="62">
        <f t="shared" si="113"/>
        <v>293.33333333333599</v>
      </c>
      <c r="AN149" s="62">
        <f ca="1">AVERAGE(OFFSET($AM$3,0,0,'Données projet'!$E$10+1,1))-AVERAGE(OFFSET($H$3,0,0,'Données projet'!$E$10+1,1))</f>
        <v>348.82438445524105</v>
      </c>
      <c r="AO149" s="62">
        <f t="shared" si="144"/>
        <v>218.26721063098552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7.5848509877475152</v>
      </c>
      <c r="AV149" s="23">
        <f>EXP(-LN(2)/25)*AV148+(1-EXP(-LN(2)/25))/(LN(2)/25)*Calculateur!AQ149*Calculateur!AS149*VLOOKUP('Données projet'!$B$10,Paramètres!$A$1:$I$89,3,0)*0.475*44/12</f>
        <v>1.6232834190876757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9.2081344068351907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-3.2514435588382188E-14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309.71642374647882</v>
      </c>
      <c r="BJ149" s="62">
        <f t="shared" si="146"/>
        <v>266.63880397664315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54.240581195926225</v>
      </c>
      <c r="BQ149" s="23">
        <f>EXP(-LN(2)/25)*BQ148+(1-EXP(-LN(2)/25))/(LN(2)/25)*Calculateur!BL149*Calculateur!BN149*VLOOKUP('Données projet'!$B$11,Paramètres!$A$1:$I$89,3,0)*0.475*44/12</f>
        <v>2.3667662994120162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56.607347495338239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1.0995790944434703E-13</v>
      </c>
      <c r="CA149" s="14">
        <f t="shared" si="147"/>
        <v>1.6337280948049956E-12</v>
      </c>
      <c r="CB149" s="22">
        <f t="shared" si="118"/>
        <v>3.036919790734272E-12</v>
      </c>
      <c r="CC149" s="62">
        <f t="shared" si="119"/>
        <v>293.33333333333633</v>
      </c>
      <c r="CD149" s="62">
        <f ca="1">AVERAGE(OFFSET($CC$3,0,0,'Données projet'!$E$12+1,1))-AVERAGE(OFFSET($H$3,0,0,'Données projet'!$E$12+1,1))</f>
        <v>394.59880827600006</v>
      </c>
      <c r="CE149" s="62">
        <f t="shared" si="148"/>
        <v>244.45149244446094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8.708532615561964</v>
      </c>
      <c r="CL149" s="23">
        <f>EXP(-LN(2)/25)*CL148+(1-EXP(-LN(2)/25))/(LN(2)/25)*Calculateur!CG149*Calculateur!CI149*VLOOKUP('Données projet'!$B$12,Paramètres!$A$1:$I$89,3,0)*0.475*44/12</f>
        <v>1.8637698515451062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10.57230246710707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4.5224624045658861E-14</v>
      </c>
      <c r="CV149" s="14">
        <f t="shared" si="149"/>
        <v>7.4514601661523691E-13</v>
      </c>
      <c r="CW149" s="22">
        <f t="shared" si="121"/>
        <v>1.3765621991510601E-12</v>
      </c>
      <c r="CX149" s="62">
        <f t="shared" si="122"/>
        <v>293.33333333333468</v>
      </c>
      <c r="CY149" s="62">
        <f ca="1">AVERAGE(OFFSET($CX$3,0,0,'Données projet'!$E$13+1,1))-AVERAGE(OFFSET($H$3,0,0,'Données projet'!$E$13+1,1))</f>
        <v>293.90975929253631</v>
      </c>
      <c r="CZ149" s="62">
        <f t="shared" si="150"/>
        <v>288.30197520356643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1.2902156603487773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1.2902156603487773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4.4337866711430253E-14</v>
      </c>
      <c r="DQ149" s="14">
        <f t="shared" si="151"/>
        <v>7.3222115536967035E-13</v>
      </c>
      <c r="DR149" s="22">
        <f t="shared" si="124"/>
        <v>1.3525069634579169E-12</v>
      </c>
      <c r="DS149" s="62">
        <f t="shared" si="125"/>
        <v>293.33333333333468</v>
      </c>
      <c r="DT149" s="62">
        <f ca="1">AVERAGE(OFFSET($DS$3,0,0,'Données projet'!$E$14+1,1))-AVERAGE(OFFSET($H$3,0,0,'Données projet'!$E$14+1,1))</f>
        <v>288.82868507674738</v>
      </c>
      <c r="DU149" s="62">
        <f t="shared" si="152"/>
        <v>283.48738729114024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1.026253669903763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1.026253669903763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-5.6843418860808015E-14</v>
      </c>
      <c r="EK149" s="18">
        <f>EJ149*VLOOKUP('Données projet'!$B$15,Paramètres!$A$1:$I$89,3,0)*VLOOKUP('Données projet'!$B$15,Paramètres!$A$1:$I$89,5,0)</f>
        <v>-5.1431925385259088E-14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366.86025470473652</v>
      </c>
      <c r="EP149" s="62">
        <f t="shared" si="154"/>
        <v>513.80016421153414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1.0641065848190263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1.0641065848190263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371.7282125501186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7.9869401444156418</v>
      </c>
      <c r="AA150" s="23">
        <f>EXP(-LN(2)/25)*AA149+(1-EXP(-LN(2)/25))/(LN(2)/25)*Calculateur!V150*Calculateur!X150*VLOOKUP('Données projet'!$B$9,Paramètres!$A$1:$I$89,3,0)*0.475*44/12</f>
        <v>1.6958498077855824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9.6827899522012242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9.5769792096689348E-14</v>
      </c>
      <c r="AK150" s="14">
        <f t="shared" si="143"/>
        <v>1.4459910566979609E-12</v>
      </c>
      <c r="AL150" s="22">
        <f t="shared" si="112"/>
        <v>2.6852334783173491E-12</v>
      </c>
      <c r="AM150" s="62">
        <f t="shared" si="113"/>
        <v>293.33333333333599</v>
      </c>
      <c r="AN150" s="62">
        <f ca="1">AVERAGE(OFFSET($AM$3,0,0,'Données projet'!$E$10+1,1))-AVERAGE(OFFSET($H$3,0,0,'Données projet'!$E$10+1,1))</f>
        <v>348.82438445524105</v>
      </c>
      <c r="AO150" s="62">
        <f t="shared" si="144"/>
        <v>218.26721063098552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7.4361166861800791</v>
      </c>
      <c r="AV150" s="23">
        <f>EXP(-LN(2)/25)*AV149+(1-EXP(-LN(2)/25))/(LN(2)/25)*Calculateur!AQ150*Calculateur!AS150*VLOOKUP('Données projet'!$B$10,Paramètres!$A$1:$I$89,3,0)*0.475*44/12</f>
        <v>1.5788946486279583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9.0150113348080367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-3.2514435588382188E-14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309.71642374647882</v>
      </c>
      <c r="BJ150" s="62">
        <f t="shared" si="146"/>
        <v>266.63880397664315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53.17695648216192</v>
      </c>
      <c r="BQ150" s="23">
        <f>EXP(-LN(2)/25)*BQ149+(1-EXP(-LN(2)/25))/(LN(2)/25)*Calculateur!BL150*Calculateur!BN150*VLOOKUP('Données projet'!$B$11,Paramètres!$A$1:$I$89,3,0)*0.475*44/12</f>
        <v>2.3020469504917642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55.479003432653684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1.0995790944434703E-13</v>
      </c>
      <c r="CA150" s="14">
        <f t="shared" si="147"/>
        <v>1.6337280948049956E-12</v>
      </c>
      <c r="CB150" s="22">
        <f t="shared" si="118"/>
        <v>3.036919790734272E-12</v>
      </c>
      <c r="CC150" s="62">
        <f t="shared" si="119"/>
        <v>293.33333333333633</v>
      </c>
      <c r="CD150" s="62">
        <f ca="1">AVERAGE(OFFSET($CC$3,0,0,'Données projet'!$E$12+1,1))-AVERAGE(OFFSET($H$3,0,0,'Données projet'!$E$12+1,1))</f>
        <v>394.59880827600006</v>
      </c>
      <c r="CE150" s="62">
        <f t="shared" si="148"/>
        <v>244.45149244446094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8.5377636026512054</v>
      </c>
      <c r="CL150" s="23">
        <f>EXP(-LN(2)/25)*CL149+(1-EXP(-LN(2)/25))/(LN(2)/25)*Calculateur!CG150*Calculateur!CI150*VLOOKUP('Données projet'!$B$12,Paramètres!$A$1:$I$89,3,0)*0.475*44/12</f>
        <v>1.8128049669432085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10.350568569594413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4.5224624045658861E-14</v>
      </c>
      <c r="CV150" s="14">
        <f t="shared" si="149"/>
        <v>7.4514601661523691E-13</v>
      </c>
      <c r="CW150" s="22">
        <f t="shared" si="121"/>
        <v>1.3765621991510601E-12</v>
      </c>
      <c r="CX150" s="62">
        <f t="shared" si="122"/>
        <v>293.33333333333468</v>
      </c>
      <c r="CY150" s="62">
        <f ca="1">AVERAGE(OFFSET($CX$3,0,0,'Données projet'!$E$13+1,1))-AVERAGE(OFFSET($H$3,0,0,'Données projet'!$E$13+1,1))</f>
        <v>293.90975929253631</v>
      </c>
      <c r="CZ150" s="62">
        <f t="shared" si="150"/>
        <v>288.30197520356643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1.2649153182031854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1.2649153182031854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4.4337866711430253E-14</v>
      </c>
      <c r="DQ150" s="14">
        <f t="shared" si="151"/>
        <v>7.3222115536967035E-13</v>
      </c>
      <c r="DR150" s="22">
        <f t="shared" si="124"/>
        <v>1.3525069634579169E-12</v>
      </c>
      <c r="DS150" s="62">
        <f t="shared" si="125"/>
        <v>293.33333333333468</v>
      </c>
      <c r="DT150" s="62">
        <f ca="1">AVERAGE(OFFSET($DS$3,0,0,'Données projet'!$E$14+1,1))-AVERAGE(OFFSET($H$3,0,0,'Données projet'!$E$14+1,1))</f>
        <v>288.82868507674738</v>
      </c>
      <c r="DU150" s="62">
        <f t="shared" si="152"/>
        <v>283.48738729114024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1.006129461389881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1.006129461389881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-5.6843418860808015E-14</v>
      </c>
      <c r="EK150" s="18">
        <f>EJ150*VLOOKUP('Données projet'!$B$15,Paramètres!$A$1:$I$89,3,0)*VLOOKUP('Données projet'!$B$15,Paramètres!$A$1:$I$89,5,0)</f>
        <v>-5.1431925385259088E-14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366.86025470473652</v>
      </c>
      <c r="EP150" s="62">
        <f t="shared" si="154"/>
        <v>513.80016421153414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1.0432401037316545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1.0432401037316545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371.7282125501186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7.8303211197361131</v>
      </c>
      <c r="AA151" s="23">
        <f>EXP(-LN(2)/25)*AA150+(1-EXP(-LN(2)/25))/(LN(2)/25)*Calculateur!V151*Calculateur!X151*VLOOKUP('Données projet'!$B$9,Paramètres!$A$1:$I$89,3,0)*0.475*44/12</f>
        <v>1.6494767056108202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9.4797978253469335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9.5769792096689348E-14</v>
      </c>
      <c r="AK151" s="14">
        <f t="shared" si="143"/>
        <v>1.4459910566979609E-12</v>
      </c>
      <c r="AL151" s="22">
        <f t="shared" si="112"/>
        <v>2.6852334783173491E-12</v>
      </c>
      <c r="AM151" s="62">
        <f t="shared" si="113"/>
        <v>293.33333333333599</v>
      </c>
      <c r="AN151" s="62">
        <f ca="1">AVERAGE(OFFSET($AM$3,0,0,'Données projet'!$E$10+1,1))-AVERAGE(OFFSET($H$3,0,0,'Données projet'!$E$10+1,1))</f>
        <v>348.82438445524105</v>
      </c>
      <c r="AO151" s="62">
        <f t="shared" si="144"/>
        <v>218.26721063098552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7.2902989735474151</v>
      </c>
      <c r="AV151" s="23">
        <f>EXP(-LN(2)/25)*AV150+(1-EXP(-LN(2)/25))/(LN(2)/25)*Calculateur!AQ151*Calculateur!AS151*VLOOKUP('Données projet'!$B$10,Paramètres!$A$1:$I$89,3,0)*0.475*44/12</f>
        <v>1.5357196914307658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8.8260186649781804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-3.2514435588382188E-14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309.71642374647882</v>
      </c>
      <c r="BJ151" s="62">
        <f t="shared" si="146"/>
        <v>266.63880397664315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52.134188800287511</v>
      </c>
      <c r="BQ151" s="23">
        <f>EXP(-LN(2)/25)*BQ150+(1-EXP(-LN(2)/25))/(LN(2)/25)*Calculateur!BL151*Calculateur!BN151*VLOOKUP('Données projet'!$B$11,Paramètres!$A$1:$I$89,3,0)*0.475*44/12</f>
        <v>2.2390973555711793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54.373286155858693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1.0995790944434703E-13</v>
      </c>
      <c r="CA151" s="14">
        <f t="shared" si="147"/>
        <v>1.6337280948049956E-12</v>
      </c>
      <c r="CB151" s="22">
        <f t="shared" si="118"/>
        <v>3.036919790734272E-12</v>
      </c>
      <c r="CC151" s="62">
        <f t="shared" si="119"/>
        <v>293.33333333333633</v>
      </c>
      <c r="CD151" s="62">
        <f ca="1">AVERAGE(OFFSET($CC$3,0,0,'Données projet'!$E$12+1,1))-AVERAGE(OFFSET($H$3,0,0,'Données projet'!$E$12+1,1))</f>
        <v>394.59880827600006</v>
      </c>
      <c r="CE151" s="62">
        <f t="shared" si="148"/>
        <v>244.45149244446094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8.3703432659248129</v>
      </c>
      <c r="CL151" s="23">
        <f>EXP(-LN(2)/25)*CL150+(1-EXP(-LN(2)/25))/(LN(2)/25)*Calculateur!CG151*Calculateur!CI151*VLOOKUP('Données projet'!$B$12,Paramètres!$A$1:$I$89,3,0)*0.475*44/12</f>
        <v>1.7632337197908765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10.13357698571569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4.5224624045658861E-14</v>
      </c>
      <c r="CV151" s="14">
        <f t="shared" si="149"/>
        <v>7.4514601661523691E-13</v>
      </c>
      <c r="CW151" s="22">
        <f t="shared" si="121"/>
        <v>1.3765621991510601E-12</v>
      </c>
      <c r="CX151" s="62">
        <f t="shared" si="122"/>
        <v>293.33333333333468</v>
      </c>
      <c r="CY151" s="62">
        <f ca="1">AVERAGE(OFFSET($CX$3,0,0,'Données projet'!$E$13+1,1))-AVERAGE(OFFSET($H$3,0,0,'Données projet'!$E$13+1,1))</f>
        <v>293.90975929253631</v>
      </c>
      <c r="CZ151" s="62">
        <f t="shared" si="150"/>
        <v>288.30197520356643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1.2401111003353835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1.2401111003353835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4.4337866711430253E-14</v>
      </c>
      <c r="DQ151" s="14">
        <f t="shared" si="151"/>
        <v>7.3222115536967035E-13</v>
      </c>
      <c r="DR151" s="22">
        <f t="shared" si="124"/>
        <v>1.3525069634579169E-12</v>
      </c>
      <c r="DS151" s="62">
        <f t="shared" si="125"/>
        <v>293.33333333333468</v>
      </c>
      <c r="DT151" s="62">
        <f ca="1">AVERAGE(OFFSET($DS$3,0,0,'Données projet'!$E$14+1,1))-AVERAGE(OFFSET($H$3,0,0,'Données projet'!$E$14+1,1))</f>
        <v>288.82868507674738</v>
      </c>
      <c r="DU151" s="62">
        <f t="shared" si="152"/>
        <v>283.48738729114024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0.98639987633040116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0.98639987633040116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-5.6843418860808015E-14</v>
      </c>
      <c r="EK151" s="18">
        <f>EJ151*VLOOKUP('Données projet'!$B$15,Paramètres!$A$1:$I$89,3,0)*VLOOKUP('Données projet'!$B$15,Paramètres!$A$1:$I$89,5,0)</f>
        <v>-5.1431925385259088E-14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366.86025470473652</v>
      </c>
      <c r="EP151" s="62">
        <f t="shared" si="154"/>
        <v>513.80016421153414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1.0227828016111093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1.0227828016111093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371.7282125501186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7.6767732986023773</v>
      </c>
      <c r="AA152" s="23">
        <f>EXP(-LN(2)/25)*AA151+(1-EXP(-LN(2)/25))/(LN(2)/25)*Calculateur!V152*Calculateur!X152*VLOOKUP('Données projet'!$B$9,Paramètres!$A$1:$I$89,3,0)*0.475*44/12</f>
        <v>1.6043716783536823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9.2811449769560603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9.5769792096689348E-14</v>
      </c>
      <c r="AK152" s="14">
        <f t="shared" si="143"/>
        <v>1.4459910566979609E-12</v>
      </c>
      <c r="AL152" s="22">
        <f t="shared" si="112"/>
        <v>2.6852334783173491E-12</v>
      </c>
      <c r="AM152" s="62">
        <f t="shared" si="113"/>
        <v>293.33333333333599</v>
      </c>
      <c r="AN152" s="62">
        <f ca="1">AVERAGE(OFFSET($AM$3,0,0,'Données projet'!$E$10+1,1))-AVERAGE(OFFSET($H$3,0,0,'Données projet'!$E$10+1,1))</f>
        <v>348.82438445524105</v>
      </c>
      <c r="AO152" s="62">
        <f t="shared" si="144"/>
        <v>218.26721063098552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7.1473406573194547</v>
      </c>
      <c r="AV152" s="23">
        <f>EXP(-LN(2)/25)*AV151+(1-EXP(-LN(2)/25))/(LN(2)/25)*Calculateur!AQ152*Calculateur!AS152*VLOOKUP('Données projet'!$B$10,Paramètres!$A$1:$I$89,3,0)*0.475*44/12</f>
        <v>1.493725355708603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8.6410660130280572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-3.2514435588382188E-14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309.71642374647882</v>
      </c>
      <c r="BJ152" s="62">
        <f t="shared" si="146"/>
        <v>266.63880397664315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51.111869156629176</v>
      </c>
      <c r="BQ152" s="23">
        <f>EXP(-LN(2)/25)*BQ151+(1-EXP(-LN(2)/25))/(LN(2)/25)*Calculateur!BL152*Calculateur!BN152*VLOOKUP('Données projet'!$B$11,Paramètres!$A$1:$I$89,3,0)*0.475*44/12</f>
        <v>2.1778691206340728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53.289738277263247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1.0995790944434703E-13</v>
      </c>
      <c r="CA152" s="14">
        <f t="shared" si="147"/>
        <v>1.6337280948049956E-12</v>
      </c>
      <c r="CB152" s="22">
        <f t="shared" si="118"/>
        <v>3.036919790734272E-12</v>
      </c>
      <c r="CC152" s="62">
        <f t="shared" si="119"/>
        <v>293.33333333333633</v>
      </c>
      <c r="CD152" s="62">
        <f ca="1">AVERAGE(OFFSET($CC$3,0,0,'Données projet'!$E$12+1,1))-AVERAGE(OFFSET($H$3,0,0,'Données projet'!$E$12+1,1))</f>
        <v>394.59880827600006</v>
      </c>
      <c r="CE152" s="62">
        <f t="shared" si="148"/>
        <v>244.45149244446094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8.2062059398853027</v>
      </c>
      <c r="CL152" s="23">
        <f>EXP(-LN(2)/25)*CL151+(1-EXP(-LN(2)/25))/(LN(2)/25)*Calculateur!CG152*Calculateur!CI152*VLOOKUP('Données projet'!$B$12,Paramètres!$A$1:$I$89,3,0)*0.475*44/12</f>
        <v>1.7150180009987637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9.921223940884067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4.5224624045658861E-14</v>
      </c>
      <c r="CV152" s="14">
        <f t="shared" si="149"/>
        <v>7.4514601661523691E-13</v>
      </c>
      <c r="CW152" s="22">
        <f t="shared" si="121"/>
        <v>1.3765621991510601E-12</v>
      </c>
      <c r="CX152" s="62">
        <f t="shared" si="122"/>
        <v>293.33333333333468</v>
      </c>
      <c r="CY152" s="62">
        <f ca="1">AVERAGE(OFFSET($CX$3,0,0,'Données projet'!$E$13+1,1))-AVERAGE(OFFSET($H$3,0,0,'Données projet'!$E$13+1,1))</f>
        <v>293.90975929253631</v>
      </c>
      <c r="CZ152" s="62">
        <f t="shared" si="150"/>
        <v>288.30197520356643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1.2157932780508902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1.2157932780508902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4.4337866711430253E-14</v>
      </c>
      <c r="DQ152" s="14">
        <f t="shared" si="151"/>
        <v>7.3222115536967035E-13</v>
      </c>
      <c r="DR152" s="22">
        <f t="shared" si="124"/>
        <v>1.3525069634579169E-12</v>
      </c>
      <c r="DS152" s="62">
        <f t="shared" si="125"/>
        <v>293.33333333333468</v>
      </c>
      <c r="DT152" s="62">
        <f ca="1">AVERAGE(OFFSET($DS$3,0,0,'Données projet'!$E$14+1,1))-AVERAGE(OFFSET($H$3,0,0,'Données projet'!$E$14+1,1))</f>
        <v>288.82868507674738</v>
      </c>
      <c r="DU152" s="62">
        <f t="shared" si="152"/>
        <v>283.48738729114024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0.96705717640007904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0.96705717640007904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-5.6843418860808015E-14</v>
      </c>
      <c r="EK152" s="18">
        <f>EJ152*VLOOKUP('Données projet'!$B$15,Paramètres!$A$1:$I$89,3,0)*VLOOKUP('Données projet'!$B$15,Paramètres!$A$1:$I$89,5,0)</f>
        <v>-5.1431925385259088E-14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366.86025470473652</v>
      </c>
      <c r="EP152" s="62">
        <f t="shared" si="154"/>
        <v>513.80016421153414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1.0027266547074258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1.0027266547074258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371.7282125501186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7.526236456586151</v>
      </c>
      <c r="AA153" s="23">
        <f>EXP(-LN(2)/25)*AA152+(1-EXP(-LN(2)/25))/(LN(2)/25)*Calculateur!V153*Calculateur!X153*VLOOKUP('Données projet'!$B$9,Paramètres!$A$1:$I$89,3,0)*0.475*44/12</f>
        <v>1.5605000504388611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9.0867365070250123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9.5769792096689348E-14</v>
      </c>
      <c r="AK153" s="14">
        <f t="shared" si="143"/>
        <v>1.4459910566979609E-12</v>
      </c>
      <c r="AL153" s="22">
        <f t="shared" si="112"/>
        <v>2.6852334783173491E-12</v>
      </c>
      <c r="AM153" s="62">
        <f t="shared" si="113"/>
        <v>293.33333333333599</v>
      </c>
      <c r="AN153" s="62">
        <f ca="1">AVERAGE(OFFSET($AM$3,0,0,'Données projet'!$E$10+1,1))-AVERAGE(OFFSET($H$3,0,0,'Données projet'!$E$10+1,1))</f>
        <v>348.82438445524105</v>
      </c>
      <c r="AO153" s="62">
        <f t="shared" si="144"/>
        <v>218.26721063098552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7.0071856664767616</v>
      </c>
      <c r="AV153" s="23">
        <f>EXP(-LN(2)/25)*AV152+(1-EXP(-LN(2)/25))/(LN(2)/25)*Calculateur!AQ153*Calculateur!AS153*VLOOKUP('Données projet'!$B$10,Paramètres!$A$1:$I$89,3,0)*0.475*44/12</f>
        <v>1.4528793573051488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8.4600650237819099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-3.2514435588382188E-14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309.71642374647882</v>
      </c>
      <c r="BJ153" s="62">
        <f t="shared" si="146"/>
        <v>266.63880397664315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50.109596577629574</v>
      </c>
      <c r="BQ153" s="23">
        <f>EXP(-LN(2)/25)*BQ152+(1-EXP(-LN(2)/25))/(LN(2)/25)*Calculateur!BL153*Calculateur!BN153*VLOOKUP('Données projet'!$B$11,Paramètres!$A$1:$I$89,3,0)*0.475*44/12</f>
        <v>2.1183151750011744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52.227911752630746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1.0995790944434703E-13</v>
      </c>
      <c r="CA153" s="14">
        <f t="shared" si="147"/>
        <v>1.6337280948049956E-12</v>
      </c>
      <c r="CB153" s="22">
        <f t="shared" si="118"/>
        <v>3.036919790734272E-12</v>
      </c>
      <c r="CC153" s="62">
        <f t="shared" si="119"/>
        <v>293.33333333333633</v>
      </c>
      <c r="CD153" s="62">
        <f ca="1">AVERAGE(OFFSET($CC$3,0,0,'Données projet'!$E$12+1,1))-AVERAGE(OFFSET($H$3,0,0,'Données projet'!$E$12+1,1))</f>
        <v>394.59880827600006</v>
      </c>
      <c r="CE153" s="62">
        <f t="shared" si="148"/>
        <v>244.45149244446094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8.0452872466955441</v>
      </c>
      <c r="CL153" s="23">
        <f>EXP(-LN(2)/25)*CL152+(1-EXP(-LN(2)/25))/(LN(2)/25)*Calculateur!CG153*Calculateur!CI153*VLOOKUP('Données projet'!$B$12,Paramètres!$A$1:$I$89,3,0)*0.475*44/12</f>
        <v>1.6681207435725756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9.7134079902681201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4.5224624045658861E-14</v>
      </c>
      <c r="CV153" s="14">
        <f t="shared" si="149"/>
        <v>7.4514601661523691E-13</v>
      </c>
      <c r="CW153" s="22">
        <f t="shared" si="121"/>
        <v>1.3765621991510601E-12</v>
      </c>
      <c r="CX153" s="62">
        <f t="shared" si="122"/>
        <v>293.33333333333468</v>
      </c>
      <c r="CY153" s="62">
        <f ca="1">AVERAGE(OFFSET($CX$3,0,0,'Données projet'!$E$13+1,1))-AVERAGE(OFFSET($H$3,0,0,'Données projet'!$E$13+1,1))</f>
        <v>293.90975929253631</v>
      </c>
      <c r="CZ153" s="62">
        <f t="shared" si="150"/>
        <v>288.30197520356643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1.1919523134289889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1.1919523134289889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4.4337866711430253E-14</v>
      </c>
      <c r="DQ153" s="14">
        <f t="shared" si="151"/>
        <v>7.3222115536967035E-13</v>
      </c>
      <c r="DR153" s="22">
        <f t="shared" si="124"/>
        <v>1.3525069634579169E-12</v>
      </c>
      <c r="DS153" s="62">
        <f t="shared" si="125"/>
        <v>293.33333333333468</v>
      </c>
      <c r="DT153" s="62">
        <f ca="1">AVERAGE(OFFSET($DS$3,0,0,'Données projet'!$E$14+1,1))-AVERAGE(OFFSET($H$3,0,0,'Données projet'!$E$14+1,1))</f>
        <v>288.82868507674738</v>
      </c>
      <c r="DU153" s="62">
        <f t="shared" si="152"/>
        <v>283.48738729114024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0.94809377501750858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0.94809377501750858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-5.6843418860808015E-14</v>
      </c>
      <c r="EK153" s="18">
        <f>EJ153*VLOOKUP('Données projet'!$B$15,Paramètres!$A$1:$I$89,3,0)*VLOOKUP('Données projet'!$B$15,Paramètres!$A$1:$I$89,5,0)</f>
        <v>-5.1431925385259088E-14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366.86025470473652</v>
      </c>
      <c r="EP153" s="62">
        <f t="shared" si="154"/>
        <v>513.80016421153414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0.9830637966114818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0.9830637966114818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371.7282125501186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7.3786515502234558</v>
      </c>
      <c r="AA154" s="23">
        <f>EXP(-LN(2)/25)*AA153+(1-EXP(-LN(2)/25))/(LN(2)/25)*Calculateur!V154*Calculateur!X154*VLOOKUP('Données projet'!$B$9,Paramètres!$A$1:$I$89,3,0)*0.475*44/12</f>
        <v>1.5178280944964793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8.8964796447199355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9.5769792096689348E-14</v>
      </c>
      <c r="AK154" s="14">
        <f t="shared" ref="AK154:AK203" si="164">EXP(-1.0587+0.8836*LN(AJ154)+0.284)</f>
        <v>1.4459910566979609E-12</v>
      </c>
      <c r="AL154" s="22">
        <f t="shared" ref="AL154:AL203" si="165">(AJ154+AK154)*0.475*44/12</f>
        <v>2.6852334783173491E-12</v>
      </c>
      <c r="AM154" s="62">
        <f t="shared" si="113"/>
        <v>293.33333333333599</v>
      </c>
      <c r="AN154" s="62">
        <f ca="1">AVERAGE(OFFSET($AM$3,0,0,'Données projet'!$E$10+1,1))-AVERAGE(OFFSET($H$3,0,0,'Données projet'!$E$10+1,1))</f>
        <v>348.82438445524105</v>
      </c>
      <c r="AO154" s="62">
        <f t="shared" si="144"/>
        <v>218.26721063098552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6.8697790295183898</v>
      </c>
      <c r="AV154" s="23">
        <f>EXP(-LN(2)/25)*AV153+(1-EXP(-LN(2)/25))/(LN(2)/25)*Calculateur!AQ154*Calculateur!AS154*VLOOKUP('Données projet'!$B$10,Paramètres!$A$1:$I$89,3,0)*0.475*44/12</f>
        <v>1.4131502948760348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8.2829293243944253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-3.2514435588382188E-14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309.71642374647882</v>
      </c>
      <c r="BJ154" s="62">
        <f t="shared" si="146"/>
        <v>266.63880397664315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49.126977952578244</v>
      </c>
      <c r="BQ154" s="23">
        <f>EXP(-LN(2)/25)*BQ153+(1-EXP(-LN(2)/25))/(LN(2)/25)*Calculateur!BL154*Calculateur!BN154*VLOOKUP('Données projet'!$B$11,Paramètres!$A$1:$I$89,3,0)*0.475*44/12</f>
        <v>2.0603897351434135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51.187367687721661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1.0995790944434703E-13</v>
      </c>
      <c r="CA154" s="14">
        <f t="shared" ref="CA154:CA203" si="170">EXP(-1.0587+0.8836*LN(BZ154)+0.284)</f>
        <v>1.6337280948049956E-12</v>
      </c>
      <c r="CB154" s="22">
        <f t="shared" ref="CB154:CB203" si="171">(BZ154+CA154)*0.475*44/12</f>
        <v>3.036919790734272E-12</v>
      </c>
      <c r="CC154" s="62">
        <f t="shared" si="119"/>
        <v>293.33333333333633</v>
      </c>
      <c r="CD154" s="62">
        <f ca="1">AVERAGE(OFFSET($CC$3,0,0,'Données projet'!$E$12+1,1))-AVERAGE(OFFSET($H$3,0,0,'Données projet'!$E$12+1,1))</f>
        <v>394.59880827600006</v>
      </c>
      <c r="CE154" s="62">
        <f t="shared" si="148"/>
        <v>244.45149244446094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7.8875240709285253</v>
      </c>
      <c r="CL154" s="23">
        <f>EXP(-LN(2)/25)*CL153+(1-EXP(-LN(2)/25))/(LN(2)/25)*Calculateur!CG154*Calculateur!CI154*VLOOKUP('Données projet'!$B$12,Paramètres!$A$1:$I$89,3,0)*0.475*44/12</f>
        <v>1.6225058941169261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9.510029965045451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4.5224624045658861E-14</v>
      </c>
      <c r="CV154" s="14">
        <f t="shared" ref="CV154:CV203" si="173">EXP(-1.0587+0.8836*LN(CU154)+0.284)</f>
        <v>7.4514601661523691E-13</v>
      </c>
      <c r="CW154" s="22">
        <f t="shared" ref="CW154:CW203" si="174">(CU154+CV154)*0.475*44/12</f>
        <v>1.3765621991510601E-12</v>
      </c>
      <c r="CX154" s="62">
        <f t="shared" si="122"/>
        <v>293.33333333333468</v>
      </c>
      <c r="CY154" s="62">
        <f ca="1">AVERAGE(OFFSET($CX$3,0,0,'Données projet'!$E$13+1,1))-AVERAGE(OFFSET($H$3,0,0,'Données projet'!$E$13+1,1))</f>
        <v>293.90975929253631</v>
      </c>
      <c r="CZ154" s="62">
        <f t="shared" si="150"/>
        <v>288.30197520356643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1.1685788555817704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1.1685788555817704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4.4337866711430253E-14</v>
      </c>
      <c r="DQ154" s="14">
        <f t="shared" ref="DQ154:DQ203" si="176">EXP(-1.0587+0.8836*LN(DP154)+0.284)</f>
        <v>7.3222115536967035E-13</v>
      </c>
      <c r="DR154" s="22">
        <f t="shared" ref="DR154:DR203" si="177">(DP154+DQ154)*0.475*44/12</f>
        <v>1.3525069634579169E-12</v>
      </c>
      <c r="DS154" s="62">
        <f t="shared" si="125"/>
        <v>293.33333333333468</v>
      </c>
      <c r="DT154" s="62">
        <f ca="1">AVERAGE(OFFSET($DS$3,0,0,'Données projet'!$E$14+1,1))-AVERAGE(OFFSET($H$3,0,0,'Données projet'!$E$14+1,1))</f>
        <v>288.82868507674738</v>
      </c>
      <c r="DU154" s="62">
        <f t="shared" si="152"/>
        <v>283.48738729114024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0.92950223436951762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0.92950223436951762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-5.6843418860808015E-14</v>
      </c>
      <c r="EK154" s="18">
        <f>EJ154*VLOOKUP('Données projet'!$B$15,Paramètres!$A$1:$I$89,3,0)*VLOOKUP('Données projet'!$B$15,Paramètres!$A$1:$I$89,5,0)</f>
        <v>-5.1431925385259088E-14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366.86025470473652</v>
      </c>
      <c r="EP154" s="62">
        <f t="shared" si="154"/>
        <v>513.80016421153414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0.96378651516963998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0.96378651516963998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371.7282125501186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7.2339606938566288</v>
      </c>
      <c r="AA155" s="23">
        <f>EXP(-LN(2)/25)*AA154+(1-EXP(-LN(2)/25))/(LN(2)/25)*Calculateur!V155*Calculateur!X155*VLOOKUP('Données projet'!$B$9,Paramètres!$A$1:$I$89,3,0)*0.475*44/12</f>
        <v>1.4763230054333627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8.7102836992899917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9.5769792096689348E-14</v>
      </c>
      <c r="AK155" s="14">
        <f t="shared" si="164"/>
        <v>1.4459910566979609E-12</v>
      </c>
      <c r="AL155" s="22">
        <f t="shared" si="165"/>
        <v>2.6852334783173491E-12</v>
      </c>
      <c r="AM155" s="62">
        <f t="shared" si="113"/>
        <v>293.33333333333599</v>
      </c>
      <c r="AN155" s="62">
        <f ca="1">AVERAGE(OFFSET($AM$3,0,0,'Données projet'!$E$10+1,1))-AVERAGE(OFFSET($H$3,0,0,'Données projet'!$E$10+1,1))</f>
        <v>348.82438445524105</v>
      </c>
      <c r="AO155" s="62">
        <f t="shared" si="144"/>
        <v>218.26721063098552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6.7350668529009994</v>
      </c>
      <c r="AV155" s="23">
        <f>EXP(-LN(2)/25)*AV154+(1-EXP(-LN(2)/25))/(LN(2)/25)*Calculateur!AQ155*Calculateur!AS155*VLOOKUP('Données projet'!$B$10,Paramètres!$A$1:$I$89,3,0)*0.475*44/12</f>
        <v>1.3745076257483055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8.1095744786493054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-3.2514435588382188E-14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309.71642374647882</v>
      </c>
      <c r="BJ155" s="62">
        <f t="shared" si="146"/>
        <v>266.63880397664315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48.163627879425988</v>
      </c>
      <c r="BQ155" s="23">
        <f>EXP(-LN(2)/25)*BQ154+(1-EXP(-LN(2)/25))/(LN(2)/25)*Calculateur!BL155*Calculateur!BN155*VLOOKUP('Données projet'!$B$11,Paramètres!$A$1:$I$89,3,0)*0.475*44/12</f>
        <v>2.0040482694847297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50.167676148910715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1.0995790944434703E-13</v>
      </c>
      <c r="CA155" s="14">
        <f t="shared" si="170"/>
        <v>1.6337280948049956E-12</v>
      </c>
      <c r="CB155" s="22">
        <f t="shared" si="171"/>
        <v>3.036919790734272E-12</v>
      </c>
      <c r="CC155" s="62">
        <f t="shared" si="119"/>
        <v>293.33333333333633</v>
      </c>
      <c r="CD155" s="62">
        <f ca="1">AVERAGE(OFFSET($CC$3,0,0,'Données projet'!$E$12+1,1))-AVERAGE(OFFSET($H$3,0,0,'Données projet'!$E$12+1,1))</f>
        <v>394.59880827600006</v>
      </c>
      <c r="CE155" s="62">
        <f t="shared" si="148"/>
        <v>244.45149244446094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7.7328545348122617</v>
      </c>
      <c r="CL155" s="23">
        <f>EXP(-LN(2)/25)*CL154+(1-EXP(-LN(2)/25))/(LN(2)/25)*Calculateur!CG155*Calculateur!CI155*VLOOKUP('Données projet'!$B$12,Paramètres!$A$1:$I$89,3,0)*0.475*44/12</f>
        <v>1.5781383851184221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9.3109929199306833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4.5224624045658861E-14</v>
      </c>
      <c r="CV155" s="14">
        <f t="shared" si="173"/>
        <v>7.4514601661523691E-13</v>
      </c>
      <c r="CW155" s="22">
        <f t="shared" si="174"/>
        <v>1.3765621991510601E-12</v>
      </c>
      <c r="CX155" s="62">
        <f t="shared" si="122"/>
        <v>293.33333333333468</v>
      </c>
      <c r="CY155" s="62">
        <f ca="1">AVERAGE(OFFSET($CX$3,0,0,'Données projet'!$E$13+1,1))-AVERAGE(OFFSET($H$3,0,0,'Données projet'!$E$13+1,1))</f>
        <v>293.90975929253631</v>
      </c>
      <c r="CZ155" s="62">
        <f t="shared" si="150"/>
        <v>288.30197520356643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1.1456637369865343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1.1456637369865343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4.4337866711430253E-14</v>
      </c>
      <c r="DQ155" s="14">
        <f t="shared" si="176"/>
        <v>7.3222115536967035E-13</v>
      </c>
      <c r="DR155" s="22">
        <f t="shared" si="177"/>
        <v>1.3525069634579169E-12</v>
      </c>
      <c r="DS155" s="62">
        <f t="shared" si="125"/>
        <v>293.33333333333468</v>
      </c>
      <c r="DT155" s="62">
        <f ca="1">AVERAGE(OFFSET($DS$3,0,0,'Données projet'!$E$14+1,1))-AVERAGE(OFFSET($H$3,0,0,'Données projet'!$E$14+1,1))</f>
        <v>288.82868507674738</v>
      </c>
      <c r="DU155" s="62">
        <f t="shared" si="152"/>
        <v>283.48738729114024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0.91127526249391366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0.91127526249391366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-5.6843418860808015E-14</v>
      </c>
      <c r="EK155" s="18">
        <f>EJ155*VLOOKUP('Données projet'!$B$15,Paramètres!$A$1:$I$89,3,0)*VLOOKUP('Données projet'!$B$15,Paramètres!$A$1:$I$89,5,0)</f>
        <v>-5.1431925385259088E-14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366.86025470473652</v>
      </c>
      <c r="EP155" s="62">
        <f t="shared" si="154"/>
        <v>513.80016421153414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0.94488724945889202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0.94488724945889202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371.7282125501186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7.0921071369304469</v>
      </c>
      <c r="AA156" s="23">
        <f>EXP(-LN(2)/25)*AA155+(1-EXP(-LN(2)/25))/(LN(2)/25)*Calculateur!V156*Calculateur!X156*VLOOKUP('Données projet'!$B$9,Paramètres!$A$1:$I$89,3,0)*0.475*44/12</f>
        <v>1.4359528752133348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8.5280600121437811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9.5769792096689348E-14</v>
      </c>
      <c r="AK156" s="14">
        <f t="shared" si="164"/>
        <v>1.4459910566979609E-12</v>
      </c>
      <c r="AL156" s="22">
        <f t="shared" si="165"/>
        <v>2.6852334783173491E-12</v>
      </c>
      <c r="AM156" s="62">
        <f t="shared" si="113"/>
        <v>293.33333333333599</v>
      </c>
      <c r="AN156" s="62">
        <f ca="1">AVERAGE(OFFSET($AM$3,0,0,'Données projet'!$E$10+1,1))-AVERAGE(OFFSET($H$3,0,0,'Données projet'!$E$10+1,1))</f>
        <v>348.82438445524105</v>
      </c>
      <c r="AO156" s="62">
        <f t="shared" si="144"/>
        <v>218.26721063098552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6.6029962999007612</v>
      </c>
      <c r="AV156" s="23">
        <f>EXP(-LN(2)/25)*AV155+(1-EXP(-LN(2)/25))/(LN(2)/25)*Calculateur!AQ156*Calculateur!AS156*VLOOKUP('Données projet'!$B$10,Paramètres!$A$1:$I$89,3,0)*0.475*44/12</f>
        <v>1.3369216424400037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7.9399179423407649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-3.2514435588382188E-14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309.71642374647882</v>
      </c>
      <c r="BJ156" s="62">
        <f t="shared" si="146"/>
        <v>266.63880397664315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47.219168513622719</v>
      </c>
      <c r="BQ156" s="23">
        <f>EXP(-LN(2)/25)*BQ155+(1-EXP(-LN(2)/25))/(LN(2)/25)*Calculateur!BL156*Calculateur!BN156*VLOOKUP('Données projet'!$B$11,Paramètres!$A$1:$I$89,3,0)*0.475*44/12</f>
        <v>1.9492474641673516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49.168415977790069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1.0995790944434703E-13</v>
      </c>
      <c r="CA156" s="14">
        <f t="shared" si="170"/>
        <v>1.6337280948049956E-12</v>
      </c>
      <c r="CB156" s="22">
        <f t="shared" si="171"/>
        <v>3.036919790734272E-12</v>
      </c>
      <c r="CC156" s="62">
        <f t="shared" si="119"/>
        <v>293.33333333333633</v>
      </c>
      <c r="CD156" s="62">
        <f ca="1">AVERAGE(OFFSET($CC$3,0,0,'Données projet'!$E$12+1,1))-AVERAGE(OFFSET($H$3,0,0,'Données projet'!$E$12+1,1))</f>
        <v>394.59880827600006</v>
      </c>
      <c r="CE156" s="62">
        <f t="shared" si="148"/>
        <v>244.45149244446094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7.5812179739601362</v>
      </c>
      <c r="CL156" s="23">
        <f>EXP(-LN(2)/25)*CL155+(1-EXP(-LN(2)/25))/(LN(2)/25)*Calculateur!CG156*Calculateur!CI156*VLOOKUP('Données projet'!$B$12,Paramètres!$A$1:$I$89,3,0)*0.475*44/12</f>
        <v>1.534984107986668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9.1162020819468044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4.5224624045658861E-14</v>
      </c>
      <c r="CV156" s="14">
        <f t="shared" si="173"/>
        <v>7.4514601661523691E-13</v>
      </c>
      <c r="CW156" s="22">
        <f t="shared" si="174"/>
        <v>1.3765621991510601E-12</v>
      </c>
      <c r="CX156" s="62">
        <f t="shared" si="122"/>
        <v>293.33333333333468</v>
      </c>
      <c r="CY156" s="62">
        <f ca="1">AVERAGE(OFFSET($CX$3,0,0,'Données projet'!$E$13+1,1))-AVERAGE(OFFSET($H$3,0,0,'Données projet'!$E$13+1,1))</f>
        <v>293.90975929253631</v>
      </c>
      <c r="CZ156" s="62">
        <f t="shared" si="150"/>
        <v>288.30197520356643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1.1231979698901087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1.1231979698901087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4.4337866711430253E-14</v>
      </c>
      <c r="DQ156" s="14">
        <f t="shared" si="176"/>
        <v>7.3222115536967035E-13</v>
      </c>
      <c r="DR156" s="22">
        <f t="shared" si="177"/>
        <v>1.3525069634579169E-12</v>
      </c>
      <c r="DS156" s="62">
        <f t="shared" si="125"/>
        <v>293.33333333333468</v>
      </c>
      <c r="DT156" s="62">
        <f ca="1">AVERAGE(OFFSET($DS$3,0,0,'Données projet'!$E$14+1,1))-AVERAGE(OFFSET($H$3,0,0,'Données projet'!$E$14+1,1))</f>
        <v>288.82868507674738</v>
      </c>
      <c r="DU156" s="62">
        <f t="shared" si="152"/>
        <v>283.48738729114024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0.89340571041943517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0.89340571041943517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-5.6843418860808015E-14</v>
      </c>
      <c r="EK156" s="18">
        <f>EJ156*VLOOKUP('Données projet'!$B$15,Paramètres!$A$1:$I$89,3,0)*VLOOKUP('Données projet'!$B$15,Paramètres!$A$1:$I$89,5,0)</f>
        <v>-5.1431925385259088E-14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366.86025470473652</v>
      </c>
      <c r="EP156" s="62">
        <f t="shared" si="154"/>
        <v>513.80016421153414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0.926358586821318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0.926358586821318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371.7282125501186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6.9530352417334615</v>
      </c>
      <c r="AA157" s="23">
        <f>EXP(-LN(2)/25)*AA156+(1-EXP(-LN(2)/25))/(LN(2)/25)*Calculateur!V157*Calculateur!X157*VLOOKUP('Données projet'!$B$9,Paramètres!$A$1:$I$89,3,0)*0.475*44/12</f>
        <v>1.3966866683271464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8.3497219100606088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9.5769792096689348E-14</v>
      </c>
      <c r="AK157" s="14">
        <f t="shared" si="164"/>
        <v>1.4459910566979609E-12</v>
      </c>
      <c r="AL157" s="22">
        <f t="shared" si="165"/>
        <v>2.6852334783173491E-12</v>
      </c>
      <c r="AM157" s="62">
        <f t="shared" si="113"/>
        <v>293.33333333333599</v>
      </c>
      <c r="AN157" s="62">
        <f ca="1">AVERAGE(OFFSET($AM$3,0,0,'Données projet'!$E$10+1,1))-AVERAGE(OFFSET($H$3,0,0,'Données projet'!$E$10+1,1))</f>
        <v>348.82438445524105</v>
      </c>
      <c r="AO157" s="62">
        <f t="shared" si="144"/>
        <v>218.26721063098552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6.4735155698897744</v>
      </c>
      <c r="AV157" s="23">
        <f>EXP(-LN(2)/25)*AV156+(1-EXP(-LN(2)/25))/(LN(2)/25)*Calculateur!AQ157*Calculateur!AS157*VLOOKUP('Données projet'!$B$10,Paramètres!$A$1:$I$89,3,0)*0.475*44/12</f>
        <v>1.3003634498218282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7.7738790197116021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-3.2514435588382188E-14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309.71642374647882</v>
      </c>
      <c r="BJ157" s="62">
        <f t="shared" si="146"/>
        <v>266.63880397664315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46.293229419919527</v>
      </c>
      <c r="BQ157" s="23">
        <f>EXP(-LN(2)/25)*BQ156+(1-EXP(-LN(2)/25))/(LN(2)/25)*Calculateur!BL157*Calculateur!BN157*VLOOKUP('Données projet'!$B$11,Paramètres!$A$1:$I$89,3,0)*0.475*44/12</f>
        <v>1.8959451897532262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48.189174609672754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1.0995790944434703E-13</v>
      </c>
      <c r="CA157" s="14">
        <f t="shared" si="170"/>
        <v>1.6337280948049956E-12</v>
      </c>
      <c r="CB157" s="22">
        <f t="shared" si="171"/>
        <v>3.036919790734272E-12</v>
      </c>
      <c r="CC157" s="62">
        <f t="shared" si="119"/>
        <v>293.33333333333633</v>
      </c>
      <c r="CD157" s="62">
        <f ca="1">AVERAGE(OFFSET($CC$3,0,0,'Données projet'!$E$12+1,1))-AVERAGE(OFFSET($H$3,0,0,'Données projet'!$E$12+1,1))</f>
        <v>394.59880827600006</v>
      </c>
      <c r="CE157" s="62">
        <f t="shared" si="148"/>
        <v>244.45149244446094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7.4325549135771514</v>
      </c>
      <c r="CL157" s="23">
        <f>EXP(-LN(2)/25)*CL156+(1-EXP(-LN(2)/25))/(LN(2)/25)*Calculateur!CG157*Calculateur!CI157*VLOOKUP('Données projet'!$B$12,Paramètres!$A$1:$I$89,3,0)*0.475*44/12</f>
        <v>1.4930098868324666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8.9255648004096173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4.5224624045658861E-14</v>
      </c>
      <c r="CV157" s="14">
        <f t="shared" si="173"/>
        <v>7.4514601661523691E-13</v>
      </c>
      <c r="CW157" s="22">
        <f t="shared" si="174"/>
        <v>1.3765621991510601E-12</v>
      </c>
      <c r="CX157" s="62">
        <f t="shared" si="122"/>
        <v>293.33333333333468</v>
      </c>
      <c r="CY157" s="62">
        <f ca="1">AVERAGE(OFFSET($CX$3,0,0,'Données projet'!$E$13+1,1))-AVERAGE(OFFSET($H$3,0,0,'Données projet'!$E$13+1,1))</f>
        <v>293.90975929253631</v>
      </c>
      <c r="CZ157" s="62">
        <f t="shared" si="150"/>
        <v>288.30197520356643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1.1011727427836788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1.1011727427836788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4.4337866711430253E-14</v>
      </c>
      <c r="DQ157" s="14">
        <f t="shared" si="176"/>
        <v>7.3222115536967035E-13</v>
      </c>
      <c r="DR157" s="22">
        <f t="shared" si="177"/>
        <v>1.3525069634579169E-12</v>
      </c>
      <c r="DS157" s="62">
        <f t="shared" si="125"/>
        <v>293.33333333333468</v>
      </c>
      <c r="DT157" s="62">
        <f ca="1">AVERAGE(OFFSET($DS$3,0,0,'Données projet'!$E$14+1,1))-AVERAGE(OFFSET($H$3,0,0,'Données projet'!$E$14+1,1))</f>
        <v>288.82868507674738</v>
      </c>
      <c r="DU157" s="62">
        <f t="shared" si="152"/>
        <v>283.48738729114024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0.87588656936178666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0.87588656936178666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-5.6843418860808015E-14</v>
      </c>
      <c r="EK157" s="18">
        <f>EJ157*VLOOKUP('Données projet'!$B$15,Paramètres!$A$1:$I$89,3,0)*VLOOKUP('Données projet'!$B$15,Paramètres!$A$1:$I$89,5,0)</f>
        <v>-5.1431925385259088E-14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366.86025470473652</v>
      </c>
      <c r="EP157" s="62">
        <f t="shared" si="154"/>
        <v>513.80016421153414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0.90819325995669853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0.90819325995669853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371.7282125501186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6.8166904615758082</v>
      </c>
      <c r="AA158" s="23">
        <f>EXP(-LN(2)/25)*AA157+(1-EXP(-LN(2)/25))/(LN(2)/25)*Calculateur!V158*Calculateur!X158*VLOOKUP('Données projet'!$B$9,Paramètres!$A$1:$I$89,3,0)*0.475*44/12</f>
        <v>1.3584941979331808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8.1751846595089894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9.5769792096689348E-14</v>
      </c>
      <c r="AK158" s="14">
        <f t="shared" si="164"/>
        <v>1.4459910566979609E-12</v>
      </c>
      <c r="AL158" s="22">
        <f t="shared" si="165"/>
        <v>2.6852334783173491E-12</v>
      </c>
      <c r="AM158" s="62">
        <f t="shared" si="113"/>
        <v>293.33333333333599</v>
      </c>
      <c r="AN158" s="62">
        <f ca="1">AVERAGE(OFFSET($AM$3,0,0,'Données projet'!$E$10+1,1))-AVERAGE(OFFSET($H$3,0,0,'Données projet'!$E$10+1,1))</f>
        <v>348.82438445524105</v>
      </c>
      <c r="AO158" s="62">
        <f t="shared" si="144"/>
        <v>218.26721063098552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6.3465738780188561</v>
      </c>
      <c r="AV158" s="23">
        <f>EXP(-LN(2)/25)*AV157+(1-EXP(-LN(2)/25))/(LN(2)/25)*Calculateur!AQ158*Calculateur!AS158*VLOOKUP('Données projet'!$B$10,Paramètres!$A$1:$I$89,3,0)*0.475*44/12</f>
        <v>1.2648049429033084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7.6113788209221642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-3.2514435588382188E-14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309.71642374647882</v>
      </c>
      <c r="BJ158" s="62">
        <f t="shared" si="146"/>
        <v>266.63880397664315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45.38544742707677</v>
      </c>
      <c r="BQ158" s="23">
        <f>EXP(-LN(2)/25)*BQ157+(1-EXP(-LN(2)/25))/(LN(2)/25)*Calculateur!BL158*Calculateur!BN158*VLOOKUP('Données projet'!$B$11,Paramètres!$A$1:$I$89,3,0)*0.475*44/12</f>
        <v>1.8441004688359999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47.229547895912766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1.0995790944434703E-13</v>
      </c>
      <c r="CA158" s="14">
        <f t="shared" si="170"/>
        <v>1.6337280948049956E-12</v>
      </c>
      <c r="CB158" s="22">
        <f t="shared" si="171"/>
        <v>3.036919790734272E-12</v>
      </c>
      <c r="CC158" s="62">
        <f t="shared" si="119"/>
        <v>293.33333333333633</v>
      </c>
      <c r="CD158" s="62">
        <f ca="1">AVERAGE(OFFSET($CC$3,0,0,'Données projet'!$E$12+1,1))-AVERAGE(OFFSET($H$3,0,0,'Données projet'!$E$12+1,1))</f>
        <v>394.59880827600006</v>
      </c>
      <c r="CE158" s="62">
        <f t="shared" si="148"/>
        <v>244.45149244446094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7.2868070451327638</v>
      </c>
      <c r="CL158" s="23">
        <f>EXP(-LN(2)/25)*CL157+(1-EXP(-LN(2)/25))/(LN(2)/25)*Calculateur!CG158*Calculateur!CI158*VLOOKUP('Données projet'!$B$12,Paramètres!$A$1:$I$89,3,0)*0.475*44/12</f>
        <v>1.4521834529630551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8.7389904980958182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4.5224624045658861E-14</v>
      </c>
      <c r="CV158" s="14">
        <f t="shared" si="173"/>
        <v>7.4514601661523691E-13</v>
      </c>
      <c r="CW158" s="22">
        <f t="shared" si="174"/>
        <v>1.3765621991510601E-12</v>
      </c>
      <c r="CX158" s="62">
        <f t="shared" si="122"/>
        <v>293.33333333333468</v>
      </c>
      <c r="CY158" s="62">
        <f ca="1">AVERAGE(OFFSET($CX$3,0,0,'Données projet'!$E$13+1,1))-AVERAGE(OFFSET($H$3,0,0,'Données projet'!$E$13+1,1))</f>
        <v>293.90975929253631</v>
      </c>
      <c r="CZ158" s="62">
        <f t="shared" si="150"/>
        <v>288.30197520356643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1.0795794169467441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1.0795794169467441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4.4337866711430253E-14</v>
      </c>
      <c r="DQ158" s="14">
        <f t="shared" si="176"/>
        <v>7.3222115536967035E-13</v>
      </c>
      <c r="DR158" s="22">
        <f t="shared" si="177"/>
        <v>1.3525069634579169E-12</v>
      </c>
      <c r="DS158" s="62">
        <f t="shared" si="125"/>
        <v>293.33333333333468</v>
      </c>
      <c r="DT158" s="62">
        <f ca="1">AVERAGE(OFFSET($DS$3,0,0,'Données projet'!$E$14+1,1))-AVERAGE(OFFSET($H$3,0,0,'Données projet'!$E$14+1,1))</f>
        <v>288.82868507674738</v>
      </c>
      <c r="DU158" s="62">
        <f t="shared" si="152"/>
        <v>283.48738729114024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0.85871096797465774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0.85871096797465774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-5.6843418860808015E-14</v>
      </c>
      <c r="EK158" s="18">
        <f>EJ158*VLOOKUP('Données projet'!$B$15,Paramètres!$A$1:$I$89,3,0)*VLOOKUP('Données projet'!$B$15,Paramètres!$A$1:$I$89,5,0)</f>
        <v>-5.1431925385259088E-14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366.86025470473652</v>
      </c>
      <c r="EP158" s="62">
        <f t="shared" si="154"/>
        <v>513.80016421153414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0.89038414407213895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0.89038414407213895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371.7282125501186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6.6830193193949423</v>
      </c>
      <c r="AA159" s="23">
        <f>EXP(-LN(2)/25)*AA158+(1-EXP(-LN(2)/25))/(LN(2)/25)*Calculateur!V159*Calculateur!X159*VLOOKUP('Données projet'!$B$9,Paramètres!$A$1:$I$89,3,0)*0.475*44/12</f>
        <v>1.321346102650593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8.0043654220455345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9.5769792096689348E-14</v>
      </c>
      <c r="AK159" s="14">
        <f t="shared" si="164"/>
        <v>1.4459910566979609E-12</v>
      </c>
      <c r="AL159" s="22">
        <f t="shared" si="165"/>
        <v>2.6852334783173491E-12</v>
      </c>
      <c r="AM159" s="62">
        <f t="shared" si="113"/>
        <v>293.33333333333599</v>
      </c>
      <c r="AN159" s="62">
        <f ca="1">AVERAGE(OFFSET($AM$3,0,0,'Données projet'!$E$10+1,1))-AVERAGE(OFFSET($H$3,0,0,'Données projet'!$E$10+1,1))</f>
        <v>348.82438445524105</v>
      </c>
      <c r="AO159" s="62">
        <f t="shared" si="144"/>
        <v>218.26721063098552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6.2221214352987397</v>
      </c>
      <c r="AV159" s="23">
        <f>EXP(-LN(2)/25)*AV158+(1-EXP(-LN(2)/25))/(LN(2)/25)*Calculateur!AQ159*Calculateur!AS159*VLOOKUP('Données projet'!$B$10,Paramètres!$A$1:$I$89,3,0)*0.475*44/12</f>
        <v>1.2302187852264161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7.4523402205251559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-3.2514435588382188E-14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309.71642374647882</v>
      </c>
      <c r="BJ159" s="62">
        <f t="shared" si="146"/>
        <v>266.63880397664315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44.495466485421318</v>
      </c>
      <c r="BQ159" s="23">
        <f>EXP(-LN(2)/25)*BQ158+(1-EXP(-LN(2)/25))/(LN(2)/25)*Calculateur!BL159*Calculateur!BN159*VLOOKUP('Données projet'!$B$11,Paramètres!$A$1:$I$89,3,0)*0.475*44/12</f>
        <v>1.7936734445386506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46.289139929959966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1.0995790944434703E-13</v>
      </c>
      <c r="CA159" s="14">
        <f t="shared" si="170"/>
        <v>1.6337280948049956E-12</v>
      </c>
      <c r="CB159" s="22">
        <f t="shared" si="171"/>
        <v>3.036919790734272E-12</v>
      </c>
      <c r="CC159" s="62">
        <f t="shared" si="119"/>
        <v>293.33333333333633</v>
      </c>
      <c r="CD159" s="62">
        <f ca="1">AVERAGE(OFFSET($CC$3,0,0,'Données projet'!$E$12+1,1))-AVERAGE(OFFSET($H$3,0,0,'Données projet'!$E$12+1,1))</f>
        <v>394.59880827600006</v>
      </c>
      <c r="CE159" s="62">
        <f t="shared" si="148"/>
        <v>244.45149244446094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7.1439172034911484</v>
      </c>
      <c r="CL159" s="23">
        <f>EXP(-LN(2)/25)*CL158+(1-EXP(-LN(2)/25))/(LN(2)/25)*Calculateur!CG159*Calculateur!CI159*VLOOKUP('Données projet'!$B$12,Paramètres!$A$1:$I$89,3,0)*0.475*44/12</f>
        <v>1.4124734200747715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8.5563906235659193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4.5224624045658861E-14</v>
      </c>
      <c r="CV159" s="14">
        <f t="shared" si="173"/>
        <v>7.4514601661523691E-13</v>
      </c>
      <c r="CW159" s="22">
        <f t="shared" si="174"/>
        <v>1.3765621991510601E-12</v>
      </c>
      <c r="CX159" s="62">
        <f t="shared" si="122"/>
        <v>293.33333333333468</v>
      </c>
      <c r="CY159" s="62">
        <f ca="1">AVERAGE(OFFSET($CX$3,0,0,'Données projet'!$E$13+1,1))-AVERAGE(OFFSET($H$3,0,0,'Données projet'!$E$13+1,1))</f>
        <v>293.90975929253631</v>
      </c>
      <c r="CZ159" s="62">
        <f t="shared" si="150"/>
        <v>288.30197520356643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1.0584095230588435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1.0584095230588435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4.4337866711430253E-14</v>
      </c>
      <c r="DQ159" s="14">
        <f t="shared" si="176"/>
        <v>7.3222115536967035E-13</v>
      </c>
      <c r="DR159" s="22">
        <f t="shared" si="177"/>
        <v>1.3525069634579169E-12</v>
      </c>
      <c r="DS159" s="62">
        <f t="shared" si="125"/>
        <v>293.33333333333468</v>
      </c>
      <c r="DT159" s="62">
        <f ca="1">AVERAGE(OFFSET($DS$3,0,0,'Données projet'!$E$14+1,1))-AVERAGE(OFFSET($H$3,0,0,'Données projet'!$E$14+1,1))</f>
        <v>288.82868507674738</v>
      </c>
      <c r="DU159" s="62">
        <f t="shared" si="152"/>
        <v>283.48738729114024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0.84187216965464795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0.84187216965464795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-5.6843418860808015E-14</v>
      </c>
      <c r="EK159" s="18">
        <f>EJ159*VLOOKUP('Données projet'!$B$15,Paramètres!$A$1:$I$89,3,0)*VLOOKUP('Données projet'!$B$15,Paramètres!$A$1:$I$89,5,0)</f>
        <v>-5.1431925385259088E-14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366.86025470473652</v>
      </c>
      <c r="EP159" s="62">
        <f t="shared" si="154"/>
        <v>513.80016421153414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0.87292425408758745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0.87292425408758745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371.7282125501186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6.5519693867808968</v>
      </c>
      <c r="AA160" s="23">
        <f>EXP(-LN(2)/25)*AA159+(1-EXP(-LN(2)/25))/(LN(2)/25)*Calculateur!V160*Calculateur!X160*VLOOKUP('Données projet'!$B$9,Paramètres!$A$1:$I$89,3,0)*0.475*44/12</f>
        <v>1.285213823987041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7.8371832107679378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9.5769792096689348E-14</v>
      </c>
      <c r="AK160" s="14">
        <f t="shared" si="164"/>
        <v>1.4459910566979609E-12</v>
      </c>
      <c r="AL160" s="22">
        <f t="shared" si="165"/>
        <v>2.6852334783173491E-12</v>
      </c>
      <c r="AM160" s="62">
        <f t="shared" si="113"/>
        <v>293.33333333333599</v>
      </c>
      <c r="AN160" s="62">
        <f ca="1">AVERAGE(OFFSET($AM$3,0,0,'Données projet'!$E$10+1,1))-AVERAGE(OFFSET($H$3,0,0,'Données projet'!$E$10+1,1))</f>
        <v>348.82438445524105</v>
      </c>
      <c r="AO160" s="62">
        <f t="shared" si="144"/>
        <v>218.26721063098552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6.1001094290718703</v>
      </c>
      <c r="AV160" s="23">
        <f>EXP(-LN(2)/25)*AV159+(1-EXP(-LN(2)/25))/(LN(2)/25)*Calculateur!AQ160*Calculateur!AS160*VLOOKUP('Données projet'!$B$10,Paramètres!$A$1:$I$89,3,0)*0.475*44/12</f>
        <v>1.1965783878500056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7.2966878169218763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-3.2514435588382188E-14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309.71642374647882</v>
      </c>
      <c r="BJ160" s="62">
        <f t="shared" si="146"/>
        <v>266.63880397664315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43.622937527196953</v>
      </c>
      <c r="BQ160" s="23">
        <f>EXP(-LN(2)/25)*BQ159+(1-EXP(-LN(2)/25))/(LN(2)/25)*Calculateur!BL160*Calculateur!BN160*VLOOKUP('Données projet'!$B$11,Paramètres!$A$1:$I$89,3,0)*0.475*44/12</f>
        <v>1.7446253498725544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45.36756287706951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1.0995790944434703E-13</v>
      </c>
      <c r="CA160" s="14">
        <f t="shared" si="170"/>
        <v>1.6337280948049956E-12</v>
      </c>
      <c r="CB160" s="22">
        <f t="shared" si="171"/>
        <v>3.036919790734272E-12</v>
      </c>
      <c r="CC160" s="62">
        <f t="shared" si="119"/>
        <v>293.33333333333633</v>
      </c>
      <c r="CD160" s="62">
        <f ca="1">AVERAGE(OFFSET($CC$3,0,0,'Données projet'!$E$12+1,1))-AVERAGE(OFFSET($H$3,0,0,'Données projet'!$E$12+1,1))</f>
        <v>394.59880827600006</v>
      </c>
      <c r="CE160" s="62">
        <f t="shared" si="148"/>
        <v>244.45149244446094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7.0038293444899278</v>
      </c>
      <c r="CL160" s="23">
        <f>EXP(-LN(2)/25)*CL159+(1-EXP(-LN(2)/25))/(LN(2)/25)*Calculateur!CG160*Calculateur!CI160*VLOOKUP('Données projet'!$B$12,Paramètres!$A$1:$I$89,3,0)*0.475*44/12</f>
        <v>1.3738492601240779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8.3776786046140064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4.5224624045658861E-14</v>
      </c>
      <c r="CV160" s="14">
        <f t="shared" si="173"/>
        <v>7.4514601661523691E-13</v>
      </c>
      <c r="CW160" s="22">
        <f t="shared" si="174"/>
        <v>1.3765621991510601E-12</v>
      </c>
      <c r="CX160" s="62">
        <f t="shared" si="122"/>
        <v>293.33333333333468</v>
      </c>
      <c r="CY160" s="62">
        <f ca="1">AVERAGE(OFFSET($CX$3,0,0,'Données projet'!$E$13+1,1))-AVERAGE(OFFSET($H$3,0,0,'Données projet'!$E$13+1,1))</f>
        <v>293.90975929253631</v>
      </c>
      <c r="CZ160" s="62">
        <f t="shared" si="150"/>
        <v>288.30197520356643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1.0376547578777242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1.0376547578777242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4.4337866711430253E-14</v>
      </c>
      <c r="DQ160" s="14">
        <f t="shared" si="176"/>
        <v>7.3222115536967035E-13</v>
      </c>
      <c r="DR160" s="22">
        <f t="shared" si="177"/>
        <v>1.3525069634579169E-12</v>
      </c>
      <c r="DS160" s="62">
        <f t="shared" si="125"/>
        <v>293.33333333333468</v>
      </c>
      <c r="DT160" s="62">
        <f ca="1">AVERAGE(OFFSET($DS$3,0,0,'Données projet'!$E$14+1,1))-AVERAGE(OFFSET($H$3,0,0,'Données projet'!$E$14+1,1))</f>
        <v>288.82868507674738</v>
      </c>
      <c r="DU160" s="62">
        <f t="shared" si="152"/>
        <v>283.48738729114024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0.82536356989904069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0.82536356989904069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-5.6843418860808015E-14</v>
      </c>
      <c r="EK160" s="18">
        <f>EJ160*VLOOKUP('Données projet'!$B$15,Paramètres!$A$1:$I$89,3,0)*VLOOKUP('Données projet'!$B$15,Paramètres!$A$1:$I$89,5,0)</f>
        <v>-5.1431925385259088E-14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366.86025470473652</v>
      </c>
      <c r="EP160" s="62">
        <f t="shared" si="154"/>
        <v>513.80016421153414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0.85580674189615169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0.85580674189615169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371.7282125501186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6.4234892634128471</v>
      </c>
      <c r="AA161" s="23">
        <f>EXP(-LN(2)/25)*AA160+(1-EXP(-LN(2)/25))/(LN(2)/25)*Calculateur!V161*Calculateur!X161*VLOOKUP('Données projet'!$B$9,Paramètres!$A$1:$I$89,3,0)*0.475*44/12</f>
        <v>1.2500695843836578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7.6735588477965049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9.5769792096689348E-14</v>
      </c>
      <c r="AK161" s="14">
        <f t="shared" si="164"/>
        <v>1.4459910566979609E-12</v>
      </c>
      <c r="AL161" s="22">
        <f t="shared" si="165"/>
        <v>2.6852334783173491E-12</v>
      </c>
      <c r="AM161" s="62">
        <f t="shared" si="113"/>
        <v>293.33333333333599</v>
      </c>
      <c r="AN161" s="62">
        <f ca="1">AVERAGE(OFFSET($AM$3,0,0,'Données projet'!$E$10+1,1))-AVERAGE(OFFSET($H$3,0,0,'Données projet'!$E$10+1,1))</f>
        <v>348.82438445524105</v>
      </c>
      <c r="AO161" s="62">
        <f t="shared" si="144"/>
        <v>218.26721063098552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5.9804900038671338</v>
      </c>
      <c r="AV161" s="23">
        <f>EXP(-LN(2)/25)*AV160+(1-EXP(-LN(2)/25))/(LN(2)/25)*Calculateur!AQ161*Calculateur!AS161*VLOOKUP('Données projet'!$B$10,Paramètres!$A$1:$I$89,3,0)*0.475*44/12</f>
        <v>1.1638578889089246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7.1443478927760582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-3.2514435588382188E-14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309.71642374647882</v>
      </c>
      <c r="BJ161" s="62">
        <f t="shared" si="146"/>
        <v>266.63880397664315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42.767518329653257</v>
      </c>
      <c r="BQ161" s="23">
        <f>EXP(-LN(2)/25)*BQ160+(1-EXP(-LN(2)/25))/(LN(2)/25)*Calculateur!BL161*Calculateur!BN161*VLOOKUP('Données projet'!$B$11,Paramètres!$A$1:$I$89,3,0)*0.475*44/12</f>
        <v>1.6969184779344295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44.464436807587688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1.0995790944434703E-13</v>
      </c>
      <c r="CA161" s="14">
        <f t="shared" si="170"/>
        <v>1.6337280948049956E-12</v>
      </c>
      <c r="CB161" s="22">
        <f t="shared" si="171"/>
        <v>3.036919790734272E-12</v>
      </c>
      <c r="CC161" s="62">
        <f t="shared" si="119"/>
        <v>293.33333333333633</v>
      </c>
      <c r="CD161" s="62">
        <f ca="1">AVERAGE(OFFSET($CC$3,0,0,'Données projet'!$E$12+1,1))-AVERAGE(OFFSET($H$3,0,0,'Données projet'!$E$12+1,1))</f>
        <v>394.59880827600006</v>
      </c>
      <c r="CE161" s="62">
        <f t="shared" si="148"/>
        <v>244.45149244446094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6.8664885229585639</v>
      </c>
      <c r="CL161" s="23">
        <f>EXP(-LN(2)/25)*CL160+(1-EXP(-LN(2)/25))/(LN(2)/25)*Calculateur!CG161*Calculateur!CI161*VLOOKUP('Données projet'!$B$12,Paramètres!$A$1:$I$89,3,0)*0.475*44/12</f>
        <v>1.3362812798583925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8.202769802816956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4.5224624045658861E-14</v>
      </c>
      <c r="CV161" s="14">
        <f t="shared" si="173"/>
        <v>7.4514601661523691E-13</v>
      </c>
      <c r="CW161" s="22">
        <f t="shared" si="174"/>
        <v>1.3765621991510601E-12</v>
      </c>
      <c r="CX161" s="62">
        <f t="shared" si="122"/>
        <v>293.33333333333468</v>
      </c>
      <c r="CY161" s="62">
        <f ca="1">AVERAGE(OFFSET($CX$3,0,0,'Données projet'!$E$13+1,1))-AVERAGE(OFFSET($H$3,0,0,'Données projet'!$E$13+1,1))</f>
        <v>293.90975929253631</v>
      </c>
      <c r="CZ161" s="62">
        <f t="shared" si="150"/>
        <v>288.30197520356643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1.01730698098265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1.01730698098265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4.4337866711430253E-14</v>
      </c>
      <c r="DQ161" s="14">
        <f t="shared" si="176"/>
        <v>7.3222115536967035E-13</v>
      </c>
      <c r="DR161" s="22">
        <f t="shared" si="177"/>
        <v>1.3525069634579169E-12</v>
      </c>
      <c r="DS161" s="62">
        <f t="shared" si="125"/>
        <v>293.33333333333468</v>
      </c>
      <c r="DT161" s="62">
        <f ca="1">AVERAGE(OFFSET($DS$3,0,0,'Données projet'!$E$14+1,1))-AVERAGE(OFFSET($H$3,0,0,'Données projet'!$E$14+1,1))</f>
        <v>288.82868507674738</v>
      </c>
      <c r="DU161" s="62">
        <f t="shared" si="152"/>
        <v>283.48738729114024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0.80917869371538931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0.80917869371538931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-5.6843418860808015E-14</v>
      </c>
      <c r="EK161" s="18">
        <f>EJ161*VLOOKUP('Données projet'!$B$15,Paramètres!$A$1:$I$89,3,0)*VLOOKUP('Données projet'!$B$15,Paramètres!$A$1:$I$89,5,0)</f>
        <v>-5.1431925385259088E-14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366.86025470473652</v>
      </c>
      <c r="EP161" s="62">
        <f t="shared" si="154"/>
        <v>513.80016421153414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0.83902489367813837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0.83902489367813837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371.7282125501186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6.2975285568989072</v>
      </c>
      <c r="AA162" s="23">
        <f>EXP(-LN(2)/25)*AA161+(1-EXP(-LN(2)/25))/(LN(2)/25)*Calculateur!V162*Calculateur!X162*VLOOKUP('Données projet'!$B$9,Paramètres!$A$1:$I$89,3,0)*0.475*44/12</f>
        <v>1.2158863658603842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7.5134149227592912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9.5769792096689348E-14</v>
      </c>
      <c r="AK162" s="14">
        <f t="shared" si="164"/>
        <v>1.4459910566979609E-12</v>
      </c>
      <c r="AL162" s="22">
        <f t="shared" si="165"/>
        <v>2.6852334783173491E-12</v>
      </c>
      <c r="AM162" s="62">
        <f t="shared" si="113"/>
        <v>293.33333333333599</v>
      </c>
      <c r="AN162" s="62">
        <f ca="1">AVERAGE(OFFSET($AM$3,0,0,'Données projet'!$E$10+1,1))-AVERAGE(OFFSET($H$3,0,0,'Données projet'!$E$10+1,1))</f>
        <v>348.82438445524105</v>
      </c>
      <c r="AO162" s="62">
        <f t="shared" si="144"/>
        <v>218.26721063098552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5.8632162426300169</v>
      </c>
      <c r="AV162" s="23">
        <f>EXP(-LN(2)/25)*AV161+(1-EXP(-LN(2)/25))/(LN(2)/25)*Calculateur!AQ162*Calculateur!AS162*VLOOKUP('Données projet'!$B$10,Paramètres!$A$1:$I$89,3,0)*0.475*44/12</f>
        <v>1.1320321337320838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6.9952483763621007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-3.2514435588382188E-14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309.71642374647882</v>
      </c>
      <c r="BJ162" s="62">
        <f t="shared" si="146"/>
        <v>266.63880397664315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41.928873380819198</v>
      </c>
      <c r="BQ162" s="23">
        <f>EXP(-LN(2)/25)*BQ161+(1-EXP(-LN(2)/25))/(LN(2)/25)*Calculateur!BL162*Calculateur!BN162*VLOOKUP('Données projet'!$B$11,Paramètres!$A$1:$I$89,3,0)*0.475*44/12</f>
        <v>1.6505161529182482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43.579389533737448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1.0995790944434703E-13</v>
      </c>
      <c r="CA162" s="14">
        <f t="shared" si="170"/>
        <v>1.6337280948049956E-12</v>
      </c>
      <c r="CB162" s="22">
        <f t="shared" si="171"/>
        <v>3.036919790734272E-12</v>
      </c>
      <c r="CC162" s="62">
        <f t="shared" si="119"/>
        <v>293.33333333333633</v>
      </c>
      <c r="CD162" s="62">
        <f ca="1">AVERAGE(OFFSET($CC$3,0,0,'Données projet'!$E$12+1,1))-AVERAGE(OFFSET($H$3,0,0,'Données projet'!$E$12+1,1))</f>
        <v>394.59880827600006</v>
      </c>
      <c r="CE162" s="62">
        <f t="shared" si="148"/>
        <v>244.45149244446094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6.7318408711678002</v>
      </c>
      <c r="CL162" s="23">
        <f>EXP(-LN(2)/25)*CL161+(1-EXP(-LN(2)/25))/(LN(2)/25)*Calculateur!CG162*Calculateur!CI162*VLOOKUP('Données projet'!$B$12,Paramètres!$A$1:$I$89,3,0)*0.475*44/12</f>
        <v>1.2997405979886865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8.0315814691564871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4.5224624045658861E-14</v>
      </c>
      <c r="CV162" s="14">
        <f t="shared" si="173"/>
        <v>7.4514601661523691E-13</v>
      </c>
      <c r="CW162" s="22">
        <f t="shared" si="174"/>
        <v>1.3765621991510601E-12</v>
      </c>
      <c r="CX162" s="62">
        <f t="shared" si="122"/>
        <v>293.33333333333468</v>
      </c>
      <c r="CY162" s="62">
        <f ca="1">AVERAGE(OFFSET($CX$3,0,0,'Données projet'!$E$13+1,1))-AVERAGE(OFFSET($H$3,0,0,'Données projet'!$E$13+1,1))</f>
        <v>293.90975929253631</v>
      </c>
      <c r="CZ162" s="62">
        <f t="shared" si="150"/>
        <v>288.30197520356643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0.99735821158156979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0.99735821158156979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4.4337866711430253E-14</v>
      </c>
      <c r="DQ162" s="14">
        <f t="shared" si="176"/>
        <v>7.3222115536967035E-13</v>
      </c>
      <c r="DR162" s="22">
        <f t="shared" si="177"/>
        <v>1.3525069634579169E-12</v>
      </c>
      <c r="DS162" s="62">
        <f t="shared" si="125"/>
        <v>293.33333333333468</v>
      </c>
      <c r="DT162" s="62">
        <f ca="1">AVERAGE(OFFSET($DS$3,0,0,'Données projet'!$E$14+1,1))-AVERAGE(OFFSET($H$3,0,0,'Données projet'!$E$14+1,1))</f>
        <v>288.82868507674738</v>
      </c>
      <c r="DU162" s="62">
        <f t="shared" si="152"/>
        <v>283.48738729114024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0.79331119308189968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0.79331119308189968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-5.6843418860808015E-14</v>
      </c>
      <c r="EK162" s="18">
        <f>EJ162*VLOOKUP('Données projet'!$B$15,Paramètres!$A$1:$I$89,3,0)*VLOOKUP('Données projet'!$B$15,Paramètres!$A$1:$I$89,5,0)</f>
        <v>-5.1431925385259088E-14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366.86025470473652</v>
      </c>
      <c r="EP162" s="62">
        <f t="shared" si="154"/>
        <v>513.80016421153414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0.82257212726776363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0.82257212726776363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371.7282125501186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6.1740378630112609</v>
      </c>
      <c r="AA163" s="23">
        <f>EXP(-LN(2)/25)*AA162+(1-EXP(-LN(2)/25))/(LN(2)/25)*Calculateur!V163*Calculateur!X163*VLOOKUP('Données projet'!$B$9,Paramètres!$A$1:$I$89,3,0)*0.475*44/12</f>
        <v>1.1826378892452469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7.3566757522565078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9.5769792096689348E-14</v>
      </c>
      <c r="AK163" s="14">
        <f t="shared" si="164"/>
        <v>1.4459910566979609E-12</v>
      </c>
      <c r="AL163" s="22">
        <f t="shared" si="165"/>
        <v>2.6852334783173491E-12</v>
      </c>
      <c r="AM163" s="62">
        <f t="shared" si="113"/>
        <v>293.33333333333599</v>
      </c>
      <c r="AN163" s="62">
        <f ca="1">AVERAGE(OFFSET($AM$3,0,0,'Données projet'!$E$10+1,1))-AVERAGE(OFFSET($H$3,0,0,'Données projet'!$E$10+1,1))</f>
        <v>348.82438445524105</v>
      </c>
      <c r="AO163" s="62">
        <f t="shared" si="144"/>
        <v>218.26721063098552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5.7482421483208288</v>
      </c>
      <c r="AV163" s="23">
        <f>EXP(-LN(2)/25)*AV162+(1-EXP(-LN(2)/25))/(LN(2)/25)*Calculateur!AQ163*Calculateur!AS163*VLOOKUP('Données projet'!$B$10,Paramètres!$A$1:$I$89,3,0)*0.475*44/12</f>
        <v>1.1010766555041973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6.8493188038250263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-3.2514435588382188E-14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309.71642374647882</v>
      </c>
      <c r="BJ163" s="62">
        <f t="shared" si="146"/>
        <v>266.63880397664315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41.106673747908864</v>
      </c>
      <c r="BQ163" s="23">
        <f>EXP(-LN(2)/25)*BQ162+(1-EXP(-LN(2)/25))/(LN(2)/25)*Calculateur!BL163*Calculateur!BN163*VLOOKUP('Données projet'!$B$11,Paramètres!$A$1:$I$89,3,0)*0.475*44/12</f>
        <v>1.6053827019198266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42.712056449828694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1.0995790944434703E-13</v>
      </c>
      <c r="CA163" s="14">
        <f t="shared" si="170"/>
        <v>1.6337280948049956E-12</v>
      </c>
      <c r="CB163" s="22">
        <f t="shared" si="171"/>
        <v>3.036919790734272E-12</v>
      </c>
      <c r="CC163" s="62">
        <f t="shared" si="119"/>
        <v>293.33333333333633</v>
      </c>
      <c r="CD163" s="62">
        <f ca="1">AVERAGE(OFFSET($CC$3,0,0,'Données projet'!$E$12+1,1))-AVERAGE(OFFSET($H$3,0,0,'Données projet'!$E$12+1,1))</f>
        <v>394.59880827600006</v>
      </c>
      <c r="CE163" s="62">
        <f t="shared" si="148"/>
        <v>244.45149244446094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6.5998335777016957</v>
      </c>
      <c r="CL163" s="23">
        <f>EXP(-LN(2)/25)*CL162+(1-EXP(-LN(2)/25))/(LN(2)/25)*Calculateur!CG163*Calculateur!CI163*VLOOKUP('Données projet'!$B$12,Paramètres!$A$1:$I$89,3,0)*0.475*44/12</f>
        <v>1.2641991229862983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7.8640327006879938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4.5224624045658861E-14</v>
      </c>
      <c r="CV163" s="14">
        <f t="shared" si="173"/>
        <v>7.4514601661523691E-13</v>
      </c>
      <c r="CW163" s="22">
        <f t="shared" si="174"/>
        <v>1.3765621991510601E-12</v>
      </c>
      <c r="CX163" s="62">
        <f t="shared" si="122"/>
        <v>293.33333333333468</v>
      </c>
      <c r="CY163" s="62">
        <f ca="1">AVERAGE(OFFSET($CX$3,0,0,'Données projet'!$E$13+1,1))-AVERAGE(OFFSET($H$3,0,0,'Données projet'!$E$13+1,1))</f>
        <v>293.90975929253631</v>
      </c>
      <c r="CZ163" s="62">
        <f t="shared" si="150"/>
        <v>288.30197520356643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0.97780062538089685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0.97780062538089685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4.4337866711430253E-14</v>
      </c>
      <c r="DQ163" s="14">
        <f t="shared" si="176"/>
        <v>7.3222115536967035E-13</v>
      </c>
      <c r="DR163" s="22">
        <f t="shared" si="177"/>
        <v>1.3525069634579169E-12</v>
      </c>
      <c r="DS163" s="62">
        <f t="shared" si="125"/>
        <v>293.33333333333468</v>
      </c>
      <c r="DT163" s="62">
        <f ca="1">AVERAGE(OFFSET($DS$3,0,0,'Données projet'!$E$14+1,1))-AVERAGE(OFFSET($H$3,0,0,'Données projet'!$E$14+1,1))</f>
        <v>288.82868507674738</v>
      </c>
      <c r="DU163" s="62">
        <f t="shared" si="152"/>
        <v>283.48738729114024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0.777754844457613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0.777754844457613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-5.6843418860808015E-14</v>
      </c>
      <c r="EK163" s="18">
        <f>EJ163*VLOOKUP('Données projet'!$B$15,Paramètres!$A$1:$I$89,3,0)*VLOOKUP('Données projet'!$B$15,Paramètres!$A$1:$I$89,5,0)</f>
        <v>-5.1431925385259088E-14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366.86025470473652</v>
      </c>
      <c r="EP163" s="62">
        <f t="shared" si="154"/>
        <v>513.80016421153414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0.80644198957149971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0.80644198957149971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371.7282125501186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6.0529687463088653</v>
      </c>
      <c r="AA164" s="23">
        <f>EXP(-LN(2)/25)*AA163+(1-EXP(-LN(2)/25))/(LN(2)/25)*Calculateur!V164*Calculateur!X164*VLOOKUP('Données projet'!$B$9,Paramètres!$A$1:$I$89,3,0)*0.475*44/12</f>
        <v>1.1502985939716119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7.203267340280477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9.5769792096689348E-14</v>
      </c>
      <c r="AK164" s="14">
        <f t="shared" si="164"/>
        <v>1.4459910566979609E-12</v>
      </c>
      <c r="AL164" s="22">
        <f t="shared" si="165"/>
        <v>2.6852334783173491E-12</v>
      </c>
      <c r="AM164" s="62">
        <f t="shared" si="113"/>
        <v>293.33333333333599</v>
      </c>
      <c r="AN164" s="62">
        <f ca="1">AVERAGE(OFFSET($AM$3,0,0,'Données projet'!$E$10+1,1))-AVERAGE(OFFSET($H$3,0,0,'Données projet'!$E$10+1,1))</f>
        <v>348.82438445524105</v>
      </c>
      <c r="AO164" s="62">
        <f t="shared" si="144"/>
        <v>218.26721063098552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5.6355226258737714</v>
      </c>
      <c r="AV164" s="23">
        <f>EXP(-LN(2)/25)*AV163+(1-EXP(-LN(2)/25))/(LN(2)/25)*Calculateur!AQ164*Calculateur!AS164*VLOOKUP('Données projet'!$B$10,Paramètres!$A$1:$I$89,3,0)*0.475*44/12</f>
        <v>1.0709676564563302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6.7064902823301011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-3.2514435588382188E-14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309.71642374647882</v>
      </c>
      <c r="BJ164" s="62">
        <f t="shared" si="146"/>
        <v>266.63880397664315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40.300596948307643</v>
      </c>
      <c r="BQ164" s="23">
        <f>EXP(-LN(2)/25)*BQ163+(1-EXP(-LN(2)/25))/(LN(2)/25)*Calculateur!BL164*Calculateur!BN164*VLOOKUP('Données projet'!$B$11,Paramètres!$A$1:$I$89,3,0)*0.475*44/12</f>
        <v>1.5614834275124219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41.862080375820064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1.0995790944434703E-13</v>
      </c>
      <c r="CA164" s="14">
        <f t="shared" si="170"/>
        <v>1.6337280948049956E-12</v>
      </c>
      <c r="CB164" s="22">
        <f t="shared" si="171"/>
        <v>3.036919790734272E-12</v>
      </c>
      <c r="CC164" s="62">
        <f t="shared" si="119"/>
        <v>293.33333333333633</v>
      </c>
      <c r="CD164" s="62">
        <f ca="1">AVERAGE(OFFSET($CC$3,0,0,'Données projet'!$E$12+1,1))-AVERAGE(OFFSET($H$3,0,0,'Données projet'!$E$12+1,1))</f>
        <v>394.59880827600006</v>
      </c>
      <c r="CE164" s="62">
        <f t="shared" si="148"/>
        <v>244.45149244446094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6.4704148667439627</v>
      </c>
      <c r="CL164" s="23">
        <f>EXP(-LN(2)/25)*CL163+(1-EXP(-LN(2)/25))/(LN(2)/25)*Calculateur!CG164*Calculateur!CI164*VLOOKUP('Données projet'!$B$12,Paramètres!$A$1:$I$89,3,0)*0.475*44/12</f>
        <v>1.2296295314868955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7.7000443982308582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4.5224624045658861E-14</v>
      </c>
      <c r="CV164" s="14">
        <f t="shared" si="173"/>
        <v>7.4514601661523691E-13</v>
      </c>
      <c r="CW164" s="22">
        <f t="shared" si="174"/>
        <v>1.3765621991510601E-12</v>
      </c>
      <c r="CX164" s="62">
        <f t="shared" si="122"/>
        <v>293.33333333333468</v>
      </c>
      <c r="CY164" s="62">
        <f ca="1">AVERAGE(OFFSET($CX$3,0,0,'Données projet'!$E$13+1,1))-AVERAGE(OFFSET($H$3,0,0,'Données projet'!$E$13+1,1))</f>
        <v>293.90975929253631</v>
      </c>
      <c r="CZ164" s="62">
        <f t="shared" si="150"/>
        <v>288.30197520356643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0.95862655151666942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0.95862655151666942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4.4337866711430253E-14</v>
      </c>
      <c r="DQ164" s="14">
        <f t="shared" si="176"/>
        <v>7.3222115536967035E-13</v>
      </c>
      <c r="DR164" s="22">
        <f t="shared" si="177"/>
        <v>1.3525069634579169E-12</v>
      </c>
      <c r="DS164" s="62">
        <f t="shared" si="125"/>
        <v>293.33333333333468</v>
      </c>
      <c r="DT164" s="62">
        <f ca="1">AVERAGE(OFFSET($DS$3,0,0,'Données projet'!$E$14+1,1))-AVERAGE(OFFSET($H$3,0,0,'Données projet'!$E$14+1,1))</f>
        <v>288.82868507674738</v>
      </c>
      <c r="DU164" s="62">
        <f t="shared" si="152"/>
        <v>283.48738729114024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0.76250354634141282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0.76250354634141282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-5.6843418860808015E-14</v>
      </c>
      <c r="EK164" s="18">
        <f>EJ164*VLOOKUP('Données projet'!$B$15,Paramètres!$A$1:$I$89,3,0)*VLOOKUP('Données projet'!$B$15,Paramètres!$A$1:$I$89,5,0)</f>
        <v>-5.1431925385259088E-14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366.86025470473652</v>
      </c>
      <c r="EP164" s="62">
        <f t="shared" si="154"/>
        <v>513.80016421153414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0.790628154037047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0.790628154037047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371.7282125501186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5.9342737211401344</v>
      </c>
      <c r="AA165" s="23">
        <f>EXP(-LN(2)/25)*AA164+(1-EXP(-LN(2)/25))/(LN(2)/25)*Calculateur!V165*Calculateur!X165*VLOOKUP('Données projet'!$B$9,Paramètres!$A$1:$I$89,3,0)*0.475*44/12</f>
        <v>1.1188436184278843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7.0531173395680185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9.5769792096689348E-14</v>
      </c>
      <c r="AK165" s="14">
        <f t="shared" si="164"/>
        <v>1.4459910566979609E-12</v>
      </c>
      <c r="AL165" s="22">
        <f t="shared" si="165"/>
        <v>2.6852334783173491E-12</v>
      </c>
      <c r="AM165" s="62">
        <f t="shared" si="113"/>
        <v>293.33333333333599</v>
      </c>
      <c r="AN165" s="62">
        <f ca="1">AVERAGE(OFFSET($AM$3,0,0,'Données projet'!$E$10+1,1))-AVERAGE(OFFSET($H$3,0,0,'Données projet'!$E$10+1,1))</f>
        <v>348.82438445524105</v>
      </c>
      <c r="AO165" s="62">
        <f t="shared" si="144"/>
        <v>218.26721063098552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5.5250134645097804</v>
      </c>
      <c r="AV165" s="23">
        <f>EXP(-LN(2)/25)*AV164+(1-EXP(-LN(2)/25))/(LN(2)/25)*Calculateur!AQ165*Calculateur!AS165*VLOOKUP('Données projet'!$B$10,Paramètres!$A$1:$I$89,3,0)*0.475*44/12</f>
        <v>1.0416819895707905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6.5666954540805706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-3.2514435588382188E-14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309.71642374647882</v>
      </c>
      <c r="BJ165" s="62">
        <f t="shared" si="146"/>
        <v>266.63880397664315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39.510326823088299</v>
      </c>
      <c r="BQ165" s="23">
        <f>EXP(-LN(2)/25)*BQ164+(1-EXP(-LN(2)/25))/(LN(2)/25)*Calculateur!BL165*Calculateur!BN165*VLOOKUP('Données projet'!$B$11,Paramètres!$A$1:$I$89,3,0)*0.475*44/12</f>
        <v>1.51878458107225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41.029111404160545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1.0995790944434703E-13</v>
      </c>
      <c r="CA165" s="14">
        <f t="shared" si="170"/>
        <v>1.6337280948049956E-12</v>
      </c>
      <c r="CB165" s="22">
        <f t="shared" si="171"/>
        <v>3.036919790734272E-12</v>
      </c>
      <c r="CC165" s="62">
        <f t="shared" si="119"/>
        <v>293.33333333333633</v>
      </c>
      <c r="CD165" s="62">
        <f ca="1">AVERAGE(OFFSET($CC$3,0,0,'Données projet'!$E$12+1,1))-AVERAGE(OFFSET($H$3,0,0,'Données projet'!$E$12+1,1))</f>
        <v>394.59880827600006</v>
      </c>
      <c r="CE165" s="62">
        <f t="shared" si="148"/>
        <v>244.45149244446094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6.343533977770492</v>
      </c>
      <c r="CL165" s="23">
        <f>EXP(-LN(2)/25)*CL164+(1-EXP(-LN(2)/25))/(LN(2)/25)*Calculateur!CG165*Calculateur!CI165*VLOOKUP('Données projet'!$B$12,Paramètres!$A$1:$I$89,3,0)*0.475*44/12</f>
        <v>1.1960052472849796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7.5395392250554716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4.5224624045658861E-14</v>
      </c>
      <c r="CV165" s="14">
        <f t="shared" si="173"/>
        <v>7.4514601661523691E-13</v>
      </c>
      <c r="CW165" s="22">
        <f t="shared" si="174"/>
        <v>1.3765621991510601E-12</v>
      </c>
      <c r="CX165" s="62">
        <f t="shared" si="122"/>
        <v>293.33333333333468</v>
      </c>
      <c r="CY165" s="62">
        <f ca="1">AVERAGE(OFFSET($CX$3,0,0,'Données projet'!$E$13+1,1))-AVERAGE(OFFSET($H$3,0,0,'Données projet'!$E$13+1,1))</f>
        <v>293.90975929253631</v>
      </c>
      <c r="CZ165" s="62">
        <f t="shared" si="150"/>
        <v>288.30197520356643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0.93982846954588917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0.93982846954588917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4.4337866711430253E-14</v>
      </c>
      <c r="DQ165" s="14">
        <f t="shared" si="176"/>
        <v>7.3222115536967035E-13</v>
      </c>
      <c r="DR165" s="22">
        <f t="shared" si="177"/>
        <v>1.3525069634579169E-12</v>
      </c>
      <c r="DS165" s="62">
        <f t="shared" si="125"/>
        <v>293.33333333333468</v>
      </c>
      <c r="DT165" s="62">
        <f ca="1">AVERAGE(OFFSET($DS$3,0,0,'Données projet'!$E$14+1,1))-AVERAGE(OFFSET($H$3,0,0,'Données projet'!$E$14+1,1))</f>
        <v>288.82868507674738</v>
      </c>
      <c r="DU165" s="62">
        <f t="shared" si="152"/>
        <v>283.48738729114024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0.74755131687889798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0.74755131687889798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-5.6843418860808015E-14</v>
      </c>
      <c r="EK165" s="18">
        <f>EJ165*VLOOKUP('Données projet'!$B$15,Paramètres!$A$1:$I$89,3,0)*VLOOKUP('Données projet'!$B$15,Paramètres!$A$1:$I$89,5,0)</f>
        <v>-5.1431925385259088E-14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366.86025470473652</v>
      </c>
      <c r="EP165" s="62">
        <f t="shared" si="154"/>
        <v>513.80016421153414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0.77512441817193767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0.77512441817193767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371.7282125501186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5.817906233018145</v>
      </c>
      <c r="AA166" s="23">
        <f>EXP(-LN(2)/25)*AA165+(1-EXP(-LN(2)/25))/(LN(2)/25)*Calculateur!V166*Calculateur!X166*VLOOKUP('Données projet'!$B$9,Paramètres!$A$1:$I$89,3,0)*0.475*44/12</f>
        <v>1.0882487808445451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6.9061550138626906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9.5769792096689348E-14</v>
      </c>
      <c r="AK166" s="14">
        <f t="shared" si="164"/>
        <v>1.4459910566979609E-12</v>
      </c>
      <c r="AL166" s="22">
        <f t="shared" si="165"/>
        <v>2.6852334783173491E-12</v>
      </c>
      <c r="AM166" s="62">
        <f t="shared" si="113"/>
        <v>293.33333333333599</v>
      </c>
      <c r="AN166" s="62">
        <f ca="1">AVERAGE(OFFSET($AM$3,0,0,'Données projet'!$E$10+1,1))-AVERAGE(OFFSET($H$3,0,0,'Données projet'!$E$10+1,1))</f>
        <v>348.82438445524105</v>
      </c>
      <c r="AO166" s="62">
        <f t="shared" si="144"/>
        <v>218.26721063098552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5.4166713203962047</v>
      </c>
      <c r="AV166" s="23">
        <f>EXP(-LN(2)/25)*AV165+(1-EXP(-LN(2)/25))/(LN(2)/25)*Calculateur!AQ166*Calculateur!AS166*VLOOKUP('Données projet'!$B$10,Paramètres!$A$1:$I$89,3,0)*0.475*44/12</f>
        <v>1.0131971407863023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6.4298684611825072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-3.2514435588382188E-14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309.71642374647882</v>
      </c>
      <c r="BJ166" s="62">
        <f t="shared" si="146"/>
        <v>266.63880397664315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38.735553413007331</v>
      </c>
      <c r="BQ166" s="23">
        <f>EXP(-LN(2)/25)*BQ165+(1-EXP(-LN(2)/25))/(LN(2)/25)*Calculateur!BL166*Calculateur!BN166*VLOOKUP('Données projet'!$B$11,Paramètres!$A$1:$I$89,3,0)*0.475*44/12</f>
        <v>1.4772533368334195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40.212806749840752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1.0995790944434703E-13</v>
      </c>
      <c r="CA166" s="14">
        <f t="shared" si="170"/>
        <v>1.6337280948049956E-12</v>
      </c>
      <c r="CB166" s="22">
        <f t="shared" si="171"/>
        <v>3.036919790734272E-12</v>
      </c>
      <c r="CC166" s="62">
        <f t="shared" si="119"/>
        <v>293.33333333333633</v>
      </c>
      <c r="CD166" s="62">
        <f ca="1">AVERAGE(OFFSET($CC$3,0,0,'Données projet'!$E$12+1,1))-AVERAGE(OFFSET($H$3,0,0,'Données projet'!$E$12+1,1))</f>
        <v>394.59880827600006</v>
      </c>
      <c r="CE166" s="62">
        <f t="shared" si="148"/>
        <v>244.45149244446094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6.2191411456400898</v>
      </c>
      <c r="CL166" s="23">
        <f>EXP(-LN(2)/25)*CL165+(1-EXP(-LN(2)/25))/(LN(2)/25)*Calculateur!CG166*Calculateur!CI166*VLOOKUP('Données projet'!$B$12,Paramètres!$A$1:$I$89,3,0)*0.475*44/12</f>
        <v>1.1633004209027893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7.3824415665428793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4.5224624045658861E-14</v>
      </c>
      <c r="CV166" s="14">
        <f t="shared" si="173"/>
        <v>7.4514601661523691E-13</v>
      </c>
      <c r="CW166" s="22">
        <f t="shared" si="174"/>
        <v>1.3765621991510601E-12</v>
      </c>
      <c r="CX166" s="62">
        <f t="shared" si="122"/>
        <v>293.33333333333468</v>
      </c>
      <c r="CY166" s="62">
        <f ca="1">AVERAGE(OFFSET($CX$3,0,0,'Données projet'!$E$13+1,1))-AVERAGE(OFFSET($H$3,0,0,'Données projet'!$E$13+1,1))</f>
        <v>293.90975929253631</v>
      </c>
      <c r="CZ166" s="62">
        <f t="shared" si="150"/>
        <v>288.30197520356643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0.92139900649685813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0.92139900649685813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4.4337866711430253E-14</v>
      </c>
      <c r="DQ166" s="14">
        <f t="shared" si="176"/>
        <v>7.3222115536967035E-13</v>
      </c>
      <c r="DR166" s="22">
        <f t="shared" si="177"/>
        <v>1.3525069634579169E-12</v>
      </c>
      <c r="DS166" s="62">
        <f t="shared" si="125"/>
        <v>293.33333333333468</v>
      </c>
      <c r="DT166" s="62">
        <f ca="1">AVERAGE(OFFSET($DS$3,0,0,'Données projet'!$E$14+1,1))-AVERAGE(OFFSET($H$3,0,0,'Données projet'!$E$14+1,1))</f>
        <v>288.82868507674738</v>
      </c>
      <c r="DU166" s="62">
        <f t="shared" si="152"/>
        <v>283.48738729114024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0.73289229151618362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0.73289229151618362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-5.6843418860808015E-14</v>
      </c>
      <c r="EK166" s="18">
        <f>EJ166*VLOOKUP('Données projet'!$B$15,Paramètres!$A$1:$I$89,3,0)*VLOOKUP('Données projet'!$B$15,Paramètres!$A$1:$I$89,5,0)</f>
        <v>-5.1431925385259088E-14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366.86025470473652</v>
      </c>
      <c r="EP166" s="62">
        <f t="shared" si="154"/>
        <v>513.80016421153414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0.75992470111079802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0.75992470111079802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371.7282125501186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5.7038206403610685</v>
      </c>
      <c r="AA167" s="23">
        <f>EXP(-LN(2)/25)*AA166+(1-EXP(-LN(2)/25))/(LN(2)/25)*Calculateur!V167*Calculateur!X167*VLOOKUP('Données projet'!$B$9,Paramètres!$A$1:$I$89,3,0)*0.475*44/12</f>
        <v>1.0584905607038348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6.7623112010649038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9.5769792096689348E-14</v>
      </c>
      <c r="AK167" s="14">
        <f t="shared" si="164"/>
        <v>1.4459910566979609E-12</v>
      </c>
      <c r="AL167" s="22">
        <f t="shared" si="165"/>
        <v>2.6852334783173491E-12</v>
      </c>
      <c r="AM167" s="62">
        <f t="shared" si="113"/>
        <v>293.33333333333599</v>
      </c>
      <c r="AN167" s="62">
        <f ca="1">AVERAGE(OFFSET($AM$3,0,0,'Données projet'!$E$10+1,1))-AVERAGE(OFFSET($H$3,0,0,'Données projet'!$E$10+1,1))</f>
        <v>348.82438445524105</v>
      </c>
      <c r="AO167" s="62">
        <f t="shared" si="144"/>
        <v>218.26721063098552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5.310453699646513</v>
      </c>
      <c r="AV167" s="23">
        <f>EXP(-LN(2)/25)*AV166+(1-EXP(-LN(2)/25))/(LN(2)/25)*Calculateur!AQ167*Calculateur!AS167*VLOOKUP('Données projet'!$B$10,Paramètres!$A$1:$I$89,3,0)*0.475*44/12</f>
        <v>0.98549121168977893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6.2959449113362922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-3.2514435588382188E-14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309.71642374647882</v>
      </c>
      <c r="BJ167" s="62">
        <f t="shared" si="146"/>
        <v>266.63880397664315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37.975972836932932</v>
      </c>
      <c r="BQ167" s="23">
        <f>EXP(-LN(2)/25)*BQ166+(1-EXP(-LN(2)/25))/(LN(2)/25)*Calculateur!BL167*Calculateur!BN167*VLOOKUP('Données projet'!$B$11,Paramètres!$A$1:$I$89,3,0)*0.475*44/12</f>
        <v>1.436857766652333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39.412830603585263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1.0995790944434703E-13</v>
      </c>
      <c r="CA167" s="14">
        <f t="shared" si="170"/>
        <v>1.6337280948049956E-12</v>
      </c>
      <c r="CB167" s="22">
        <f t="shared" si="171"/>
        <v>3.036919790734272E-12</v>
      </c>
      <c r="CC167" s="62">
        <f t="shared" si="119"/>
        <v>293.33333333333633</v>
      </c>
      <c r="CD167" s="62">
        <f ca="1">AVERAGE(OFFSET($CC$3,0,0,'Données projet'!$E$12+1,1))-AVERAGE(OFFSET($H$3,0,0,'Données projet'!$E$12+1,1))</f>
        <v>394.59880827600006</v>
      </c>
      <c r="CE167" s="62">
        <f t="shared" si="148"/>
        <v>244.45149244446094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6.0971875810756293</v>
      </c>
      <c r="CL167" s="23">
        <f>EXP(-LN(2)/25)*CL166+(1-EXP(-LN(2)/25))/(LN(2)/25)*Calculateur!CG167*Calculateur!CI167*VLOOKUP('Données projet'!$B$12,Paramètres!$A$1:$I$89,3,0)*0.475*44/12</f>
        <v>1.1314899097178921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7.2286774907935216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4.5224624045658861E-14</v>
      </c>
      <c r="CV167" s="14">
        <f t="shared" si="173"/>
        <v>7.4514601661523691E-13</v>
      </c>
      <c r="CW167" s="22">
        <f t="shared" si="174"/>
        <v>1.3765621991510601E-12</v>
      </c>
      <c r="CX167" s="62">
        <f t="shared" si="122"/>
        <v>293.33333333333468</v>
      </c>
      <c r="CY167" s="62">
        <f ca="1">AVERAGE(OFFSET($CX$3,0,0,'Données projet'!$E$13+1,1))-AVERAGE(OFFSET($H$3,0,0,'Données projet'!$E$13+1,1))</f>
        <v>293.90975929253631</v>
      </c>
      <c r="CZ167" s="62">
        <f t="shared" si="150"/>
        <v>288.30197520356643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0.90333093397735598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0.90333093397735598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4.4337866711430253E-14</v>
      </c>
      <c r="DQ167" s="14">
        <f t="shared" si="176"/>
        <v>7.3222115536967035E-13</v>
      </c>
      <c r="DR167" s="22">
        <f t="shared" si="177"/>
        <v>1.3525069634579169E-12</v>
      </c>
      <c r="DS167" s="62">
        <f t="shared" si="125"/>
        <v>293.33333333333468</v>
      </c>
      <c r="DT167" s="62">
        <f ca="1">AVERAGE(OFFSET($DS$3,0,0,'Données projet'!$E$14+1,1))-AVERAGE(OFFSET($H$3,0,0,'Données projet'!$E$14+1,1))</f>
        <v>288.82868507674738</v>
      </c>
      <c r="DU167" s="62">
        <f t="shared" si="152"/>
        <v>283.48738729114024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0.71852072069970951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0.71852072069970951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-5.6843418860808015E-14</v>
      </c>
      <c r="EK167" s="18">
        <f>EJ167*VLOOKUP('Données projet'!$B$15,Paramètres!$A$1:$I$89,3,0)*VLOOKUP('Données projet'!$B$15,Paramètres!$A$1:$I$89,5,0)</f>
        <v>-5.1431925385259088E-14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366.86025470473652</v>
      </c>
      <c r="EP167" s="62">
        <f t="shared" si="154"/>
        <v>513.80016421153414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0.74502304123031526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0.74502304123031526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371.7282125501186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5.5919721965906568</v>
      </c>
      <c r="AA168" s="23">
        <f>EXP(-LN(2)/25)*AA167+(1-EXP(-LN(2)/25))/(LN(2)/25)*Calculateur!V168*Calculateur!X168*VLOOKUP('Données projet'!$B$9,Paramètres!$A$1:$I$89,3,0)*0.475*44/12</f>
        <v>1.0295460806577892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6.6215182772484464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9.5769792096689348E-14</v>
      </c>
      <c r="AK168" s="14">
        <f t="shared" si="164"/>
        <v>1.4459910566979609E-12</v>
      </c>
      <c r="AL168" s="22">
        <f t="shared" si="165"/>
        <v>2.6852334783173491E-12</v>
      </c>
      <c r="AM168" s="62">
        <f t="shared" si="113"/>
        <v>293.33333333333599</v>
      </c>
      <c r="AN168" s="62">
        <f ca="1">AVERAGE(OFFSET($AM$3,0,0,'Données projet'!$E$10+1,1))-AVERAGE(OFFSET($H$3,0,0,'Données projet'!$E$10+1,1))</f>
        <v>348.82438445524105</v>
      </c>
      <c r="AO168" s="62">
        <f t="shared" si="144"/>
        <v>218.26721063098552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5.2063189416533717</v>
      </c>
      <c r="AV168" s="23">
        <f>EXP(-LN(2)/25)*AV167+(1-EXP(-LN(2)/25))/(LN(2)/25)*Calculateur!AQ168*Calculateur!AS168*VLOOKUP('Données projet'!$B$10,Paramètres!$A$1:$I$89,3,0)*0.475*44/12</f>
        <v>0.95854290268139153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6.1648618443347631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-3.2514435588382188E-14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309.71642374647882</v>
      </c>
      <c r="BJ168" s="62">
        <f t="shared" si="146"/>
        <v>266.63880397664315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37.231287172656948</v>
      </c>
      <c r="BQ168" s="23">
        <f>EXP(-LN(2)/25)*BQ167+(1-EXP(-LN(2)/25))/(LN(2)/25)*Calculateur!BL168*Calculateur!BN168*VLOOKUP('Données projet'!$B$11,Paramètres!$A$1:$I$89,3,0)*0.475*44/12</f>
        <v>1.397566815462159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38.628853988119104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1.0995790944434703E-13</v>
      </c>
      <c r="CA168" s="14">
        <f t="shared" si="170"/>
        <v>1.6337280948049956E-12</v>
      </c>
      <c r="CB168" s="22">
        <f t="shared" si="171"/>
        <v>3.036919790734272E-12</v>
      </c>
      <c r="CC168" s="62">
        <f t="shared" si="119"/>
        <v>293.33333333333633</v>
      </c>
      <c r="CD168" s="62">
        <f ca="1">AVERAGE(OFFSET($CC$3,0,0,'Données projet'!$E$12+1,1))-AVERAGE(OFFSET($H$3,0,0,'Données projet'!$E$12+1,1))</f>
        <v>394.59880827600006</v>
      </c>
      <c r="CE168" s="62">
        <f t="shared" si="148"/>
        <v>244.45149244446094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5.9776254515279481</v>
      </c>
      <c r="CL168" s="23">
        <f>EXP(-LN(2)/25)*CL167+(1-EXP(-LN(2)/25))/(LN(2)/25)*Calculateur!CG168*Calculateur!CI168*VLOOKUP('Données projet'!$B$12,Paramètres!$A$1:$I$89,3,0)*0.475*44/12</f>
        <v>1.1005492586341881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7.078174710162136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4.5224624045658861E-14</v>
      </c>
      <c r="CV168" s="14">
        <f t="shared" si="173"/>
        <v>7.4514601661523691E-13</v>
      </c>
      <c r="CW168" s="22">
        <f t="shared" si="174"/>
        <v>1.3765621991510601E-12</v>
      </c>
      <c r="CX168" s="62">
        <f t="shared" si="122"/>
        <v>293.33333333333468</v>
      </c>
      <c r="CY168" s="62">
        <f ca="1">AVERAGE(OFFSET($CX$3,0,0,'Données projet'!$E$13+1,1))-AVERAGE(OFFSET($H$3,0,0,'Données projet'!$E$13+1,1))</f>
        <v>293.90975929253631</v>
      </c>
      <c r="CZ168" s="62">
        <f t="shared" si="150"/>
        <v>288.30197520356643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0.88561716533952528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0.88561716533952528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4.4337866711430253E-14</v>
      </c>
      <c r="DQ168" s="14">
        <f t="shared" si="176"/>
        <v>7.3222115536967035E-13</v>
      </c>
      <c r="DR168" s="22">
        <f t="shared" si="177"/>
        <v>1.3525069634579169E-12</v>
      </c>
      <c r="DS168" s="62">
        <f t="shared" si="125"/>
        <v>293.33333333333468</v>
      </c>
      <c r="DT168" s="62">
        <f ca="1">AVERAGE(OFFSET($DS$3,0,0,'Données projet'!$E$14+1,1))-AVERAGE(OFFSET($H$3,0,0,'Données projet'!$E$14+1,1))</f>
        <v>288.82868507674738</v>
      </c>
      <c r="DU168" s="62">
        <f t="shared" si="152"/>
        <v>283.48738729114024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0.70443096762115376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0.70443096762115376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-5.6843418860808015E-14</v>
      </c>
      <c r="EK168" s="18">
        <f>EJ168*VLOOKUP('Données projet'!$B$15,Paramètres!$A$1:$I$89,3,0)*VLOOKUP('Données projet'!$B$15,Paramètres!$A$1:$I$89,5,0)</f>
        <v>-5.1431925385259088E-14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366.86025470473652</v>
      </c>
      <c r="EP168" s="62">
        <f t="shared" si="154"/>
        <v>513.80016421153414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0.73041359381097382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0.73041359381097382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371.7282125501186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5.4823170325817685</v>
      </c>
      <c r="AA169" s="23">
        <f>EXP(-LN(2)/25)*AA168+(1-EXP(-LN(2)/25))/(LN(2)/25)*Calculateur!V169*Calculateur!X169*VLOOKUP('Données projet'!$B$9,Paramètres!$A$1:$I$89,3,0)*0.475*44/12</f>
        <v>1.0013930889407265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6.4837101215224955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9.5769792096689348E-14</v>
      </c>
      <c r="AK169" s="14">
        <f t="shared" si="164"/>
        <v>1.4459910566979609E-12</v>
      </c>
      <c r="AL169" s="22">
        <f t="shared" si="165"/>
        <v>2.6852334783173491E-12</v>
      </c>
      <c r="AM169" s="62">
        <f t="shared" si="113"/>
        <v>293.33333333333599</v>
      </c>
      <c r="AN169" s="62">
        <f ca="1">AVERAGE(OFFSET($AM$3,0,0,'Données projet'!$E$10+1,1))-AVERAGE(OFFSET($H$3,0,0,'Données projet'!$E$10+1,1))</f>
        <v>348.82438445524105</v>
      </c>
      <c r="AO169" s="62">
        <f t="shared" si="144"/>
        <v>218.26721063098552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5.1042262027485448</v>
      </c>
      <c r="AV169" s="23">
        <f>EXP(-LN(2)/25)*AV168+(1-EXP(-LN(2)/25))/(LN(2)/25)*Calculateur!AQ169*Calculateur!AS169*VLOOKUP('Données projet'!$B$10,Paramètres!$A$1:$I$89,3,0)*0.475*44/12</f>
        <v>0.93233149659998837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6.036557699348533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-3.2514435588382188E-14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309.71642374647882</v>
      </c>
      <c r="BJ169" s="62">
        <f t="shared" si="146"/>
        <v>266.63880397664315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36.501204340044012</v>
      </c>
      <c r="BQ169" s="23">
        <f>EXP(-LN(2)/25)*BQ168+(1-EXP(-LN(2)/25))/(LN(2)/25)*Calculateur!BL169*Calculateur!BN169*VLOOKUP('Données projet'!$B$11,Paramètres!$A$1:$I$89,3,0)*0.475*44/12</f>
        <v>1.3593502773985016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37.860554617442517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1.0995790944434703E-13</v>
      </c>
      <c r="CA169" s="14">
        <f t="shared" si="170"/>
        <v>1.6337280948049956E-12</v>
      </c>
      <c r="CB169" s="22">
        <f t="shared" si="171"/>
        <v>3.036919790734272E-12</v>
      </c>
      <c r="CC169" s="62">
        <f t="shared" si="119"/>
        <v>293.33333333333633</v>
      </c>
      <c r="CD169" s="62">
        <f ca="1">AVERAGE(OFFSET($CC$3,0,0,'Données projet'!$E$12+1,1))-AVERAGE(OFFSET($H$3,0,0,'Données projet'!$E$12+1,1))</f>
        <v>394.59880827600006</v>
      </c>
      <c r="CE169" s="62">
        <f t="shared" si="148"/>
        <v>244.45149244446094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5.8604078624149984</v>
      </c>
      <c r="CL169" s="23">
        <f>EXP(-LN(2)/25)*CL168+(1-EXP(-LN(2)/25))/(LN(2)/25)*Calculateur!CG169*Calculateur!CI169*VLOOKUP('Données projet'!$B$12,Paramètres!$A$1:$I$89,3,0)*0.475*44/12</f>
        <v>1.0704546812814659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6.9308625436964642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4.5224624045658861E-14</v>
      </c>
      <c r="CV169" s="14">
        <f t="shared" si="173"/>
        <v>7.4514601661523691E-13</v>
      </c>
      <c r="CW169" s="22">
        <f t="shared" si="174"/>
        <v>1.3765621991510601E-12</v>
      </c>
      <c r="CX169" s="62">
        <f t="shared" si="122"/>
        <v>293.33333333333468</v>
      </c>
      <c r="CY169" s="62">
        <f ca="1">AVERAGE(OFFSET($CX$3,0,0,'Données projet'!$E$13+1,1))-AVERAGE(OFFSET($H$3,0,0,'Données projet'!$E$13+1,1))</f>
        <v>293.90975929253631</v>
      </c>
      <c r="CZ169" s="62">
        <f t="shared" si="150"/>
        <v>288.30197520356643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0.86825075290035036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0.86825075290035036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4.4337866711430253E-14</v>
      </c>
      <c r="DQ169" s="14">
        <f t="shared" si="176"/>
        <v>7.3222115536967035E-13</v>
      </c>
      <c r="DR169" s="22">
        <f t="shared" si="177"/>
        <v>1.3525069634579169E-12</v>
      </c>
      <c r="DS169" s="62">
        <f t="shared" si="125"/>
        <v>293.33333333333468</v>
      </c>
      <c r="DT169" s="62">
        <f ca="1">AVERAGE(OFFSET($DS$3,0,0,'Données projet'!$E$14+1,1))-AVERAGE(OFFSET($H$3,0,0,'Données projet'!$E$14+1,1))</f>
        <v>288.82868507674738</v>
      </c>
      <c r="DU169" s="62">
        <f t="shared" si="152"/>
        <v>283.48738729114024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0.69061750600656768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0.69061750600656768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-5.6843418860808015E-14</v>
      </c>
      <c r="EK169" s="18">
        <f>EJ169*VLOOKUP('Données projet'!$B$15,Paramètres!$A$1:$I$89,3,0)*VLOOKUP('Données projet'!$B$15,Paramètres!$A$1:$I$89,5,0)</f>
        <v>-5.1431925385259088E-14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366.86025470473652</v>
      </c>
      <c r="EP169" s="62">
        <f t="shared" si="154"/>
        <v>513.80016421153414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0.71609062874464258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0.71609062874464258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371.7282125501186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5.3748121394560489</v>
      </c>
      <c r="AA170" s="23">
        <f>EXP(-LN(2)/25)*AA169+(1-EXP(-LN(2)/25))/(LN(2)/25)*Calculateur!V170*Calculateur!X170*VLOOKUP('Données projet'!$B$9,Paramètres!$A$1:$I$89,3,0)*0.475*44/12</f>
        <v>0.97400994226266857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6.3488220817187173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9.5769792096689348E-14</v>
      </c>
      <c r="AK170" s="14">
        <f t="shared" si="164"/>
        <v>1.4459910566979609E-12</v>
      </c>
      <c r="AL170" s="22">
        <f t="shared" si="165"/>
        <v>2.6852334783173491E-12</v>
      </c>
      <c r="AM170" s="62">
        <f t="shared" si="113"/>
        <v>293.33333333333599</v>
      </c>
      <c r="AN170" s="62">
        <f ca="1">AVERAGE(OFFSET($AM$3,0,0,'Données projet'!$E$10+1,1))-AVERAGE(OFFSET($H$3,0,0,'Données projet'!$E$10+1,1))</f>
        <v>348.82438445524105</v>
      </c>
      <c r="AO170" s="62">
        <f t="shared" si="144"/>
        <v>218.26721063098552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5.0041354401832194</v>
      </c>
      <c r="AV170" s="23">
        <f>EXP(-LN(2)/25)*AV169+(1-EXP(-LN(2)/25))/(LN(2)/25)*Calculateur!AQ170*Calculateur!AS170*VLOOKUP('Données projet'!$B$10,Paramètres!$A$1:$I$89,3,0)*0.475*44/12</f>
        <v>0.90683684279627919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5.9109722829794986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-3.2514435588382188E-14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309.71642374647882</v>
      </c>
      <c r="BJ170" s="62">
        <f t="shared" si="146"/>
        <v>266.63880397664315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35.785437986472054</v>
      </c>
      <c r="BQ170" s="23">
        <f>EXP(-LN(2)/25)*BQ169+(1-EXP(-LN(2)/25))/(LN(2)/25)*Calculateur!BL170*Calculateur!BN170*VLOOKUP('Données projet'!$B$11,Paramètres!$A$1:$I$89,3,0)*0.475*44/12</f>
        <v>1.3221787725779153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37.107616759049968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1.0995790944434703E-13</v>
      </c>
      <c r="CA170" s="14">
        <f t="shared" si="170"/>
        <v>1.6337280948049956E-12</v>
      </c>
      <c r="CB170" s="22">
        <f t="shared" si="171"/>
        <v>3.036919790734272E-12</v>
      </c>
      <c r="CC170" s="62">
        <f t="shared" si="119"/>
        <v>293.33333333333633</v>
      </c>
      <c r="CD170" s="62">
        <f ca="1">AVERAGE(OFFSET($CC$3,0,0,'Données projet'!$E$12+1,1))-AVERAGE(OFFSET($H$3,0,0,'Données projet'!$E$12+1,1))</f>
        <v>394.59880827600006</v>
      </c>
      <c r="CE170" s="62">
        <f t="shared" si="148"/>
        <v>244.45149244446094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5.7454888387288845</v>
      </c>
      <c r="CL170" s="23">
        <f>EXP(-LN(2)/25)*CL169+(1-EXP(-LN(2)/25))/(LN(2)/25)*Calculateur!CG170*Calculateur!CI170*VLOOKUP('Données projet'!$B$12,Paramètres!$A$1:$I$89,3,0)*0.475*44/12</f>
        <v>1.0411830417290591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6.7866718804579431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4.5224624045658861E-14</v>
      </c>
      <c r="CV170" s="14">
        <f t="shared" si="173"/>
        <v>7.4514601661523691E-13</v>
      </c>
      <c r="CW170" s="22">
        <f t="shared" si="174"/>
        <v>1.3765621991510601E-12</v>
      </c>
      <c r="CX170" s="62">
        <f t="shared" si="122"/>
        <v>293.33333333333468</v>
      </c>
      <c r="CY170" s="62">
        <f ca="1">AVERAGE(OFFSET($CX$3,0,0,'Données projet'!$E$13+1,1))-AVERAGE(OFFSET($H$3,0,0,'Données projet'!$E$13+1,1))</f>
        <v>293.90975929253631</v>
      </c>
      <c r="CZ170" s="62">
        <f t="shared" si="150"/>
        <v>288.30197520356643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0.85122488521664197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0.85122488521664197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4.4337866711430253E-14</v>
      </c>
      <c r="DQ170" s="14">
        <f t="shared" si="176"/>
        <v>7.3222115536967035E-13</v>
      </c>
      <c r="DR170" s="22">
        <f t="shared" si="177"/>
        <v>1.3525069634579169E-12</v>
      </c>
      <c r="DS170" s="62">
        <f t="shared" si="125"/>
        <v>293.33333333333468</v>
      </c>
      <c r="DT170" s="62">
        <f ca="1">AVERAGE(OFFSET($DS$3,0,0,'Données projet'!$E$14+1,1))-AVERAGE(OFFSET($H$3,0,0,'Données projet'!$E$14+1,1))</f>
        <v>288.82868507674738</v>
      </c>
      <c r="DU170" s="62">
        <f t="shared" si="152"/>
        <v>283.48738729114024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0.6770749179488641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0.6770749179488641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-5.6843418860808015E-14</v>
      </c>
      <c r="EK170" s="18">
        <f>EJ170*VLOOKUP('Données projet'!$B$15,Paramètres!$A$1:$I$89,3,0)*VLOOKUP('Données projet'!$B$15,Paramètres!$A$1:$I$89,5,0)</f>
        <v>-5.1431925385259088E-14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366.86025470473652</v>
      </c>
      <c r="EP170" s="62">
        <f t="shared" si="154"/>
        <v>513.80016421153414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0.70204852828711595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0.70204852828711595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371.7282125501186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5.2694153517130147</v>
      </c>
      <c r="AA171" s="23">
        <f>EXP(-LN(2)/25)*AA170+(1-EXP(-LN(2)/25))/(LN(2)/25)*Calculateur!V171*Calculateur!X171*VLOOKUP('Données projet'!$B$9,Paramètres!$A$1:$I$89,3,0)*0.475*44/12</f>
        <v>0.94737558917053921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6.2167909408835538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9.5769792096689348E-14</v>
      </c>
      <c r="AK171" s="14">
        <f t="shared" si="164"/>
        <v>1.4459910566979609E-12</v>
      </c>
      <c r="AL171" s="22">
        <f t="shared" si="165"/>
        <v>2.6852334783173491E-12</v>
      </c>
      <c r="AM171" s="62">
        <f t="shared" si="113"/>
        <v>293.33333333333599</v>
      </c>
      <c r="AN171" s="62">
        <f ca="1">AVERAGE(OFFSET($AM$3,0,0,'Données projet'!$E$10+1,1))-AVERAGE(OFFSET($H$3,0,0,'Données projet'!$E$10+1,1))</f>
        <v>348.82438445524105</v>
      </c>
      <c r="AO171" s="62">
        <f t="shared" si="144"/>
        <v>218.26721063098552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4.9060073964224635</v>
      </c>
      <c r="AV171" s="23">
        <f>EXP(-LN(2)/25)*AV170+(1-EXP(-LN(2)/25))/(LN(2)/25)*Calculateur!AQ171*Calculateur!AS171*VLOOKUP('Données projet'!$B$10,Paramètres!$A$1:$I$89,3,0)*0.475*44/12</f>
        <v>0.88203934164153797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5.7880467380640015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-3.2514435588382188E-14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309.71642374647882</v>
      </c>
      <c r="BJ171" s="62">
        <f t="shared" si="146"/>
        <v>266.63880397664315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35.083707374519278</v>
      </c>
      <c r="BQ171" s="23">
        <f>EXP(-LN(2)/25)*BQ170+(1-EXP(-LN(2)/25))/(LN(2)/25)*Calculateur!BL171*Calculateur!BN171*VLOOKUP('Données projet'!$B$11,Paramètres!$A$1:$I$89,3,0)*0.475*44/12</f>
        <v>1.2860237245114123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36.369731099030687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1.0995790944434703E-13</v>
      </c>
      <c r="CA171" s="14">
        <f t="shared" si="170"/>
        <v>1.6337280948049956E-12</v>
      </c>
      <c r="CB171" s="22">
        <f t="shared" si="171"/>
        <v>3.036919790734272E-12</v>
      </c>
      <c r="CC171" s="62">
        <f t="shared" si="119"/>
        <v>293.33333333333633</v>
      </c>
      <c r="CD171" s="62">
        <f ca="1">AVERAGE(OFFSET($CC$3,0,0,'Données projet'!$E$12+1,1))-AVERAGE(OFFSET($H$3,0,0,'Données projet'!$E$12+1,1))</f>
        <v>394.59880827600006</v>
      </c>
      <c r="CE171" s="62">
        <f t="shared" si="148"/>
        <v>244.45149244446094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5.632823307003572</v>
      </c>
      <c r="CL171" s="23">
        <f>EXP(-LN(2)/25)*CL170+(1-EXP(-LN(2)/25))/(LN(2)/25)*Calculateur!CG171*Calculateur!CI171*VLOOKUP('Données projet'!$B$12,Paramètres!$A$1:$I$89,3,0)*0.475*44/12</f>
        <v>1.0127118366995413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6.6455351437031132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4.5224624045658861E-14</v>
      </c>
      <c r="CV171" s="14">
        <f t="shared" si="173"/>
        <v>7.4514601661523691E-13</v>
      </c>
      <c r="CW171" s="22">
        <f t="shared" si="174"/>
        <v>1.3765621991510601E-12</v>
      </c>
      <c r="CX171" s="62">
        <f t="shared" si="122"/>
        <v>293.33333333333468</v>
      </c>
      <c r="CY171" s="62">
        <f ca="1">AVERAGE(OFFSET($CX$3,0,0,'Données projet'!$E$13+1,1))-AVERAGE(OFFSET($H$3,0,0,'Données projet'!$E$13+1,1))</f>
        <v>293.90975929253631</v>
      </c>
      <c r="CZ171" s="62">
        <f t="shared" si="150"/>
        <v>288.30197520356643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0.8345328844134573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0.8345328844134573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4.4337866711430253E-14</v>
      </c>
      <c r="DQ171" s="14">
        <f t="shared" si="176"/>
        <v>7.3222115536967035E-13</v>
      </c>
      <c r="DR171" s="22">
        <f t="shared" si="177"/>
        <v>1.3525069634579169E-12</v>
      </c>
      <c r="DS171" s="62">
        <f t="shared" si="125"/>
        <v>293.33333333333468</v>
      </c>
      <c r="DT171" s="62">
        <f ca="1">AVERAGE(OFFSET($DS$3,0,0,'Données projet'!$E$14+1,1))-AVERAGE(OFFSET($H$3,0,0,'Données projet'!$E$14+1,1))</f>
        <v>288.82868507674738</v>
      </c>
      <c r="DU171" s="62">
        <f t="shared" si="152"/>
        <v>283.48738729114024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0.6637978917828089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0.6637978917828089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-5.6843418860808015E-14</v>
      </c>
      <c r="EK171" s="18">
        <f>EJ171*VLOOKUP('Données projet'!$B$15,Paramètres!$A$1:$I$89,3,0)*VLOOKUP('Données projet'!$B$15,Paramètres!$A$1:$I$89,5,0)</f>
        <v>-5.1431925385259088E-14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366.86025470473652</v>
      </c>
      <c r="EP171" s="62">
        <f t="shared" si="154"/>
        <v>513.80016421153414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0.68828178485472591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0.68828178485472591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371.7282125501186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5.1660853306919279</v>
      </c>
      <c r="AA172" s="23">
        <f>EXP(-LN(2)/25)*AA171+(1-EXP(-LN(2)/25))/(LN(2)/25)*Calculateur!V172*Calculateur!X172*VLOOKUP('Données projet'!$B$9,Paramètres!$A$1:$I$89,3,0)*0.475*44/12</f>
        <v>0.92146955386435381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6.0875548845562815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9.5769792096689348E-14</v>
      </c>
      <c r="AK172" s="14">
        <f t="shared" si="164"/>
        <v>1.4459910566979609E-12</v>
      </c>
      <c r="AL172" s="22">
        <f t="shared" si="165"/>
        <v>2.6852334783173491E-12</v>
      </c>
      <c r="AM172" s="62">
        <f t="shared" si="113"/>
        <v>293.33333333333599</v>
      </c>
      <c r="AN172" s="62">
        <f ca="1">AVERAGE(OFFSET($AM$3,0,0,'Données projet'!$E$10+1,1))-AVERAGE(OFFSET($H$3,0,0,'Données projet'!$E$10+1,1))</f>
        <v>348.82438445524105</v>
      </c>
      <c r="AO172" s="62">
        <f t="shared" si="144"/>
        <v>218.26721063098552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4.8098035837476587</v>
      </c>
      <c r="AV172" s="23">
        <f>EXP(-LN(2)/25)*AV171+(1-EXP(-LN(2)/25))/(LN(2)/25)*Calculateur!AQ172*Calculateur!AS172*VLOOKUP('Données projet'!$B$10,Paramètres!$A$1:$I$89,3,0)*0.475*44/12</f>
        <v>0.85791992945991702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5.6677235132075756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-3.2514435588382188E-14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309.71642374647882</v>
      </c>
      <c r="BJ172" s="62">
        <f t="shared" si="146"/>
        <v>266.63880397664315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34.395737271853484</v>
      </c>
      <c r="BQ172" s="23">
        <f>EXP(-LN(2)/25)*BQ171+(1-EXP(-LN(2)/25))/(LN(2)/25)*Calculateur!BL172*Calculateur!BN172*VLOOKUP('Données projet'!$B$11,Paramètres!$A$1:$I$89,3,0)*0.475*44/12</f>
        <v>1.2508573381355994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35.64659460998908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1.0995790944434703E-13</v>
      </c>
      <c r="CA172" s="14">
        <f t="shared" si="170"/>
        <v>1.6337280948049956E-12</v>
      </c>
      <c r="CB172" s="22">
        <f t="shared" si="171"/>
        <v>3.036919790734272E-12</v>
      </c>
      <c r="CC172" s="62">
        <f t="shared" si="119"/>
        <v>293.33333333333633</v>
      </c>
      <c r="CD172" s="62">
        <f ca="1">AVERAGE(OFFSET($CC$3,0,0,'Données projet'!$E$12+1,1))-AVERAGE(OFFSET($H$3,0,0,'Données projet'!$E$12+1,1))</f>
        <v>394.59880827600006</v>
      </c>
      <c r="CE172" s="62">
        <f t="shared" si="148"/>
        <v>244.45149244446094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5.5223670776362042</v>
      </c>
      <c r="CL172" s="23">
        <f>EXP(-LN(2)/25)*CL171+(1-EXP(-LN(2)/25))/(LN(2)/25)*Calculateur!CG172*Calculateur!CI172*VLOOKUP('Données projet'!$B$12,Paramètres!$A$1:$I$89,3,0)*0.475*44/12</f>
        <v>0.98501917826879148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6.5073862559049953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4.5224624045658861E-14</v>
      </c>
      <c r="CV172" s="14">
        <f t="shared" si="173"/>
        <v>7.4514601661523691E-13</v>
      </c>
      <c r="CW172" s="22">
        <f t="shared" si="174"/>
        <v>1.3765621991510601E-12</v>
      </c>
      <c r="CX172" s="62">
        <f t="shared" si="122"/>
        <v>293.33333333333468</v>
      </c>
      <c r="CY172" s="62">
        <f ca="1">AVERAGE(OFFSET($CX$3,0,0,'Données projet'!$E$13+1,1))-AVERAGE(OFFSET($H$3,0,0,'Données projet'!$E$13+1,1))</f>
        <v>293.90975929253631</v>
      </c>
      <c r="CZ172" s="62">
        <f t="shared" si="150"/>
        <v>288.30197520356643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0.81816820356490783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0.81816820356490783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4.4337866711430253E-14</v>
      </c>
      <c r="DQ172" s="14">
        <f t="shared" si="176"/>
        <v>7.3222115536967035E-13</v>
      </c>
      <c r="DR172" s="22">
        <f t="shared" si="177"/>
        <v>1.3525069634579169E-12</v>
      </c>
      <c r="DS172" s="62">
        <f t="shared" si="125"/>
        <v>293.33333333333468</v>
      </c>
      <c r="DT172" s="62">
        <f ca="1">AVERAGE(OFFSET($DS$3,0,0,'Données projet'!$E$14+1,1))-AVERAGE(OFFSET($H$3,0,0,'Données projet'!$E$14+1,1))</f>
        <v>288.82868507674738</v>
      </c>
      <c r="DU172" s="62">
        <f t="shared" si="152"/>
        <v>283.48738729114024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0.6507812200016837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0.6507812200016837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-5.6843418860808015E-14</v>
      </c>
      <c r="EK172" s="18">
        <f>EJ172*VLOOKUP('Données projet'!$B$15,Paramètres!$A$1:$I$89,3,0)*VLOOKUP('Données projet'!$B$15,Paramètres!$A$1:$I$89,5,0)</f>
        <v>-5.1431925385259088E-14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366.86025470473652</v>
      </c>
      <c r="EP172" s="62">
        <f t="shared" si="154"/>
        <v>513.80016421153414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0.67478499886416066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0.67478499886416066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371.7282125501186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5.064781548357975</v>
      </c>
      <c r="AA173" s="23">
        <f>EXP(-LN(2)/25)*AA172+(1-EXP(-LN(2)/25))/(LN(2)/25)*Calculateur!V173*Calculateur!X173*VLOOKUP('Données projet'!$B$9,Paramètres!$A$1:$I$89,3,0)*0.475*44/12</f>
        <v>0.89627192045595527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5.9610534688139305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9.5769792096689348E-14</v>
      </c>
      <c r="AK173" s="14">
        <f t="shared" si="164"/>
        <v>1.4459910566979609E-12</v>
      </c>
      <c r="AL173" s="22">
        <f t="shared" si="165"/>
        <v>2.6852334783173491E-12</v>
      </c>
      <c r="AM173" s="62">
        <f t="shared" si="113"/>
        <v>293.33333333333599</v>
      </c>
      <c r="AN173" s="62">
        <f ca="1">AVERAGE(OFFSET($AM$3,0,0,'Données projet'!$E$10+1,1))-AVERAGE(OFFSET($H$3,0,0,'Données projet'!$E$10+1,1))</f>
        <v>348.82438445524105</v>
      </c>
      <c r="AO173" s="62">
        <f t="shared" si="144"/>
        <v>218.26721063098552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4.7154862691608752</v>
      </c>
      <c r="AV173" s="23">
        <f>EXP(-LN(2)/25)*AV172+(1-EXP(-LN(2)/25))/(LN(2)/25)*Calculateur!AQ173*Calculateur!AS173*VLOOKUP('Données projet'!$B$10,Paramètres!$A$1:$I$89,3,0)*0.475*44/12</f>
        <v>0.83446006387278726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5.5499463330336622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-3.2514435588382188E-14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309.71642374647882</v>
      </c>
      <c r="BJ173" s="62">
        <f t="shared" si="146"/>
        <v>266.63880397664315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33.72125784328064</v>
      </c>
      <c r="BQ173" s="23">
        <f>EXP(-LN(2)/25)*BQ172+(1-EXP(-LN(2)/25))/(LN(2)/25)*Calculateur!BL173*Calculateur!BN173*VLOOKUP('Données projet'!$B$11,Paramètres!$A$1:$I$89,3,0)*0.475*44/12</f>
        <v>1.216652578444553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34.937910421725192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1.0995790944434703E-13</v>
      </c>
      <c r="CA173" s="14">
        <f t="shared" si="170"/>
        <v>1.6337280948049956E-12</v>
      </c>
      <c r="CB173" s="22">
        <f t="shared" si="171"/>
        <v>3.036919790734272E-12</v>
      </c>
      <c r="CC173" s="62">
        <f t="shared" si="119"/>
        <v>293.33333333333633</v>
      </c>
      <c r="CD173" s="62">
        <f ca="1">AVERAGE(OFFSET($CC$3,0,0,'Données projet'!$E$12+1,1))-AVERAGE(OFFSET($H$3,0,0,'Données projet'!$E$12+1,1))</f>
        <v>394.59880827600006</v>
      </c>
      <c r="CE173" s="62">
        <f t="shared" si="148"/>
        <v>244.45149244446094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5.4140768275550828</v>
      </c>
      <c r="CL173" s="23">
        <f>EXP(-LN(2)/25)*CL172+(1-EXP(-LN(2)/25))/(LN(2)/25)*Calculateur!CG173*Calculateur!CI173*VLOOKUP('Données projet'!$B$12,Paramètres!$A$1:$I$89,3,0)*0.475*44/12</f>
        <v>0.95808377703912406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6.3721606045942067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4.5224624045658861E-14</v>
      </c>
      <c r="CV173" s="14">
        <f t="shared" si="173"/>
        <v>7.4514601661523691E-13</v>
      </c>
      <c r="CW173" s="22">
        <f t="shared" si="174"/>
        <v>1.3765621991510601E-12</v>
      </c>
      <c r="CX173" s="62">
        <f t="shared" si="122"/>
        <v>293.33333333333468</v>
      </c>
      <c r="CY173" s="62">
        <f ca="1">AVERAGE(OFFSET($CX$3,0,0,'Données projet'!$E$13+1,1))-AVERAGE(OFFSET($H$3,0,0,'Données projet'!$E$13+1,1))</f>
        <v>293.90975929253631</v>
      </c>
      <c r="CZ173" s="62">
        <f t="shared" si="150"/>
        <v>288.30197520356643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0.80212442412632867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0.80212442412632867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4.4337866711430253E-14</v>
      </c>
      <c r="DQ173" s="14">
        <f t="shared" si="176"/>
        <v>7.3222115536967035E-13</v>
      </c>
      <c r="DR173" s="22">
        <f t="shared" si="177"/>
        <v>1.3525069634579169E-12</v>
      </c>
      <c r="DS173" s="62">
        <f t="shared" si="125"/>
        <v>293.33333333333468</v>
      </c>
      <c r="DT173" s="62">
        <f ca="1">AVERAGE(OFFSET($DS$3,0,0,'Données projet'!$E$14+1,1))-AVERAGE(OFFSET($H$3,0,0,'Données projet'!$E$14+1,1))</f>
        <v>288.82868507674738</v>
      </c>
      <c r="DU173" s="62">
        <f t="shared" si="152"/>
        <v>283.48738729114024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0.63801979721480062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0.63801979721480062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-5.6843418860808015E-14</v>
      </c>
      <c r="EK173" s="18">
        <f>EJ173*VLOOKUP('Données projet'!$B$15,Paramètres!$A$1:$I$89,3,0)*VLOOKUP('Données projet'!$B$15,Paramètres!$A$1:$I$89,5,0)</f>
        <v>-5.1431925385259088E-14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366.86025470473652</v>
      </c>
      <c r="EP173" s="62">
        <f t="shared" si="154"/>
        <v>513.80016421153414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0.66155287661464379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0.66155287661464379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371.7282125501186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4.9654642714063852</v>
      </c>
      <c r="AA174" s="23">
        <f>EXP(-LN(2)/25)*AA173+(1-EXP(-LN(2)/25))/(LN(2)/25)*Calculateur!V174*Calculateur!X174*VLOOKUP('Données projet'!$B$9,Paramètres!$A$1:$I$89,3,0)*0.475*44/12</f>
        <v>0.87176331765819537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5.8372275890645806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9.5769792096689348E-14</v>
      </c>
      <c r="AK174" s="14">
        <f t="shared" si="164"/>
        <v>1.4459910566979609E-12</v>
      </c>
      <c r="AL174" s="22">
        <f t="shared" si="165"/>
        <v>2.6852334783173491E-12</v>
      </c>
      <c r="AM174" s="62">
        <f t="shared" si="113"/>
        <v>293.33333333333599</v>
      </c>
      <c r="AN174" s="62">
        <f ca="1">AVERAGE(OFFSET($AM$3,0,0,'Données projet'!$E$10+1,1))-AVERAGE(OFFSET($H$3,0,0,'Données projet'!$E$10+1,1))</f>
        <v>348.82438445524105</v>
      </c>
      <c r="AO174" s="62">
        <f t="shared" si="144"/>
        <v>218.26721063098552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4.623018459585257</v>
      </c>
      <c r="AV174" s="23">
        <f>EXP(-LN(2)/25)*AV173+(1-EXP(-LN(2)/25))/(LN(2)/25)*Calculateur!AQ174*Calculateur!AS174*VLOOKUP('Données projet'!$B$10,Paramètres!$A$1:$I$89,3,0)*0.475*44/12</f>
        <v>0.8116417095438383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5.4346601691290957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-3.2514435588382188E-14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309.71642374647882</v>
      </c>
      <c r="BJ174" s="62">
        <f t="shared" si="146"/>
        <v>266.63880397664315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33.060004544910278</v>
      </c>
      <c r="BQ174" s="23">
        <f>EXP(-LN(2)/25)*BQ173+(1-EXP(-LN(2)/25))/(LN(2)/25)*Calculateur!BL174*Calculateur!BN174*VLOOKUP('Données projet'!$B$11,Paramètres!$A$1:$I$89,3,0)*0.475*44/12</f>
        <v>1.1833831497060083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34.243387694616288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1.0995790944434703E-13</v>
      </c>
      <c r="CA174" s="14">
        <f t="shared" si="170"/>
        <v>1.6337280948049956E-12</v>
      </c>
      <c r="CB174" s="22">
        <f t="shared" si="171"/>
        <v>3.036919790734272E-12</v>
      </c>
      <c r="CC174" s="62">
        <f t="shared" si="119"/>
        <v>293.33333333333633</v>
      </c>
      <c r="CD174" s="62">
        <f ca="1">AVERAGE(OFFSET($CC$3,0,0,'Données projet'!$E$12+1,1))-AVERAGE(OFFSET($H$3,0,0,'Données projet'!$E$12+1,1))</f>
        <v>394.59880827600006</v>
      </c>
      <c r="CE174" s="62">
        <f t="shared" si="148"/>
        <v>244.45149244446094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5.3079100832275214</v>
      </c>
      <c r="CL174" s="23">
        <f>EXP(-LN(2)/25)*CL173+(1-EXP(-LN(2)/25))/(LN(2)/25)*Calculateur!CG174*Calculateur!CI174*VLOOKUP('Données projet'!$B$12,Paramètres!$A$1:$I$89,3,0)*0.475*44/12</f>
        <v>0.93188492577255311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6.2397950090000744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4.5224624045658861E-14</v>
      </c>
      <c r="CV174" s="14">
        <f t="shared" si="173"/>
        <v>7.4514601661523691E-13</v>
      </c>
      <c r="CW174" s="22">
        <f t="shared" si="174"/>
        <v>1.3765621991510601E-12</v>
      </c>
      <c r="CX174" s="62">
        <f t="shared" si="122"/>
        <v>293.33333333333468</v>
      </c>
      <c r="CY174" s="62">
        <f ca="1">AVERAGE(OFFSET($CX$3,0,0,'Données projet'!$E$13+1,1))-AVERAGE(OFFSET($H$3,0,0,'Données projet'!$E$13+1,1))</f>
        <v>293.90975929253631</v>
      </c>
      <c r="CZ174" s="62">
        <f t="shared" si="150"/>
        <v>288.30197520356643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0.78639525341680094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0.78639525341680094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4.4337866711430253E-14</v>
      </c>
      <c r="DQ174" s="14">
        <f t="shared" si="176"/>
        <v>7.3222115536967035E-13</v>
      </c>
      <c r="DR174" s="22">
        <f t="shared" si="177"/>
        <v>1.3525069634579169E-12</v>
      </c>
      <c r="DS174" s="62">
        <f t="shared" si="125"/>
        <v>293.33333333333468</v>
      </c>
      <c r="DT174" s="62">
        <f ca="1">AVERAGE(OFFSET($DS$3,0,0,'Données projet'!$E$14+1,1))-AVERAGE(OFFSET($H$3,0,0,'Données projet'!$E$14+1,1))</f>
        <v>288.82868507674738</v>
      </c>
      <c r="DU174" s="62">
        <f t="shared" si="152"/>
        <v>283.48738729114024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0.62550861814506897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0.62550861814506897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-5.6843418860808015E-14</v>
      </c>
      <c r="EK174" s="18">
        <f>EJ174*VLOOKUP('Données projet'!$B$15,Paramètres!$A$1:$I$89,3,0)*VLOOKUP('Données projet'!$B$15,Paramètres!$A$1:$I$89,5,0)</f>
        <v>-5.1431925385259088E-14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366.86025470473652</v>
      </c>
      <c r="EP174" s="62">
        <f t="shared" si="154"/>
        <v>513.80016421153414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0.6485802282116423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0.6485802282116423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371.7282125501186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4.8680945456782592</v>
      </c>
      <c r="AA175" s="23">
        <f>EXP(-LN(2)/25)*AA174+(1-EXP(-LN(2)/25))/(LN(2)/25)*Calculateur!V175*Calculateur!X175*VLOOKUP('Données projet'!$B$9,Paramètres!$A$1:$I$89,3,0)*0.475*44/12</f>
        <v>0.84792490389279163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5.7160194495710508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9.5769792096689348E-14</v>
      </c>
      <c r="AK175" s="14">
        <f t="shared" si="164"/>
        <v>1.4459910566979609E-12</v>
      </c>
      <c r="AL175" s="22">
        <f t="shared" si="165"/>
        <v>2.6852334783173491E-12</v>
      </c>
      <c r="AM175" s="62">
        <f t="shared" si="113"/>
        <v>293.33333333333599</v>
      </c>
      <c r="AN175" s="62">
        <f ca="1">AVERAGE(OFFSET($AM$3,0,0,'Données projet'!$E$10+1,1))-AVERAGE(OFFSET($H$3,0,0,'Données projet'!$E$10+1,1))</f>
        <v>348.82438445524105</v>
      </c>
      <c r="AO175" s="62">
        <f t="shared" si="144"/>
        <v>218.26721063098552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4.532363887355622</v>
      </c>
      <c r="AV175" s="23">
        <f>EXP(-LN(2)/25)*AV174+(1-EXP(-LN(2)/25))/(LN(2)/25)*Calculateur!AQ175*Calculateur!AS175*VLOOKUP('Données projet'!$B$10,Paramètres!$A$1:$I$89,3,0)*0.475*44/12</f>
        <v>0.78944732431397957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5.3218112116696012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-3.2514435588382188E-14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309.71642374647882</v>
      </c>
      <c r="BJ175" s="62">
        <f t="shared" si="146"/>
        <v>266.63880397664315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32.411718020396272</v>
      </c>
      <c r="BQ175" s="23">
        <f>EXP(-LN(2)/25)*BQ174+(1-EXP(-LN(2)/25))/(LN(2)/25)*Calculateur!BL175*Calculateur!BN175*VLOOKUP('Données projet'!$B$11,Paramètres!$A$1:$I$89,3,0)*0.475*44/12</f>
        <v>1.1510234752458823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33.562741495642157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1.0995790944434703E-13</v>
      </c>
      <c r="CA175" s="14">
        <f t="shared" si="170"/>
        <v>1.6337280948049956E-12</v>
      </c>
      <c r="CB175" s="22">
        <f t="shared" si="171"/>
        <v>3.036919790734272E-12</v>
      </c>
      <c r="CC175" s="62">
        <f t="shared" si="119"/>
        <v>293.33333333333633</v>
      </c>
      <c r="CD175" s="62">
        <f ca="1">AVERAGE(OFFSET($CC$3,0,0,'Données projet'!$E$12+1,1))-AVERAGE(OFFSET($H$3,0,0,'Données projet'!$E$12+1,1))</f>
        <v>394.59880827600006</v>
      </c>
      <c r="CE175" s="62">
        <f t="shared" si="148"/>
        <v>244.45149244446094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5.2038252040009034</v>
      </c>
      <c r="CL175" s="23">
        <f>EXP(-LN(2)/25)*CL174+(1-EXP(-LN(2)/25))/(LN(2)/25)*Calculateur!CG175*Calculateur!CI175*VLOOKUP('Données projet'!$B$12,Paramètres!$A$1:$I$89,3,0)*0.475*44/12</f>
        <v>0.90640248347160424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6.1102276874725074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4.5224624045658861E-14</v>
      </c>
      <c r="CV175" s="14">
        <f t="shared" si="173"/>
        <v>7.4514601661523691E-13</v>
      </c>
      <c r="CW175" s="22">
        <f t="shared" si="174"/>
        <v>1.3765621991510601E-12</v>
      </c>
      <c r="CX175" s="62">
        <f t="shared" si="122"/>
        <v>293.33333333333468</v>
      </c>
      <c r="CY175" s="62">
        <f ca="1">AVERAGE(OFFSET($CX$3,0,0,'Données projet'!$E$13+1,1))-AVERAGE(OFFSET($H$3,0,0,'Données projet'!$E$13+1,1))</f>
        <v>293.90975929253631</v>
      </c>
      <c r="CZ175" s="62">
        <f t="shared" si="150"/>
        <v>288.30197520356643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0.77097452215104023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0.77097452215104023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4.4337866711430253E-14</v>
      </c>
      <c r="DQ175" s="14">
        <f t="shared" si="176"/>
        <v>7.3222115536967035E-13</v>
      </c>
      <c r="DR175" s="22">
        <f t="shared" si="177"/>
        <v>1.3525069634579169E-12</v>
      </c>
      <c r="DS175" s="62">
        <f t="shared" si="125"/>
        <v>293.33333333333468</v>
      </c>
      <c r="DT175" s="62">
        <f ca="1">AVERAGE(OFFSET($DS$3,0,0,'Données projet'!$E$14+1,1))-AVERAGE(OFFSET($H$3,0,0,'Données projet'!$E$14+1,1))</f>
        <v>288.82868507674738</v>
      </c>
      <c r="DU175" s="62">
        <f t="shared" si="152"/>
        <v>283.48738729114024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0.61324277566582897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0.61324277566582897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-5.6843418860808015E-14</v>
      </c>
      <c r="EK175" s="18">
        <f>EJ175*VLOOKUP('Données projet'!$B$15,Paramètres!$A$1:$I$89,3,0)*VLOOKUP('Données projet'!$B$15,Paramètres!$A$1:$I$89,5,0)</f>
        <v>-5.1431925385259088E-14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366.86025470473652</v>
      </c>
      <c r="EP175" s="62">
        <f t="shared" si="154"/>
        <v>513.80016421153414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0.63586196553128949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0.63586196553128949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371.7282125501186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4.772634180881993</v>
      </c>
      <c r="AA176" s="23">
        <f>EXP(-LN(2)/25)*AA175+(1-EXP(-LN(2)/25))/(LN(2)/25)*Calculateur!V176*Calculateur!X176*VLOOKUP('Données projet'!$B$9,Paramètres!$A$1:$I$89,3,0)*0.475*44/12</f>
        <v>0.82473835280541052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5.5973725336874036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9.5769792096689348E-14</v>
      </c>
      <c r="AK176" s="14">
        <f t="shared" si="164"/>
        <v>1.4459910566979609E-12</v>
      </c>
      <c r="AL176" s="22">
        <f t="shared" si="165"/>
        <v>2.6852334783173491E-12</v>
      </c>
      <c r="AM176" s="62">
        <f t="shared" si="113"/>
        <v>293.33333333333599</v>
      </c>
      <c r="AN176" s="62">
        <f ca="1">AVERAGE(OFFSET($AM$3,0,0,'Données projet'!$E$10+1,1))-AVERAGE(OFFSET($H$3,0,0,'Données projet'!$E$10+1,1))</f>
        <v>348.82438445524105</v>
      </c>
      <c r="AO176" s="62">
        <f t="shared" si="144"/>
        <v>218.26721063098552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4.443486995993581</v>
      </c>
      <c r="AV176" s="23">
        <f>EXP(-LN(2)/25)*AV175+(1-EXP(-LN(2)/25))/(LN(2)/25)*Calculateur!AQ176*Calculateur!AS176*VLOOKUP('Données projet'!$B$10,Paramètres!$A$1:$I$89,3,0)*0.475*44/12</f>
        <v>0.76785984571538335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5.2113468417089646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-3.2514435588382188E-14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309.71642374647882</v>
      </c>
      <c r="BJ176" s="62">
        <f t="shared" si="146"/>
        <v>266.63880397664315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31.776143999212248</v>
      </c>
      <c r="BQ176" s="23">
        <f>EXP(-LN(2)/25)*BQ175+(1-EXP(-LN(2)/25))/(LN(2)/25)*Calculateur!BL176*Calculateur!BN176*VLOOKUP('Données projet'!$B$11,Paramètres!$A$1:$I$89,3,0)*0.475*44/12</f>
        <v>1.1195486777855899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32.895692676997839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1.0995790944434703E-13</v>
      </c>
      <c r="CA176" s="14">
        <f t="shared" si="170"/>
        <v>1.6337280948049956E-12</v>
      </c>
      <c r="CB176" s="22">
        <f t="shared" si="171"/>
        <v>3.036919790734272E-12</v>
      </c>
      <c r="CC176" s="62">
        <f t="shared" si="119"/>
        <v>293.33333333333633</v>
      </c>
      <c r="CD176" s="62">
        <f ca="1">AVERAGE(OFFSET($CC$3,0,0,'Données projet'!$E$12+1,1))-AVERAGE(OFFSET($H$3,0,0,'Données projet'!$E$12+1,1))</f>
        <v>394.59880827600006</v>
      </c>
      <c r="CE176" s="62">
        <f t="shared" si="148"/>
        <v>244.45149244446094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5.1017813657704121</v>
      </c>
      <c r="CL176" s="23">
        <f>EXP(-LN(2)/25)*CL175+(1-EXP(-LN(2)/25))/(LN(2)/25)*Calculateur!CG176*Calculateur!CI176*VLOOKUP('Données projet'!$B$12,Paramètres!$A$1:$I$89,3,0)*0.475*44/12</f>
        <v>0.88161685989543825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5.9833982256658507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4.5224624045658861E-14</v>
      </c>
      <c r="CV176" s="14">
        <f t="shared" si="173"/>
        <v>7.4514601661523691E-13</v>
      </c>
      <c r="CW176" s="22">
        <f t="shared" si="174"/>
        <v>1.3765621991510601E-12</v>
      </c>
      <c r="CX176" s="62">
        <f t="shared" si="122"/>
        <v>293.33333333333468</v>
      </c>
      <c r="CY176" s="62">
        <f ca="1">AVERAGE(OFFSET($CX$3,0,0,'Données projet'!$E$13+1,1))-AVERAGE(OFFSET($H$3,0,0,'Données projet'!$E$13+1,1))</f>
        <v>293.90975929253631</v>
      </c>
      <c r="CZ176" s="62">
        <f t="shared" si="150"/>
        <v>288.30197520356643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0.75585618201968374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0.75585618201968374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4.4337866711430253E-14</v>
      </c>
      <c r="DQ176" s="14">
        <f t="shared" si="176"/>
        <v>7.3222115536967035E-13</v>
      </c>
      <c r="DR176" s="22">
        <f t="shared" si="177"/>
        <v>1.3525069634579169E-12</v>
      </c>
      <c r="DS176" s="62">
        <f t="shared" si="125"/>
        <v>293.33333333333468</v>
      </c>
      <c r="DT176" s="62">
        <f ca="1">AVERAGE(OFFSET($DS$3,0,0,'Données projet'!$E$14+1,1))-AVERAGE(OFFSET($H$3,0,0,'Données projet'!$E$14+1,1))</f>
        <v>288.82868507674738</v>
      </c>
      <c r="DU176" s="62">
        <f t="shared" si="152"/>
        <v>283.48738729114024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0.60121745887618172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0.60121745887618172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-5.6843418860808015E-14</v>
      </c>
      <c r="EK176" s="18">
        <f>EJ176*VLOOKUP('Données projet'!$B$15,Paramètres!$A$1:$I$89,3,0)*VLOOKUP('Données projet'!$B$15,Paramètres!$A$1:$I$89,5,0)</f>
        <v>-5.1431925385259088E-14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366.86025470473652</v>
      </c>
      <c r="EP176" s="62">
        <f t="shared" si="154"/>
        <v>513.80016421153414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0.62339310022472405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0.62339310022472405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371.7282125501186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4.6790457356143085</v>
      </c>
      <c r="AA177" s="23">
        <f>EXP(-LN(2)/25)*AA176+(1-EXP(-LN(2)/25))/(LN(2)/25)*Calculateur!V177*Calculateur!X177*VLOOKUP('Données projet'!$B$9,Paramètres!$A$1:$I$89,3,0)*0.475*44/12</f>
        <v>0.80218583917684161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5.48123157479115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9.5769792096689348E-14</v>
      </c>
      <c r="AK177" s="14">
        <f t="shared" si="164"/>
        <v>1.4459910566979609E-12</v>
      </c>
      <c r="AL177" s="22">
        <f t="shared" si="165"/>
        <v>2.6852334783173491E-12</v>
      </c>
      <c r="AM177" s="62">
        <f t="shared" si="113"/>
        <v>293.33333333333599</v>
      </c>
      <c r="AN177" s="62">
        <f ca="1">AVERAGE(OFFSET($AM$3,0,0,'Données projet'!$E$10+1,1))-AVERAGE(OFFSET($H$3,0,0,'Données projet'!$E$10+1,1))</f>
        <v>348.82438445524105</v>
      </c>
      <c r="AO177" s="62">
        <f t="shared" si="144"/>
        <v>218.26721063098552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4.3563529262615983</v>
      </c>
      <c r="AV177" s="23">
        <f>EXP(-LN(2)/25)*AV176+(1-EXP(-LN(2)/25))/(LN(2)/25)*Calculateur!AQ177*Calculateur!AS177*VLOOKUP('Données projet'!$B$10,Paramètres!$A$1:$I$89,3,0)*0.475*44/12</f>
        <v>0.74686267785430183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5.1032156041159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-3.2514435588382188E-14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309.71642374647882</v>
      </c>
      <c r="BJ177" s="62">
        <f t="shared" si="146"/>
        <v>266.63880397664315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31.153033196921768</v>
      </c>
      <c r="BQ177" s="23">
        <f>EXP(-LN(2)/25)*BQ176+(1-EXP(-LN(2)/25))/(LN(2)/25)*Calculateur!BL177*Calculateur!BN177*VLOOKUP('Données projet'!$B$11,Paramètres!$A$1:$I$89,3,0)*0.475*44/12</f>
        <v>1.0889345603170366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32.241967757238804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1.0995790944434703E-13</v>
      </c>
      <c r="CA177" s="14">
        <f t="shared" si="170"/>
        <v>1.6337280948049956E-12</v>
      </c>
      <c r="CB177" s="22">
        <f t="shared" si="171"/>
        <v>3.036919790734272E-12</v>
      </c>
      <c r="CC177" s="62">
        <f t="shared" si="119"/>
        <v>293.33333333333633</v>
      </c>
      <c r="CD177" s="62">
        <f ca="1">AVERAGE(OFFSET($CC$3,0,0,'Données projet'!$E$12+1,1))-AVERAGE(OFFSET($H$3,0,0,'Données projet'!$E$12+1,1))</f>
        <v>394.59880827600006</v>
      </c>
      <c r="CE177" s="62">
        <f t="shared" si="148"/>
        <v>244.45149244446094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5.0017385449670249</v>
      </c>
      <c r="CL177" s="23">
        <f>EXP(-LN(2)/25)*CL176+(1-EXP(-LN(2)/25))/(LN(2)/25)*Calculateur!CG177*Calculateur!CI177*VLOOKUP('Données projet'!$B$12,Paramètres!$A$1:$I$89,3,0)*0.475*44/12</f>
        <v>0.85750900049938183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5.859247545466407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4.5224624045658861E-14</v>
      </c>
      <c r="CV177" s="14">
        <f t="shared" si="173"/>
        <v>7.4514601661523691E-13</v>
      </c>
      <c r="CW177" s="22">
        <f t="shared" si="174"/>
        <v>1.3765621991510601E-12</v>
      </c>
      <c r="CX177" s="62">
        <f t="shared" si="122"/>
        <v>293.33333333333468</v>
      </c>
      <c r="CY177" s="62">
        <f ca="1">AVERAGE(OFFSET($CX$3,0,0,'Données projet'!$E$13+1,1))-AVERAGE(OFFSET($H$3,0,0,'Données projet'!$E$13+1,1))</f>
        <v>293.90975929253631</v>
      </c>
      <c r="CZ177" s="62">
        <f t="shared" si="150"/>
        <v>288.30197520356643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0.74103430331702613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0.74103430331702613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4.4337866711430253E-14</v>
      </c>
      <c r="DQ177" s="14">
        <f t="shared" si="176"/>
        <v>7.3222115536967035E-13</v>
      </c>
      <c r="DR177" s="22">
        <f t="shared" si="177"/>
        <v>1.3525069634579169E-12</v>
      </c>
      <c r="DS177" s="62">
        <f t="shared" si="125"/>
        <v>293.33333333333468</v>
      </c>
      <c r="DT177" s="62">
        <f ca="1">AVERAGE(OFFSET($DS$3,0,0,'Données projet'!$E$14+1,1))-AVERAGE(OFFSET($H$3,0,0,'Données projet'!$E$14+1,1))</f>
        <v>288.82868507674738</v>
      </c>
      <c r="DU177" s="62">
        <f t="shared" si="152"/>
        <v>283.48738729114024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0.58942795121406044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0.58942795121406044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-5.6843418860808015E-14</v>
      </c>
      <c r="EK177" s="18">
        <f>EJ177*VLOOKUP('Données projet'!$B$15,Paramètres!$A$1:$I$89,3,0)*VLOOKUP('Données projet'!$B$15,Paramètres!$A$1:$I$89,5,0)</f>
        <v>-5.1431925385259088E-14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366.86025470473652</v>
      </c>
      <c r="EP177" s="62">
        <f t="shared" si="154"/>
        <v>513.80016421153414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0.61116874176156355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0.61116874176156355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371.7282125501186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4.587292502675008</v>
      </c>
      <c r="AA178" s="23">
        <f>EXP(-LN(2)/25)*AA177+(1-EXP(-LN(2)/25))/(LN(2)/25)*Calculateur!V178*Calculateur!X178*VLOOKUP('Données projet'!$B$9,Paramètres!$A$1:$I$89,3,0)*0.475*44/12</f>
        <v>0.78025002521943099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5.3675425278944386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9.5769792096689348E-14</v>
      </c>
      <c r="AK178" s="14">
        <f t="shared" si="164"/>
        <v>1.4459910566979609E-12</v>
      </c>
      <c r="AL178" s="22">
        <f t="shared" si="165"/>
        <v>2.6852334783173491E-12</v>
      </c>
      <c r="AM178" s="62">
        <f t="shared" si="113"/>
        <v>293.33333333333599</v>
      </c>
      <c r="AN178" s="62">
        <f ca="1">AVERAGE(OFFSET($AM$3,0,0,'Données projet'!$E$10+1,1))-AVERAGE(OFFSET($H$3,0,0,'Données projet'!$E$10+1,1))</f>
        <v>348.82438445524105</v>
      </c>
      <c r="AO178" s="62">
        <f t="shared" si="144"/>
        <v>218.26721063098552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4.2709275024905251</v>
      </c>
      <c r="AV178" s="23">
        <f>EXP(-LN(2)/25)*AV177+(1-EXP(-LN(2)/25))/(LN(2)/25)*Calculateur!AQ178*Calculateur!AS178*VLOOKUP('Données projet'!$B$10,Paramètres!$A$1:$I$89,3,0)*0.475*44/12</f>
        <v>0.72643967865257464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4.9973671811430993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-3.2514435588382188E-14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309.71642374647882</v>
      </c>
      <c r="BJ178" s="62">
        <f t="shared" si="146"/>
        <v>266.63880397664315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30.542141217404144</v>
      </c>
      <c r="BQ178" s="23">
        <f>EXP(-LN(2)/25)*BQ177+(1-EXP(-LN(2)/25))/(LN(2)/25)*Calculateur!BL178*Calculateur!BN178*VLOOKUP('Données projet'!$B$11,Paramètres!$A$1:$I$89,3,0)*0.475*44/12</f>
        <v>1.0591575875005874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31.601298804904729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1.0995790944434703E-13</v>
      </c>
      <c r="CA178" s="14">
        <f t="shared" si="170"/>
        <v>1.6337280948049956E-12</v>
      </c>
      <c r="CB178" s="22">
        <f t="shared" si="171"/>
        <v>3.036919790734272E-12</v>
      </c>
      <c r="CC178" s="62">
        <f t="shared" si="119"/>
        <v>293.33333333333633</v>
      </c>
      <c r="CD178" s="62">
        <f ca="1">AVERAGE(OFFSET($CC$3,0,0,'Données projet'!$E$12+1,1))-AVERAGE(OFFSET($H$3,0,0,'Données projet'!$E$12+1,1))</f>
        <v>394.59880827600006</v>
      </c>
      <c r="CE178" s="62">
        <f t="shared" si="148"/>
        <v>244.45149244446094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4.9036575028594962</v>
      </c>
      <c r="CL178" s="23">
        <f>EXP(-LN(2)/25)*CL177+(1-EXP(-LN(2)/25))/(LN(2)/25)*Calculateur!CG178*Calculateur!CI178*VLOOKUP('Données projet'!$B$12,Paramètres!$A$1:$I$89,3,0)*0.475*44/12</f>
        <v>0.83406037178628778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5.7377178746457842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4.5224624045658861E-14</v>
      </c>
      <c r="CV178" s="14">
        <f t="shared" si="173"/>
        <v>7.4514601661523691E-13</v>
      </c>
      <c r="CW178" s="22">
        <f t="shared" si="174"/>
        <v>1.3765621991510601E-12</v>
      </c>
      <c r="CX178" s="62">
        <f t="shared" si="122"/>
        <v>293.33333333333468</v>
      </c>
      <c r="CY178" s="62">
        <f ca="1">AVERAGE(OFFSET($CX$3,0,0,'Données projet'!$E$13+1,1))-AVERAGE(OFFSET($H$3,0,0,'Données projet'!$E$13+1,1))</f>
        <v>293.90975929253631</v>
      </c>
      <c r="CZ178" s="62">
        <f t="shared" si="150"/>
        <v>288.30197520356643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0.72650307261527436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0.72650307261527436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4.4337866711430253E-14</v>
      </c>
      <c r="DQ178" s="14">
        <f t="shared" si="176"/>
        <v>7.3222115536967035E-13</v>
      </c>
      <c r="DR178" s="22">
        <f t="shared" si="177"/>
        <v>1.3525069634579169E-12</v>
      </c>
      <c r="DS178" s="62">
        <f t="shared" si="125"/>
        <v>293.33333333333468</v>
      </c>
      <c r="DT178" s="62">
        <f ca="1">AVERAGE(OFFSET($DS$3,0,0,'Données projet'!$E$14+1,1))-AVERAGE(OFFSET($H$3,0,0,'Données projet'!$E$14+1,1))</f>
        <v>288.82868507674738</v>
      </c>
      <c r="DU178" s="62">
        <f t="shared" si="152"/>
        <v>283.48738729114024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0.57786962860630375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0.57786962860630375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-5.6843418860808015E-14</v>
      </c>
      <c r="EK178" s="18">
        <f>EJ178*VLOOKUP('Données projet'!$B$15,Paramètres!$A$1:$I$89,3,0)*VLOOKUP('Données projet'!$B$15,Paramètres!$A$1:$I$89,5,0)</f>
        <v>-5.1431925385259088E-14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366.86025470473652</v>
      </c>
      <c r="EP178" s="62">
        <f t="shared" si="154"/>
        <v>513.80016421153414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0.59918409551174323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0.59918409551174323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371.7282125501186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4.4973384946697008</v>
      </c>
      <c r="AA179" s="23">
        <f>EXP(-LN(2)/25)*AA178+(1-EXP(-LN(2)/25))/(LN(2)/25)*Calculateur!V179*Calculateur!X179*VLOOKUP('Données projet'!$B$9,Paramètres!$A$1:$I$89,3,0)*0.475*44/12</f>
        <v>0.75891404724824008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5.2562525419179407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9.5769792096689348E-14</v>
      </c>
      <c r="AK179" s="14">
        <f t="shared" si="164"/>
        <v>1.4459910566979609E-12</v>
      </c>
      <c r="AL179" s="22">
        <f t="shared" si="165"/>
        <v>2.6852334783173491E-12</v>
      </c>
      <c r="AM179" s="62">
        <f t="shared" si="113"/>
        <v>293.33333333333599</v>
      </c>
      <c r="AN179" s="62">
        <f ca="1">AVERAGE(OFFSET($AM$3,0,0,'Données projet'!$E$10+1,1))-AVERAGE(OFFSET($H$3,0,0,'Données projet'!$E$10+1,1))</f>
        <v>348.82438445524105</v>
      </c>
      <c r="AO179" s="62">
        <f t="shared" si="144"/>
        <v>218.26721063098552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4.187177219175239</v>
      </c>
      <c r="AV179" s="23">
        <f>EXP(-LN(2)/25)*AV178+(1-EXP(-LN(2)/25))/(LN(2)/25)*Calculateur!AQ179*Calculateur!AS179*VLOOKUP('Données projet'!$B$10,Paramètres!$A$1:$I$89,3,0)*0.475*44/12</f>
        <v>0.70657514743801764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4.8937523666132563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-3.2514435588382188E-14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309.71642374647882</v>
      </c>
      <c r="BJ179" s="62">
        <f t="shared" si="146"/>
        <v>266.63880397664315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29.943228456997542</v>
      </c>
      <c r="BQ179" s="23">
        <f>EXP(-LN(2)/25)*BQ178+(1-EXP(-LN(2)/25))/(LN(2)/25)*Calculateur!BL179*Calculateur!BN179*VLOOKUP('Données projet'!$B$11,Paramètres!$A$1:$I$89,3,0)*0.475*44/12</f>
        <v>1.030194867571707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30.97342332456925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1.0995790944434703E-13</v>
      </c>
      <c r="CA179" s="14">
        <f t="shared" si="170"/>
        <v>1.6337280948049956E-12</v>
      </c>
      <c r="CB179" s="22">
        <f t="shared" si="171"/>
        <v>3.036919790734272E-12</v>
      </c>
      <c r="CC179" s="62">
        <f t="shared" si="119"/>
        <v>293.33333333333633</v>
      </c>
      <c r="CD179" s="62">
        <f ca="1">AVERAGE(OFFSET($CC$3,0,0,'Données projet'!$E$12+1,1))-AVERAGE(OFFSET($H$3,0,0,'Données projet'!$E$12+1,1))</f>
        <v>394.59880827600006</v>
      </c>
      <c r="CE179" s="62">
        <f t="shared" si="148"/>
        <v>244.45149244446094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4.807499770164168</v>
      </c>
      <c r="CL179" s="23">
        <f>EXP(-LN(2)/25)*CL178+(1-EXP(-LN(2)/25))/(LN(2)/25)*Calculateur!CG179*Calculateur!CI179*VLOOKUP('Données projet'!$B$12,Paramètres!$A$1:$I$89,3,0)*0.475*44/12</f>
        <v>0.81125294705846307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5.6187527172226313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4.5224624045658861E-14</v>
      </c>
      <c r="CV179" s="14">
        <f t="shared" si="173"/>
        <v>7.4514601661523691E-13</v>
      </c>
      <c r="CW179" s="22">
        <f t="shared" si="174"/>
        <v>1.3765621991510601E-12</v>
      </c>
      <c r="CX179" s="62">
        <f t="shared" si="122"/>
        <v>293.33333333333468</v>
      </c>
      <c r="CY179" s="62">
        <f ca="1">AVERAGE(OFFSET($CX$3,0,0,'Données projet'!$E$13+1,1))-AVERAGE(OFFSET($H$3,0,0,'Données projet'!$E$13+1,1))</f>
        <v>293.90975929253631</v>
      </c>
      <c r="CZ179" s="62">
        <f t="shared" si="150"/>
        <v>288.30197520356643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0.71225679048440838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0.71225679048440838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4.4337866711430253E-14</v>
      </c>
      <c r="DQ179" s="14">
        <f t="shared" si="176"/>
        <v>7.3222115536967035E-13</v>
      </c>
      <c r="DR179" s="22">
        <f t="shared" si="177"/>
        <v>1.3525069634579169E-12</v>
      </c>
      <c r="DS179" s="62">
        <f t="shared" si="125"/>
        <v>293.33333333333468</v>
      </c>
      <c r="DT179" s="62">
        <f ca="1">AVERAGE(OFFSET($DS$3,0,0,'Données projet'!$E$14+1,1))-AVERAGE(OFFSET($H$3,0,0,'Données projet'!$E$14+1,1))</f>
        <v>288.82868507674738</v>
      </c>
      <c r="DU179" s="62">
        <f t="shared" si="152"/>
        <v>283.48738729114024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0.56653795765500448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0.56653795765500448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-5.6843418860808015E-14</v>
      </c>
      <c r="EK179" s="18">
        <f>EJ179*VLOOKUP('Données projet'!$B$15,Paramètres!$A$1:$I$89,3,0)*VLOOKUP('Données projet'!$B$15,Paramètres!$A$1:$I$89,5,0)</f>
        <v>-5.1431925385259088E-14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366.86025470473652</v>
      </c>
      <c r="EP179" s="62">
        <f t="shared" si="154"/>
        <v>513.80016421153414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0.58743446086496942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0.58743446086496942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371.7282125501186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4.4091484298948505</v>
      </c>
      <c r="AA180" s="23">
        <f>EXP(-LN(2)/25)*AA179+(1-EXP(-LN(2)/25))/(LN(2)/25)*Calculateur!V180*Calculateur!X180*VLOOKUP('Données projet'!$B$9,Paramètres!$A$1:$I$89,3,0)*0.475*44/12</f>
        <v>0.73816150271668168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5.1473099326115319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9.5769792096689348E-14</v>
      </c>
      <c r="AK180" s="14">
        <f t="shared" si="164"/>
        <v>1.4459910566979609E-12</v>
      </c>
      <c r="AL180" s="22">
        <f t="shared" si="165"/>
        <v>2.6852334783173491E-12</v>
      </c>
      <c r="AM180" s="62">
        <f t="shared" si="113"/>
        <v>293.33333333333599</v>
      </c>
      <c r="AN180" s="62">
        <f ca="1">AVERAGE(OFFSET($AM$3,0,0,'Données projet'!$E$10+1,1))-AVERAGE(OFFSET($H$3,0,0,'Données projet'!$E$10+1,1))</f>
        <v>348.82438445524105</v>
      </c>
      <c r="AO180" s="62">
        <f t="shared" si="144"/>
        <v>218.26721063098552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4.1050692278331367</v>
      </c>
      <c r="AV180" s="23">
        <f>EXP(-LN(2)/25)*AV179+(1-EXP(-LN(2)/25))/(LN(2)/25)*Calculateur!AQ180*Calculateur!AS180*VLOOKUP('Données projet'!$B$10,Paramètres!$A$1:$I$89,3,0)*0.475*44/12</f>
        <v>0.68725381287415299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4.7923230407072896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-3.2514435588382188E-14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309.71642374647882</v>
      </c>
      <c r="BJ180" s="62">
        <f t="shared" si="146"/>
        <v>266.63880397664315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29.356060010521801</v>
      </c>
      <c r="BQ180" s="23">
        <f>EXP(-LN(2)/25)*BQ179+(1-EXP(-LN(2)/25))/(LN(2)/25)*Calculateur!BL180*Calculateur!BN180*VLOOKUP('Données projet'!$B$11,Paramètres!$A$1:$I$89,3,0)*0.475*44/12</f>
        <v>1.0020241347423651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30.358084145264165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1.0995790944434703E-13</v>
      </c>
      <c r="CA180" s="14">
        <f t="shared" si="170"/>
        <v>1.6337280948049956E-12</v>
      </c>
      <c r="CB180" s="22">
        <f t="shared" si="171"/>
        <v>3.036919790734272E-12</v>
      </c>
      <c r="CC180" s="62">
        <f t="shared" si="119"/>
        <v>293.33333333333633</v>
      </c>
      <c r="CD180" s="62">
        <f ca="1">AVERAGE(OFFSET($CC$3,0,0,'Données projet'!$E$12+1,1))-AVERAGE(OFFSET($H$3,0,0,'Données projet'!$E$12+1,1))</f>
        <v>394.59880827600006</v>
      </c>
      <c r="CE180" s="62">
        <f t="shared" si="148"/>
        <v>244.45149244446094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4.7132276319565696</v>
      </c>
      <c r="CL180" s="23">
        <f>EXP(-LN(2)/25)*CL179+(1-EXP(-LN(2)/25))/(LN(2)/25)*Calculateur!CG180*Calculateur!CI180*VLOOKUP('Données projet'!$B$12,Paramètres!$A$1:$I$89,3,0)*0.475*44/12</f>
        <v>0.78906919255921104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5.5022968245157804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4.5224624045658861E-14</v>
      </c>
      <c r="CV180" s="14">
        <f t="shared" si="173"/>
        <v>7.4514601661523691E-13</v>
      </c>
      <c r="CW180" s="22">
        <f t="shared" si="174"/>
        <v>1.3765621991510601E-12</v>
      </c>
      <c r="CX180" s="62">
        <f t="shared" si="122"/>
        <v>293.33333333333468</v>
      </c>
      <c r="CY180" s="62">
        <f ca="1">AVERAGE(OFFSET($CX$3,0,0,'Données projet'!$E$13+1,1))-AVERAGE(OFFSET($H$3,0,0,'Données projet'!$E$13+1,1))</f>
        <v>293.90975929253631</v>
      </c>
      <c r="CZ180" s="62">
        <f t="shared" si="150"/>
        <v>288.30197520356643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0.69828986925675451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0.69828986925675451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4.4337866711430253E-14</v>
      </c>
      <c r="DQ180" s="14">
        <f t="shared" si="176"/>
        <v>7.3222115536967035E-13</v>
      </c>
      <c r="DR180" s="22">
        <f t="shared" si="177"/>
        <v>1.3525069634579169E-12</v>
      </c>
      <c r="DS180" s="62">
        <f t="shared" si="125"/>
        <v>293.33333333333468</v>
      </c>
      <c r="DT180" s="62">
        <f ca="1">AVERAGE(OFFSET($DS$3,0,0,'Données projet'!$E$14+1,1))-AVERAGE(OFFSET($H$3,0,0,'Données projet'!$E$14+1,1))</f>
        <v>288.82868507674738</v>
      </c>
      <c r="DU180" s="62">
        <f t="shared" si="152"/>
        <v>283.48738729114024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0.55542849385942339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0.55542849385942339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-5.6843418860808015E-14</v>
      </c>
      <c r="EK180" s="18">
        <f>EJ180*VLOOKUP('Données projet'!$B$15,Paramètres!$A$1:$I$89,3,0)*VLOOKUP('Données projet'!$B$15,Paramètres!$A$1:$I$89,5,0)</f>
        <v>-5.1431925385259088E-14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366.86025470473652</v>
      </c>
      <c r="EP180" s="62">
        <f t="shared" si="154"/>
        <v>513.80016421153414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0.57591522938704931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0.57591522938704931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371.7282125501186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4.3226877184996066</v>
      </c>
      <c r="AA181" s="23">
        <f>EXP(-LN(2)/25)*AA180+(1-EXP(-LN(2)/25))/(LN(2)/25)*Calculateur!V181*Calculateur!X181*VLOOKUP('Données projet'!$B$9,Paramètres!$A$1:$I$89,3,0)*0.475*44/12</f>
        <v>0.71797643760666774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5.0406641561062742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9.5769792096689348E-14</v>
      </c>
      <c r="AK181" s="14">
        <f t="shared" si="164"/>
        <v>1.4459910566979609E-12</v>
      </c>
      <c r="AL181" s="22">
        <f t="shared" si="165"/>
        <v>2.6852334783173491E-12</v>
      </c>
      <c r="AM181" s="62">
        <f t="shared" si="113"/>
        <v>293.33333333333599</v>
      </c>
      <c r="AN181" s="62">
        <f ca="1">AVERAGE(OFFSET($AM$3,0,0,'Données projet'!$E$10+1,1))-AVERAGE(OFFSET($H$3,0,0,'Données projet'!$E$10+1,1))</f>
        <v>348.82438445524105</v>
      </c>
      <c r="AO181" s="62">
        <f t="shared" si="144"/>
        <v>218.26721063098552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4.0245713241203234</v>
      </c>
      <c r="AV181" s="23">
        <f>EXP(-LN(2)/25)*AV180+(1-EXP(-LN(2)/25))/(LN(2)/25)*Calculateur!AQ181*Calculateur!AS181*VLOOKUP('Données projet'!$B$10,Paramètres!$A$1:$I$89,3,0)*0.475*44/12</f>
        <v>0.66846082122000194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4.6930321453403252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-3.2514435588382188E-14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309.71642374647882</v>
      </c>
      <c r="BJ181" s="62">
        <f t="shared" si="146"/>
        <v>266.63880397664315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28.780405579144063</v>
      </c>
      <c r="BQ181" s="23">
        <f>EXP(-LN(2)/25)*BQ180+(1-EXP(-LN(2)/25))/(LN(2)/25)*Calculateur!BL181*Calculateur!BN181*VLOOKUP('Données projet'!$B$11,Paramètres!$A$1:$I$89,3,0)*0.475*44/12</f>
        <v>0.97462373208367603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29.755029311227737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1.0995790944434703E-13</v>
      </c>
      <c r="CA181" s="14">
        <f t="shared" si="170"/>
        <v>1.6337280948049956E-12</v>
      </c>
      <c r="CB181" s="22">
        <f t="shared" si="171"/>
        <v>3.036919790734272E-12</v>
      </c>
      <c r="CC181" s="62">
        <f t="shared" si="119"/>
        <v>293.33333333333633</v>
      </c>
      <c r="CD181" s="62">
        <f ca="1">AVERAGE(OFFSET($CC$3,0,0,'Données projet'!$E$12+1,1))-AVERAGE(OFFSET($H$3,0,0,'Données projet'!$E$12+1,1))</f>
        <v>394.59880827600006</v>
      </c>
      <c r="CE181" s="62">
        <f t="shared" si="148"/>
        <v>244.45149244446094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4.6208041128788953</v>
      </c>
      <c r="CL181" s="23">
        <f>EXP(-LN(2)/25)*CL180+(1-EXP(-LN(2)/25))/(LN(2)/25)*Calculateur!CG181*Calculateur!CI181*VLOOKUP('Données projet'!$B$12,Paramètres!$A$1:$I$89,3,0)*0.475*44/12</f>
        <v>0.76749205399333398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5.3882961668722293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4.5224624045658861E-14</v>
      </c>
      <c r="CV181" s="14">
        <f t="shared" si="173"/>
        <v>7.4514601661523691E-13</v>
      </c>
      <c r="CW181" s="22">
        <f t="shared" si="174"/>
        <v>1.3765621991510601E-12</v>
      </c>
      <c r="CX181" s="62">
        <f t="shared" si="122"/>
        <v>293.33333333333468</v>
      </c>
      <c r="CY181" s="62">
        <f ca="1">AVERAGE(OFFSET($CX$3,0,0,'Données projet'!$E$13+1,1))-AVERAGE(OFFSET($H$3,0,0,'Données projet'!$E$13+1,1))</f>
        <v>293.90975929253631</v>
      </c>
      <c r="CZ181" s="62">
        <f t="shared" si="150"/>
        <v>288.30197520356643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0.68459683083539424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0.68459683083539424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4.4337866711430253E-14</v>
      </c>
      <c r="DQ181" s="14">
        <f t="shared" si="176"/>
        <v>7.3222115536967035E-13</v>
      </c>
      <c r="DR181" s="22">
        <f t="shared" si="177"/>
        <v>1.3525069634579169E-12</v>
      </c>
      <c r="DS181" s="62">
        <f t="shared" si="125"/>
        <v>293.33333333333468</v>
      </c>
      <c r="DT181" s="62">
        <f ca="1">AVERAGE(OFFSET($DS$3,0,0,'Données projet'!$E$14+1,1))-AVERAGE(OFFSET($H$3,0,0,'Données projet'!$E$14+1,1))</f>
        <v>288.82868507674738</v>
      </c>
      <c r="DU181" s="62">
        <f t="shared" si="152"/>
        <v>283.48738729114024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0.54453687987276977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0.54453687987276977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-5.6843418860808015E-14</v>
      </c>
      <c r="EK181" s="18">
        <f>EJ181*VLOOKUP('Données projet'!$B$15,Paramètres!$A$1:$I$89,3,0)*VLOOKUP('Données projet'!$B$15,Paramètres!$A$1:$I$89,5,0)</f>
        <v>-5.1431925385259088E-14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366.86025470473652</v>
      </c>
      <c r="EP181" s="62">
        <f t="shared" si="154"/>
        <v>513.80016421153414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0.56462188301237382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0.56462188301237382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371.7282125501186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4.2379224489189973</v>
      </c>
      <c r="AA182" s="23">
        <f>EXP(-LN(2)/25)*AA181+(1-EXP(-LN(2)/25))/(LN(2)/25)*Calculateur!V182*Calculateur!X182*VLOOKUP('Données projet'!$B$9,Paramètres!$A$1:$I$89,3,0)*0.475*44/12</f>
        <v>0.69834333416357353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4.9362657830825709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9.5769792096689348E-14</v>
      </c>
      <c r="AK182" s="14">
        <f t="shared" si="164"/>
        <v>1.4459910566979609E-12</v>
      </c>
      <c r="AL182" s="22">
        <f t="shared" si="165"/>
        <v>2.6852334783173491E-12</v>
      </c>
      <c r="AM182" s="62">
        <f t="shared" si="113"/>
        <v>293.33333333333599</v>
      </c>
      <c r="AN182" s="62">
        <f ca="1">AVERAGE(OFFSET($AM$3,0,0,'Données projet'!$E$10+1,1))-AVERAGE(OFFSET($H$3,0,0,'Données projet'!$E$10+1,1))</f>
        <v>348.82438445524105</v>
      </c>
      <c r="AO182" s="62">
        <f t="shared" si="144"/>
        <v>218.26721063098552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3.9456519352004453</v>
      </c>
      <c r="AV182" s="23">
        <f>EXP(-LN(2)/25)*AV181+(1-EXP(-LN(2)/25))/(LN(2)/25)*Calculateur!AQ182*Calculateur!AS182*VLOOKUP('Données projet'!$B$10,Paramètres!$A$1:$I$89,3,0)*0.475*44/12</f>
        <v>0.65018172491091419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4.5958336601113592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-3.2514435588382188E-14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309.71642374647882</v>
      </c>
      <c r="BJ182" s="62">
        <f t="shared" si="146"/>
        <v>266.63880397664315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28.216039380051107</v>
      </c>
      <c r="BQ182" s="23">
        <f>EXP(-LN(2)/25)*BQ181+(1-EXP(-LN(2)/25))/(LN(2)/25)*Calculateur!BL182*Calculateur!BN182*VLOOKUP('Données projet'!$B$11,Paramètres!$A$1:$I$89,3,0)*0.475*44/12</f>
        <v>0.94797259487661334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29.164011974927721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1.0995790944434703E-13</v>
      </c>
      <c r="CA182" s="14">
        <f t="shared" si="170"/>
        <v>1.6337280948049956E-12</v>
      </c>
      <c r="CB182" s="22">
        <f t="shared" si="171"/>
        <v>3.036919790734272E-12</v>
      </c>
      <c r="CC182" s="62">
        <f t="shared" si="119"/>
        <v>293.33333333333633</v>
      </c>
      <c r="CD182" s="62">
        <f ca="1">AVERAGE(OFFSET($CC$3,0,0,'Données projet'!$E$12+1,1))-AVERAGE(OFFSET($H$3,0,0,'Données projet'!$E$12+1,1))</f>
        <v>394.59880827600006</v>
      </c>
      <c r="CE182" s="62">
        <f t="shared" si="148"/>
        <v>244.45149244446094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4.5301929626375541</v>
      </c>
      <c r="CL182" s="23">
        <f>EXP(-LN(2)/25)*CL181+(1-EXP(-LN(2)/25))/(LN(2)/25)*Calculateur!CG182*Calculateur!CI182*VLOOKUP('Données projet'!$B$12,Paramètres!$A$1:$I$89,3,0)*0.475*44/12</f>
        <v>0.7465049434162333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5.2766979060537871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4.5224624045658861E-14</v>
      </c>
      <c r="CV182" s="14">
        <f t="shared" si="173"/>
        <v>7.4514601661523691E-13</v>
      </c>
      <c r="CW182" s="22">
        <f t="shared" si="174"/>
        <v>1.3765621991510601E-12</v>
      </c>
      <c r="CX182" s="62">
        <f t="shared" si="122"/>
        <v>293.33333333333468</v>
      </c>
      <c r="CY182" s="62">
        <f ca="1">AVERAGE(OFFSET($CX$3,0,0,'Données projet'!$E$13+1,1))-AVERAGE(OFFSET($H$3,0,0,'Données projet'!$E$13+1,1))</f>
        <v>293.90975929253631</v>
      </c>
      <c r="CZ182" s="62">
        <f t="shared" si="150"/>
        <v>288.30197520356643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0.6711723045455481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0.6711723045455481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4.4337866711430253E-14</v>
      </c>
      <c r="DQ182" s="14">
        <f t="shared" si="176"/>
        <v>7.3222115536967035E-13</v>
      </c>
      <c r="DR182" s="22">
        <f t="shared" si="177"/>
        <v>1.3525069634579169E-12</v>
      </c>
      <c r="DS182" s="62">
        <f t="shared" si="125"/>
        <v>293.33333333333468</v>
      </c>
      <c r="DT182" s="62">
        <f ca="1">AVERAGE(OFFSET($DS$3,0,0,'Données projet'!$E$14+1,1))-AVERAGE(OFFSET($H$3,0,0,'Données projet'!$E$14+1,1))</f>
        <v>288.82868507674738</v>
      </c>
      <c r="DU182" s="62">
        <f t="shared" si="152"/>
        <v>283.48738729114024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0.53385884379316595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0.53385884379316595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-5.6843418860808015E-14</v>
      </c>
      <c r="EK182" s="18">
        <f>EJ182*VLOOKUP('Données projet'!$B$15,Paramètres!$A$1:$I$89,3,0)*VLOOKUP('Données projet'!$B$15,Paramètres!$A$1:$I$89,5,0)</f>
        <v>-5.1431925385259088E-14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366.86025470473652</v>
      </c>
      <c r="EP182" s="62">
        <f t="shared" si="154"/>
        <v>513.80016421153414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0.55354999227184454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0.55354999227184454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371.7282125501186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4.1548193745731545</v>
      </c>
      <c r="AA183" s="23">
        <f>EXP(-LN(2)/25)*AA182+(1-EXP(-LN(2)/25))/(LN(2)/25)*Calculateur!V183*Calculateur!X183*VLOOKUP('Données projet'!$B$9,Paramètres!$A$1:$I$89,3,0)*0.475*44/12</f>
        <v>0.67924709896659075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4.8340664735397452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9.5769792096689348E-14</v>
      </c>
      <c r="AK183" s="14">
        <f t="shared" si="164"/>
        <v>1.4459910566979609E-12</v>
      </c>
      <c r="AL183" s="22">
        <f t="shared" si="165"/>
        <v>2.6852334783173491E-12</v>
      </c>
      <c r="AM183" s="62">
        <f t="shared" si="113"/>
        <v>293.33333333333599</v>
      </c>
      <c r="AN183" s="62">
        <f ca="1">AVERAGE(OFFSET($AM$3,0,0,'Données projet'!$E$10+1,1))-AVERAGE(OFFSET($H$3,0,0,'Données projet'!$E$10+1,1))</f>
        <v>348.82438445524105</v>
      </c>
      <c r="AO183" s="62">
        <f t="shared" si="144"/>
        <v>218.26721063098552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3.8682801073612119</v>
      </c>
      <c r="AV183" s="23">
        <f>EXP(-LN(2)/25)*AV182+(1-EXP(-LN(2)/25))/(LN(2)/25)*Calculateur!AQ183*Calculateur!AS183*VLOOKUP('Données projet'!$B$10,Paramètres!$A$1:$I$89,3,0)*0.475*44/12</f>
        <v>0.63240247145165429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4.5006825788128664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-3.2514435588382188E-14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309.71642374647882</v>
      </c>
      <c r="BJ183" s="62">
        <f t="shared" si="146"/>
        <v>266.63880397664315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27.662740057892972</v>
      </c>
      <c r="BQ183" s="23">
        <f>EXP(-LN(2)/25)*BQ182+(1-EXP(-LN(2)/25))/(LN(2)/25)*Calculateur!BL183*Calculateur!BN183*VLOOKUP('Données projet'!$B$11,Paramètres!$A$1:$I$89,3,0)*0.475*44/12</f>
        <v>0.92205023441800016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28.58479029231097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1.0995790944434703E-13</v>
      </c>
      <c r="CA183" s="14">
        <f t="shared" si="170"/>
        <v>1.6337280948049956E-12</v>
      </c>
      <c r="CB183" s="22">
        <f t="shared" si="171"/>
        <v>3.036919790734272E-12</v>
      </c>
      <c r="CC183" s="62">
        <f t="shared" si="119"/>
        <v>293.33333333333633</v>
      </c>
      <c r="CD183" s="62">
        <f ca="1">AVERAGE(OFFSET($CC$3,0,0,'Données projet'!$E$12+1,1))-AVERAGE(OFFSET($H$3,0,0,'Données projet'!$E$12+1,1))</f>
        <v>394.59880827600006</v>
      </c>
      <c r="CE183" s="62">
        <f t="shared" si="148"/>
        <v>244.45149244446094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4.4413586417851008</v>
      </c>
      <c r="CL183" s="23">
        <f>EXP(-LN(2)/25)*CL182+(1-EXP(-LN(2)/25))/(LN(2)/25)*Calculateur!CG183*Calculateur!CI183*VLOOKUP('Données projet'!$B$12,Paramètres!$A$1:$I$89,3,0)*0.475*44/12</f>
        <v>0.72609172648152753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5.1674503682666284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4.5224624045658861E-14</v>
      </c>
      <c r="CV183" s="14">
        <f t="shared" si="173"/>
        <v>7.4514601661523691E-13</v>
      </c>
      <c r="CW183" s="22">
        <f t="shared" si="174"/>
        <v>1.3765621991510601E-12</v>
      </c>
      <c r="CX183" s="62">
        <f t="shared" si="122"/>
        <v>293.33333333333468</v>
      </c>
      <c r="CY183" s="62">
        <f ca="1">AVERAGE(OFFSET($CX$3,0,0,'Données projet'!$E$13+1,1))-AVERAGE(OFFSET($H$3,0,0,'Données projet'!$E$13+1,1))</f>
        <v>293.90975929253631</v>
      </c>
      <c r="CZ183" s="62">
        <f t="shared" si="150"/>
        <v>288.30197520356643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0.65801102502809328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0.65801102502809328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4.4337866711430253E-14</v>
      </c>
      <c r="DQ183" s="14">
        <f t="shared" si="176"/>
        <v>7.3222115536967035E-13</v>
      </c>
      <c r="DR183" s="22">
        <f t="shared" si="177"/>
        <v>1.3525069634579169E-12</v>
      </c>
      <c r="DS183" s="62">
        <f t="shared" si="125"/>
        <v>293.33333333333468</v>
      </c>
      <c r="DT183" s="62">
        <f ca="1">AVERAGE(OFFSET($DS$3,0,0,'Données projet'!$E$14+1,1))-AVERAGE(OFFSET($H$3,0,0,'Données projet'!$E$14+1,1))</f>
        <v>288.82868507674738</v>
      </c>
      <c r="DU183" s="62">
        <f t="shared" si="152"/>
        <v>283.48738729114024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0.52339019748812421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0.52339019748812421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-5.6843418860808015E-14</v>
      </c>
      <c r="EK183" s="18">
        <f>EJ183*VLOOKUP('Données projet'!$B$15,Paramètres!$A$1:$I$89,3,0)*VLOOKUP('Données projet'!$B$15,Paramètres!$A$1:$I$89,5,0)</f>
        <v>-5.1431925385259088E-14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366.86025470473652</v>
      </c>
      <c r="EP183" s="62">
        <f t="shared" si="154"/>
        <v>513.80016421153414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0.54269521455555059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0.54269521455555059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371.7282125501186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4.0733459008273627</v>
      </c>
      <c r="AA184" s="23">
        <f>EXP(-LN(2)/25)*AA183+(1-EXP(-LN(2)/25))/(LN(2)/25)*Calculateur!V184*Calculateur!X184*VLOOKUP('Données projet'!$B$9,Paramètres!$A$1:$I$89,3,0)*0.475*44/12</f>
        <v>0.66067305132529686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4.7340189521526597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9.5769792096689348E-14</v>
      </c>
      <c r="AK184" s="14">
        <f t="shared" si="164"/>
        <v>1.4459910566979609E-12</v>
      </c>
      <c r="AL184" s="22">
        <f t="shared" si="165"/>
        <v>2.6852334783173491E-12</v>
      </c>
      <c r="AM184" s="62">
        <f t="shared" si="113"/>
        <v>293.33333333333599</v>
      </c>
      <c r="AN184" s="62">
        <f ca="1">AVERAGE(OFFSET($AM$3,0,0,'Données projet'!$E$10+1,1))-AVERAGE(OFFSET($H$3,0,0,'Données projet'!$E$10+1,1))</f>
        <v>348.82438445524105</v>
      </c>
      <c r="AO184" s="62">
        <f t="shared" si="144"/>
        <v>218.26721063098552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3.7924254938737509</v>
      </c>
      <c r="AV184" s="23">
        <f>EXP(-LN(2)/25)*AV183+(1-EXP(-LN(2)/25))/(LN(2)/25)*Calculateur!AQ184*Calculateur!AS184*VLOOKUP('Données projet'!$B$10,Paramètres!$A$1:$I$89,3,0)*0.475*44/12</f>
        <v>0.61510939261320818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4.4075348864869595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-3.2514435588382188E-14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309.71642374647882</v>
      </c>
      <c r="BJ184" s="62">
        <f t="shared" si="146"/>
        <v>266.63880397664315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27.120290597963095</v>
      </c>
      <c r="BQ184" s="23">
        <f>EXP(-LN(2)/25)*BQ183+(1-EXP(-LN(2)/25))/(LN(2)/25)*Calculateur!BL184*Calculateur!BN184*VLOOKUP('Données projet'!$B$11,Paramètres!$A$1:$I$89,3,0)*0.475*44/12</f>
        <v>0.89683672226932554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28.017127320232419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1.0995790944434703E-13</v>
      </c>
      <c r="CA184" s="14">
        <f t="shared" si="170"/>
        <v>1.6337280948049956E-12</v>
      </c>
      <c r="CB184" s="22">
        <f t="shared" si="171"/>
        <v>3.036919790734272E-12</v>
      </c>
      <c r="CC184" s="62">
        <f t="shared" si="119"/>
        <v>293.33333333333633</v>
      </c>
      <c r="CD184" s="62">
        <f ca="1">AVERAGE(OFFSET($CC$3,0,0,'Données projet'!$E$12+1,1))-AVERAGE(OFFSET($H$3,0,0,'Données projet'!$E$12+1,1))</f>
        <v>394.59880827600006</v>
      </c>
      <c r="CE184" s="62">
        <f t="shared" si="148"/>
        <v>244.45149244446094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4.3542663077809785</v>
      </c>
      <c r="CL184" s="23">
        <f>EXP(-LN(2)/25)*CL183+(1-EXP(-LN(2)/25))/(LN(2)/25)*Calculateur!CG184*Calculateur!CI184*VLOOKUP('Données projet'!$B$12,Paramètres!$A$1:$I$89,3,0)*0.475*44/12</f>
        <v>0.70623671003738575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5.0605030178183643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4.5224624045658861E-14</v>
      </c>
      <c r="CV184" s="14">
        <f t="shared" si="173"/>
        <v>7.4514601661523691E-13</v>
      </c>
      <c r="CW184" s="22">
        <f t="shared" si="174"/>
        <v>1.3765621991510601E-12</v>
      </c>
      <c r="CX184" s="62">
        <f t="shared" si="122"/>
        <v>293.33333333333468</v>
      </c>
      <c r="CY184" s="62">
        <f ca="1">AVERAGE(OFFSET($CX$3,0,0,'Données projet'!$E$13+1,1))-AVERAGE(OFFSET($H$3,0,0,'Données projet'!$E$13+1,1))</f>
        <v>293.90975929253631</v>
      </c>
      <c r="CZ184" s="62">
        <f t="shared" si="150"/>
        <v>288.30197520356643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0.64510783017438789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0.64510783017438789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4.4337866711430253E-14</v>
      </c>
      <c r="DQ184" s="14">
        <f t="shared" si="176"/>
        <v>7.3222115536967035E-13</v>
      </c>
      <c r="DR184" s="22">
        <f t="shared" si="177"/>
        <v>1.3525069634579169E-12</v>
      </c>
      <c r="DS184" s="62">
        <f t="shared" si="125"/>
        <v>293.33333333333468</v>
      </c>
      <c r="DT184" s="62">
        <f ca="1">AVERAGE(OFFSET($DS$3,0,0,'Données projet'!$E$14+1,1))-AVERAGE(OFFSET($H$3,0,0,'Données projet'!$E$14+1,1))</f>
        <v>288.82868507674738</v>
      </c>
      <c r="DU184" s="62">
        <f t="shared" si="152"/>
        <v>283.48738729114024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0.51312683495188061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0.51312683495188061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-5.6843418860808015E-14</v>
      </c>
      <c r="EK184" s="18">
        <f>EJ184*VLOOKUP('Données projet'!$B$15,Paramètres!$A$1:$I$89,3,0)*VLOOKUP('Données projet'!$B$15,Paramètres!$A$1:$I$89,5,0)</f>
        <v>-5.1431925385259088E-14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366.86025470473652</v>
      </c>
      <c r="EP184" s="62">
        <f t="shared" si="154"/>
        <v>513.80016421153414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0.53205329240951249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0.53205329240951249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371.7282125501186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3.9934700722078142</v>
      </c>
      <c r="AA185" s="23">
        <f>EXP(-LN(2)/25)*AA184+(1-EXP(-LN(2)/25))/(LN(2)/25)*Calculateur!V185*Calculateur!X185*VLOOKUP('Données projet'!$B$9,Paramètres!$A$1:$I$89,3,0)*0.475*44/12</f>
        <v>0.64260691199352082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4.6360769842013347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9.5769792096689348E-14</v>
      </c>
      <c r="AK185" s="14">
        <f t="shared" si="164"/>
        <v>1.4459910566979609E-12</v>
      </c>
      <c r="AL185" s="22">
        <f t="shared" si="165"/>
        <v>2.6852334783173491E-12</v>
      </c>
      <c r="AM185" s="62">
        <f t="shared" si="113"/>
        <v>293.33333333333599</v>
      </c>
      <c r="AN185" s="62">
        <f ca="1">AVERAGE(OFFSET($AM$3,0,0,'Données projet'!$E$10+1,1))-AVERAGE(OFFSET($H$3,0,0,'Données projet'!$E$10+1,1))</f>
        <v>348.82438445524105</v>
      </c>
      <c r="AO185" s="62">
        <f t="shared" si="144"/>
        <v>218.26721063098552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3.7180583430900334</v>
      </c>
      <c r="AV185" s="23">
        <f>EXP(-LN(2)/25)*AV184+(1-EXP(-LN(2)/25))/(LN(2)/25)*Calculateur!AQ185*Calculateur!AS185*VLOOKUP('Données projet'!$B$10,Paramètres!$A$1:$I$89,3,0)*0.475*44/12</f>
        <v>0.5982891939250029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4.3163475370150364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-3.2514435588382188E-14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309.71642374647882</v>
      </c>
      <c r="BJ185" s="62">
        <f t="shared" si="146"/>
        <v>266.63880397664315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26.588478241080942</v>
      </c>
      <c r="BQ185" s="23">
        <f>EXP(-LN(2)/25)*BQ184+(1-EXP(-LN(2)/25))/(LN(2)/25)*Calculateur!BL185*Calculateur!BN185*VLOOKUP('Données projet'!$B$11,Paramètres!$A$1:$I$89,3,0)*0.475*44/12</f>
        <v>0.8723126749362774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27.460790916017221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1.0995790944434703E-13</v>
      </c>
      <c r="CA185" s="14">
        <f t="shared" si="170"/>
        <v>1.6337280948049956E-12</v>
      </c>
      <c r="CB185" s="22">
        <f t="shared" si="171"/>
        <v>3.036919790734272E-12</v>
      </c>
      <c r="CC185" s="62">
        <f t="shared" si="119"/>
        <v>293.33333333333633</v>
      </c>
      <c r="CD185" s="62">
        <f ca="1">AVERAGE(OFFSET($CC$3,0,0,'Données projet'!$E$12+1,1))-AVERAGE(OFFSET($H$3,0,0,'Données projet'!$E$12+1,1))</f>
        <v>394.59880827600006</v>
      </c>
      <c r="CE185" s="62">
        <f t="shared" si="148"/>
        <v>244.45149244446094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4.2688818013255991</v>
      </c>
      <c r="CL185" s="23">
        <f>EXP(-LN(2)/25)*CL184+(1-EXP(-LN(2)/25))/(LN(2)/25)*Calculateur!CG185*Calculateur!CI185*VLOOKUP('Données projet'!$B$12,Paramètres!$A$1:$I$89,3,0)*0.475*44/12</f>
        <v>0.68692463006203897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4.9558064313876384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4.5224624045658861E-14</v>
      </c>
      <c r="CV185" s="14">
        <f t="shared" si="173"/>
        <v>7.4514601661523691E-13</v>
      </c>
      <c r="CW185" s="22">
        <f t="shared" si="174"/>
        <v>1.3765621991510601E-12</v>
      </c>
      <c r="CX185" s="62">
        <f t="shared" si="122"/>
        <v>293.33333333333468</v>
      </c>
      <c r="CY185" s="62">
        <f ca="1">AVERAGE(OFFSET($CX$3,0,0,'Données projet'!$E$13+1,1))-AVERAGE(OFFSET($H$3,0,0,'Données projet'!$E$13+1,1))</f>
        <v>293.90975929253631</v>
      </c>
      <c r="CZ185" s="62">
        <f t="shared" si="150"/>
        <v>288.30197520356643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0.63245765910159191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0.63245765910159191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4.4337866711430253E-14</v>
      </c>
      <c r="DQ185" s="14">
        <f t="shared" si="176"/>
        <v>7.3222115536967035E-13</v>
      </c>
      <c r="DR185" s="22">
        <f t="shared" si="177"/>
        <v>1.3525069634579169E-12</v>
      </c>
      <c r="DS185" s="62">
        <f t="shared" si="125"/>
        <v>293.33333333333468</v>
      </c>
      <c r="DT185" s="62">
        <f ca="1">AVERAGE(OFFSET($DS$3,0,0,'Données projet'!$E$14+1,1))-AVERAGE(OFFSET($H$3,0,0,'Données projet'!$E$14+1,1))</f>
        <v>288.82868507674738</v>
      </c>
      <c r="DU185" s="62">
        <f t="shared" si="152"/>
        <v>283.48738729114024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0.50306473069493973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0.50306473069493973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-5.6843418860808015E-14</v>
      </c>
      <c r="EK185" s="18">
        <f>EJ185*VLOOKUP('Données projet'!$B$15,Paramètres!$A$1:$I$89,3,0)*VLOOKUP('Données projet'!$B$15,Paramètres!$A$1:$I$89,5,0)</f>
        <v>-5.1431925385259088E-14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366.86025470473652</v>
      </c>
      <c r="EP185" s="62">
        <f t="shared" si="154"/>
        <v>513.80016421153414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0.52162005186582661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0.52162005186582661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371.7282125501186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3.9151605598680503</v>
      </c>
      <c r="AA186" s="23">
        <f>EXP(-LN(2)/25)*AA185+(1-EXP(-LN(2)/25))/(LN(2)/25)*Calculateur!V186*Calculateur!X186*VLOOKUP('Données projet'!$B$9,Paramètres!$A$1:$I$89,3,0)*0.475*44/12</f>
        <v>0.62503479219182922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4.5401953520598797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9.5769792096689348E-14</v>
      </c>
      <c r="AK186" s="14">
        <f t="shared" si="164"/>
        <v>1.4459910566979609E-12</v>
      </c>
      <c r="AL186" s="22">
        <f t="shared" si="165"/>
        <v>2.6852334783173491E-12</v>
      </c>
      <c r="AM186" s="62">
        <f t="shared" si="113"/>
        <v>293.33333333333599</v>
      </c>
      <c r="AN186" s="62">
        <f ca="1">AVERAGE(OFFSET($AM$3,0,0,'Données projet'!$E$10+1,1))-AVERAGE(OFFSET($H$3,0,0,'Données projet'!$E$10+1,1))</f>
        <v>348.82438445524105</v>
      </c>
      <c r="AO186" s="62">
        <f t="shared" si="144"/>
        <v>218.26721063098552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3.6451494867737013</v>
      </c>
      <c r="AV186" s="23">
        <f>EXP(-LN(2)/25)*AV185+(1-EXP(-LN(2)/25))/(LN(2)/25)*Calculateur!AQ186*Calculateur!AS186*VLOOKUP('Données projet'!$B$10,Paramètres!$A$1:$I$89,3,0)*0.475*44/12</f>
        <v>0.58192894445446242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4.227078431228164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-3.2514435588382188E-14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309.71642374647882</v>
      </c>
      <c r="BJ186" s="62">
        <f t="shared" si="146"/>
        <v>266.63880397664315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26.067094400143741</v>
      </c>
      <c r="BQ186" s="23">
        <f>EXP(-LN(2)/25)*BQ185+(1-EXP(-LN(2)/25))/(LN(2)/25)*Calculateur!BL186*Calculateur!BN186*VLOOKUP('Données projet'!$B$11,Paramètres!$A$1:$I$89,3,0)*0.475*44/12</f>
        <v>0.84845923896721498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26.915553639110957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1.0995790944434703E-13</v>
      </c>
      <c r="CA186" s="14">
        <f t="shared" si="170"/>
        <v>1.6337280948049956E-12</v>
      </c>
      <c r="CB186" s="22">
        <f t="shared" si="171"/>
        <v>3.036919790734272E-12</v>
      </c>
      <c r="CC186" s="62">
        <f t="shared" si="119"/>
        <v>293.33333333333633</v>
      </c>
      <c r="CD186" s="62">
        <f ca="1">AVERAGE(OFFSET($CC$3,0,0,'Données projet'!$E$12+1,1))-AVERAGE(OFFSET($H$3,0,0,'Données projet'!$E$12+1,1))</f>
        <v>394.59880827600006</v>
      </c>
      <c r="CE186" s="62">
        <f t="shared" si="148"/>
        <v>244.45149244446094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4.1851716329624029</v>
      </c>
      <c r="CL186" s="23">
        <f>EXP(-LN(2)/25)*CL185+(1-EXP(-LN(2)/25))/(LN(2)/25)*Calculateur!CG186*Calculateur!CI186*VLOOKUP('Données projet'!$B$12,Paramètres!$A$1:$I$89,3,0)*0.475*44/12</f>
        <v>0.66814063992919626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4.8533122728915989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4.5224624045658861E-14</v>
      </c>
      <c r="CV186" s="14">
        <f t="shared" si="173"/>
        <v>7.4514601661523691E-13</v>
      </c>
      <c r="CW186" s="22">
        <f t="shared" si="174"/>
        <v>1.3765621991510601E-12</v>
      </c>
      <c r="CX186" s="62">
        <f t="shared" si="122"/>
        <v>293.33333333333468</v>
      </c>
      <c r="CY186" s="62">
        <f ca="1">AVERAGE(OFFSET($CX$3,0,0,'Données projet'!$E$13+1,1))-AVERAGE(OFFSET($H$3,0,0,'Données projet'!$E$13+1,1))</f>
        <v>293.90975929253631</v>
      </c>
      <c r="CZ186" s="62">
        <f t="shared" si="150"/>
        <v>288.30197520356643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0.62005555016769098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0.62005555016769098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4.4337866711430253E-14</v>
      </c>
      <c r="DQ186" s="14">
        <f t="shared" si="176"/>
        <v>7.3222115536967035E-13</v>
      </c>
      <c r="DR186" s="22">
        <f t="shared" si="177"/>
        <v>1.3525069634579169E-12</v>
      </c>
      <c r="DS186" s="62">
        <f t="shared" si="125"/>
        <v>293.33333333333468</v>
      </c>
      <c r="DT186" s="62">
        <f ca="1">AVERAGE(OFFSET($DS$3,0,0,'Données projet'!$E$14+1,1))-AVERAGE(OFFSET($H$3,0,0,'Données projet'!$E$14+1,1))</f>
        <v>288.82868507674738</v>
      </c>
      <c r="DU186" s="62">
        <f t="shared" si="152"/>
        <v>283.48738729114024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0.49319993816519986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0.49319993816519986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-5.6843418860808015E-14</v>
      </c>
      <c r="EK186" s="18">
        <f>EJ186*VLOOKUP('Données projet'!$B$15,Paramètres!$A$1:$I$89,3,0)*VLOOKUP('Données projet'!$B$15,Paramètres!$A$1:$I$89,5,0)</f>
        <v>-5.1431925385259088E-14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366.86025470473652</v>
      </c>
      <c r="EP186" s="62">
        <f t="shared" si="154"/>
        <v>513.80016421153414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0.51139140080555401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0.51139140080555401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371.7282125501186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3.8383866493011829</v>
      </c>
      <c r="AA187" s="23">
        <f>EXP(-LN(2)/25)*AA186+(1-EXP(-LN(2)/25))/(LN(2)/25)*Calculateur!V187*Calculateur!X187*VLOOKUP('Données projet'!$B$9,Paramètres!$A$1:$I$89,3,0)*0.475*44/12</f>
        <v>0.60794318293019245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4.4463298322313758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9.5769792096689348E-14</v>
      </c>
      <c r="AK187" s="14">
        <f t="shared" si="164"/>
        <v>1.4459910566979609E-12</v>
      </c>
      <c r="AL187" s="22">
        <f t="shared" si="165"/>
        <v>2.6852334783173491E-12</v>
      </c>
      <c r="AM187" s="62">
        <f t="shared" si="113"/>
        <v>293.33333333333599</v>
      </c>
      <c r="AN187" s="62">
        <f ca="1">AVERAGE(OFFSET($AM$3,0,0,'Données projet'!$E$10+1,1))-AVERAGE(OFFSET($H$3,0,0,'Données projet'!$E$10+1,1))</f>
        <v>348.82438445524105</v>
      </c>
      <c r="AO187" s="62">
        <f t="shared" si="144"/>
        <v>218.26721063098552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3.5736703286597211</v>
      </c>
      <c r="AV187" s="23">
        <f>EXP(-LN(2)/25)*AV186+(1-EXP(-LN(2)/25))/(LN(2)/25)*Calculateur!AQ187*Calculateur!AS187*VLOOKUP('Données projet'!$B$10,Paramètres!$A$1:$I$89,3,0)*0.475*44/12</f>
        <v>0.566016066866042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4.1396863955257635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-3.2514435588382188E-14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309.71642374647882</v>
      </c>
      <c r="BJ187" s="62">
        <f t="shared" si="146"/>
        <v>266.63880397664315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25.555934578314574</v>
      </c>
      <c r="BQ187" s="23">
        <f>EXP(-LN(2)/25)*BQ186+(1-EXP(-LN(2)/25))/(LN(2)/25)*Calculateur!BL187*Calculateur!BN187*VLOOKUP('Données projet'!$B$11,Paramètres!$A$1:$I$89,3,0)*0.475*44/12</f>
        <v>0.8252580764591243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26.381192654773699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1.0995790944434703E-13</v>
      </c>
      <c r="CA187" s="14">
        <f t="shared" si="170"/>
        <v>1.6337280948049956E-12</v>
      </c>
      <c r="CB187" s="22">
        <f t="shared" si="171"/>
        <v>3.036919790734272E-12</v>
      </c>
      <c r="CC187" s="62">
        <f t="shared" si="119"/>
        <v>293.33333333333633</v>
      </c>
      <c r="CD187" s="62">
        <f ca="1">AVERAGE(OFFSET($CC$3,0,0,'Données projet'!$E$12+1,1))-AVERAGE(OFFSET($H$3,0,0,'Données projet'!$E$12+1,1))</f>
        <v>394.59880827600006</v>
      </c>
      <c r="CE187" s="62">
        <f t="shared" si="148"/>
        <v>244.45149244446094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4.1031029699426478</v>
      </c>
      <c r="CL187" s="23">
        <f>EXP(-LN(2)/25)*CL186+(1-EXP(-LN(2)/25))/(LN(2)/25)*Calculateur!CG187*Calculateur!CI187*VLOOKUP('Données projet'!$B$12,Paramètres!$A$1:$I$89,3,0)*0.475*44/12</f>
        <v>0.64987029899434323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4.7529732689369908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4.5224624045658861E-14</v>
      </c>
      <c r="CV187" s="14">
        <f t="shared" si="173"/>
        <v>7.4514601661523691E-13</v>
      </c>
      <c r="CW187" s="22">
        <f t="shared" si="174"/>
        <v>1.3765621991510601E-12</v>
      </c>
      <c r="CX187" s="62">
        <f t="shared" si="122"/>
        <v>293.33333333333468</v>
      </c>
      <c r="CY187" s="62">
        <f ca="1">AVERAGE(OFFSET($CX$3,0,0,'Données projet'!$E$13+1,1))-AVERAGE(OFFSET($H$3,0,0,'Données projet'!$E$13+1,1))</f>
        <v>293.90975929253631</v>
      </c>
      <c r="CZ187" s="62">
        <f t="shared" si="150"/>
        <v>288.30197520356643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0.60789663902544433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0.60789663902544433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4.4337866711430253E-14</v>
      </c>
      <c r="DQ187" s="14">
        <f t="shared" si="176"/>
        <v>7.3222115536967035E-13</v>
      </c>
      <c r="DR187" s="22">
        <f t="shared" si="177"/>
        <v>1.3525069634579169E-12</v>
      </c>
      <c r="DS187" s="62">
        <f t="shared" si="125"/>
        <v>293.33333333333468</v>
      </c>
      <c r="DT187" s="62">
        <f ca="1">AVERAGE(OFFSET($DS$3,0,0,'Données projet'!$E$14+1,1))-AVERAGE(OFFSET($H$3,0,0,'Données projet'!$E$14+1,1))</f>
        <v>288.82868507674738</v>
      </c>
      <c r="DU187" s="62">
        <f t="shared" si="152"/>
        <v>283.48738729114024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0.48352858820003886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0.48352858820003886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-5.6843418860808015E-14</v>
      </c>
      <c r="EK187" s="18">
        <f>EJ187*VLOOKUP('Données projet'!$B$15,Paramètres!$A$1:$I$89,3,0)*VLOOKUP('Données projet'!$B$15,Paramètres!$A$1:$I$89,5,0)</f>
        <v>-5.1431925385259088E-14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366.86025470473652</v>
      </c>
      <c r="EP187" s="62">
        <f t="shared" si="154"/>
        <v>513.80016421153414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0.50136332735371225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0.50136332735371225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371.7282125501186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3.7631182282930702</v>
      </c>
      <c r="AA188" s="23">
        <f>EXP(-LN(2)/25)*AA187+(1-EXP(-LN(2)/25))/(LN(2)/25)*Calculateur!V188*Calculateur!X188*VLOOKUP('Données projet'!$B$9,Paramètres!$A$1:$I$89,3,0)*0.475*44/12</f>
        <v>0.5913189446226238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4.3544371729156941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9.5769792096689348E-14</v>
      </c>
      <c r="AK188" s="14">
        <f t="shared" si="164"/>
        <v>1.4459910566979609E-12</v>
      </c>
      <c r="AL188" s="22">
        <f t="shared" si="165"/>
        <v>2.6852334783173491E-12</v>
      </c>
      <c r="AM188" s="62">
        <f t="shared" si="113"/>
        <v>293.33333333333599</v>
      </c>
      <c r="AN188" s="62">
        <f ca="1">AVERAGE(OFFSET($AM$3,0,0,'Données projet'!$E$10+1,1))-AVERAGE(OFFSET($H$3,0,0,'Données projet'!$E$10+1,1))</f>
        <v>348.82438445524105</v>
      </c>
      <c r="AO188" s="62">
        <f t="shared" si="144"/>
        <v>218.26721063098552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3.5035928332383746</v>
      </c>
      <c r="AV188" s="23">
        <f>EXP(-LN(2)/25)*AV187+(1-EXP(-LN(2)/25))/(LN(2)/25)*Calculateur!AQ188*Calculateur!AS188*VLOOKUP('Données projet'!$B$10,Paramètres!$A$1:$I$89,3,0)*0.475*44/12</f>
        <v>0.55053832775209877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4.0541311609904733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-3.2514435588382188E-14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309.71642374647882</v>
      </c>
      <c r="BJ188" s="62">
        <f t="shared" si="146"/>
        <v>266.63880397664315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25.054798288814773</v>
      </c>
      <c r="BQ188" s="23">
        <f>EXP(-LN(2)/25)*BQ187+(1-EXP(-LN(2)/25))/(LN(2)/25)*Calculateur!BL188*Calculateur!BN188*VLOOKUP('Données projet'!$B$11,Paramètres!$A$1:$I$89,3,0)*0.475*44/12</f>
        <v>0.80269135095991351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25.857489639774688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1.0995790944434703E-13</v>
      </c>
      <c r="CA188" s="14">
        <f t="shared" si="170"/>
        <v>1.6337280948049956E-12</v>
      </c>
      <c r="CB188" s="22">
        <f t="shared" si="171"/>
        <v>3.036919790734272E-12</v>
      </c>
      <c r="CC188" s="62">
        <f t="shared" si="119"/>
        <v>293.33333333333633</v>
      </c>
      <c r="CD188" s="62">
        <f ca="1">AVERAGE(OFFSET($CC$3,0,0,'Données projet'!$E$12+1,1))-AVERAGE(OFFSET($H$3,0,0,'Données projet'!$E$12+1,1))</f>
        <v>394.59880827600006</v>
      </c>
      <c r="CE188" s="62">
        <f t="shared" si="148"/>
        <v>244.45149244446094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4.0226436233477685</v>
      </c>
      <c r="CL188" s="23">
        <f>EXP(-LN(2)/25)*CL187+(1-EXP(-LN(2)/25))/(LN(2)/25)*Calculateur!CG188*Calculateur!CI188*VLOOKUP('Données projet'!$B$12,Paramètres!$A$1:$I$89,3,0)*0.475*44/12</f>
        <v>0.63209956149314916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4.6547431848409175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4.5224624045658861E-14</v>
      </c>
      <c r="CV188" s="14">
        <f t="shared" si="173"/>
        <v>7.4514601661523691E-13</v>
      </c>
      <c r="CW188" s="22">
        <f t="shared" si="174"/>
        <v>1.3765621991510601E-12</v>
      </c>
      <c r="CX188" s="62">
        <f t="shared" si="122"/>
        <v>293.33333333333468</v>
      </c>
      <c r="CY188" s="62">
        <f ca="1">AVERAGE(OFFSET($CX$3,0,0,'Données projet'!$E$13+1,1))-AVERAGE(OFFSET($H$3,0,0,'Données projet'!$E$13+1,1))</f>
        <v>293.90975929253631</v>
      </c>
      <c r="CZ188" s="62">
        <f t="shared" si="150"/>
        <v>288.30197520356643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0.59597615671449367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0.59597615671449367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4.4337866711430253E-14</v>
      </c>
      <c r="DQ188" s="14">
        <f t="shared" si="176"/>
        <v>7.3222115536967035E-13</v>
      </c>
      <c r="DR188" s="22">
        <f t="shared" si="177"/>
        <v>1.3525069634579169E-12</v>
      </c>
      <c r="DS188" s="62">
        <f t="shared" si="125"/>
        <v>293.33333333333468</v>
      </c>
      <c r="DT188" s="62">
        <f ca="1">AVERAGE(OFFSET($DS$3,0,0,'Données projet'!$E$14+1,1))-AVERAGE(OFFSET($H$3,0,0,'Données projet'!$E$14+1,1))</f>
        <v>288.82868507674738</v>
      </c>
      <c r="DU188" s="62">
        <f t="shared" si="152"/>
        <v>283.48738729114024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0.47404688750875362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0.47404688750875362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-5.6843418860808015E-14</v>
      </c>
      <c r="EK188" s="18">
        <f>EJ188*VLOOKUP('Données projet'!$B$15,Paramètres!$A$1:$I$89,3,0)*VLOOKUP('Données projet'!$B$15,Paramètres!$A$1:$I$89,5,0)</f>
        <v>-5.1431925385259088E-14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366.86025470473652</v>
      </c>
      <c r="EP188" s="62">
        <f t="shared" si="154"/>
        <v>513.80016421153414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0.49153189830574023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0.49153189830574023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371.7282125501186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3.6893257751117225</v>
      </c>
      <c r="AA189" s="23">
        <f>EXP(-LN(2)/25)*AA188+(1-EXP(-LN(2)/25))/(LN(2)/25)*Calculateur!V189*Calculateur!X189*VLOOKUP('Données projet'!$B$9,Paramètres!$A$1:$I$89,3,0)*0.475*44/12</f>
        <v>0.5751492969858063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4.2644750720975289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9.5769792096689348E-14</v>
      </c>
      <c r="AK189" s="14">
        <f t="shared" si="164"/>
        <v>1.4459910566979609E-12</v>
      </c>
      <c r="AL189" s="22">
        <f t="shared" si="165"/>
        <v>2.6852334783173491E-12</v>
      </c>
      <c r="AM189" s="62">
        <f t="shared" si="113"/>
        <v>293.33333333333599</v>
      </c>
      <c r="AN189" s="62">
        <f ca="1">AVERAGE(OFFSET($AM$3,0,0,'Données projet'!$E$10+1,1))-AVERAGE(OFFSET($H$3,0,0,'Données projet'!$E$10+1,1))</f>
        <v>348.82438445524105</v>
      </c>
      <c r="AO189" s="62">
        <f t="shared" si="144"/>
        <v>218.26721063098552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3.4348895147591891</v>
      </c>
      <c r="AV189" s="23">
        <f>EXP(-LN(2)/25)*AV188+(1-EXP(-LN(2)/25))/(LN(2)/25)*Calculateur!AQ189*Calculateur!AS189*VLOOKUP('Données projet'!$B$10,Paramètres!$A$1:$I$89,3,0)*0.475*44/12</f>
        <v>0.5354838282281652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3.9703733429873544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-3.2514435588382188E-14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309.71642374647882</v>
      </c>
      <c r="BJ189" s="62">
        <f t="shared" si="146"/>
        <v>266.63880397664315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24.563488976289108</v>
      </c>
      <c r="BQ189" s="23">
        <f>EXP(-LN(2)/25)*BQ188+(1-EXP(-LN(2)/25))/(LN(2)/25)*Calculateur!BL189*Calculateur!BN189*VLOOKUP('Données projet'!$B$11,Paramètres!$A$1:$I$89,3,0)*0.475*44/12</f>
        <v>0.78074171375621115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25.344230690045318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1.0995790944434703E-13</v>
      </c>
      <c r="CA189" s="14">
        <f t="shared" si="170"/>
        <v>1.6337280948049956E-12</v>
      </c>
      <c r="CB189" s="22">
        <f t="shared" si="171"/>
        <v>3.036919790734272E-12</v>
      </c>
      <c r="CC189" s="62">
        <f t="shared" si="119"/>
        <v>293.33333333333633</v>
      </c>
      <c r="CD189" s="62">
        <f ca="1">AVERAGE(OFFSET($CC$3,0,0,'Données projet'!$E$12+1,1))-AVERAGE(OFFSET($H$3,0,0,'Données projet'!$E$12+1,1))</f>
        <v>394.59880827600006</v>
      </c>
      <c r="CE189" s="62">
        <f t="shared" si="148"/>
        <v>244.45149244446094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3.9437620354642591</v>
      </c>
      <c r="CL189" s="23">
        <f>EXP(-LN(2)/25)*CL188+(1-EXP(-LN(2)/25))/(LN(2)/25)*Calculateur!CG189*Calculateur!CI189*VLOOKUP('Données projet'!$B$12,Paramètres!$A$1:$I$89,3,0)*0.475*44/12</f>
        <v>0.61481476574344773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4.5585768012077068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4.5224624045658861E-14</v>
      </c>
      <c r="CV189" s="14">
        <f t="shared" si="173"/>
        <v>7.4514601661523691E-13</v>
      </c>
      <c r="CW189" s="22">
        <f t="shared" si="174"/>
        <v>1.3765621991510601E-12</v>
      </c>
      <c r="CX189" s="62">
        <f t="shared" si="122"/>
        <v>293.33333333333468</v>
      </c>
      <c r="CY189" s="62">
        <f ca="1">AVERAGE(OFFSET($CX$3,0,0,'Données projet'!$E$13+1,1))-AVERAGE(OFFSET($H$3,0,0,'Données projet'!$E$13+1,1))</f>
        <v>293.90975929253631</v>
      </c>
      <c r="CZ189" s="62">
        <f t="shared" si="150"/>
        <v>288.30197520356643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0.58428942779088444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0.58428942779088444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4.4337866711430253E-14</v>
      </c>
      <c r="DQ189" s="14">
        <f t="shared" si="176"/>
        <v>7.3222115536967035E-13</v>
      </c>
      <c r="DR189" s="22">
        <f t="shared" si="177"/>
        <v>1.3525069634579169E-12</v>
      </c>
      <c r="DS189" s="62">
        <f t="shared" si="125"/>
        <v>293.33333333333468</v>
      </c>
      <c r="DT189" s="62">
        <f ca="1">AVERAGE(OFFSET($DS$3,0,0,'Données projet'!$E$14+1,1))-AVERAGE(OFFSET($H$3,0,0,'Données projet'!$E$14+1,1))</f>
        <v>288.82868507674738</v>
      </c>
      <c r="DU189" s="62">
        <f t="shared" si="152"/>
        <v>283.48738729114024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0.46475111718475814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0.46475111718475814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-5.6843418860808015E-14</v>
      </c>
      <c r="EK189" s="18">
        <f>EJ189*VLOOKUP('Données projet'!$B$15,Paramètres!$A$1:$I$89,3,0)*VLOOKUP('Données projet'!$B$15,Paramètres!$A$1:$I$89,5,0)</f>
        <v>-5.1431925385259088E-14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366.86025470473652</v>
      </c>
      <c r="EP189" s="62">
        <f t="shared" si="154"/>
        <v>513.80016421153414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0.48189325758481938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0.48189325758481938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371.7282125501186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3.6169803469283091</v>
      </c>
      <c r="AA190" s="23">
        <f>EXP(-LN(2)/25)*AA189+(1-EXP(-LN(2)/25))/(LN(2)/25)*Calculateur!V190*Calculateur!X190*VLOOKUP('Données projet'!$B$9,Paramètres!$A$1:$I$89,3,0)*0.475*44/12</f>
        <v>0.55942180921394247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4.1764021561422515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9.5769792096689348E-14</v>
      </c>
      <c r="AK190" s="14">
        <f t="shared" si="164"/>
        <v>1.4459910566979609E-12</v>
      </c>
      <c r="AL190" s="22">
        <f t="shared" si="165"/>
        <v>2.6852334783173491E-12</v>
      </c>
      <c r="AM190" s="62">
        <f t="shared" si="113"/>
        <v>293.33333333333599</v>
      </c>
      <c r="AN190" s="62">
        <f ca="1">AVERAGE(OFFSET($AM$3,0,0,'Données projet'!$E$10+1,1))-AVERAGE(OFFSET($H$3,0,0,'Données projet'!$E$10+1,1))</f>
        <v>348.82438445524105</v>
      </c>
      <c r="AO190" s="62">
        <f t="shared" si="144"/>
        <v>218.26721063098552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3.3675334264504939</v>
      </c>
      <c r="AV190" s="23">
        <f>EXP(-LN(2)/25)*AV189+(1-EXP(-LN(2)/25))/(LN(2)/25)*Calculateur!AQ190*Calculateur!AS190*VLOOKUP('Données projet'!$B$10,Paramètres!$A$1:$I$89,3,0)*0.475*44/12</f>
        <v>0.52084099478539536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3.8883744212358895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-3.2514435588382188E-14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309.71642374647882</v>
      </c>
      <c r="BJ190" s="62">
        <f t="shared" si="146"/>
        <v>266.63880397664315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24.08181393971298</v>
      </c>
      <c r="BQ190" s="23">
        <f>EXP(-LN(2)/25)*BQ189+(1-EXP(-LN(2)/25))/(LN(2)/25)*Calculateur!BL190*Calculateur!BN190*VLOOKUP('Données projet'!$B$11,Paramètres!$A$1:$I$89,3,0)*0.475*44/12</f>
        <v>0.75939229053612523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24.841206230249107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1.0995790944434703E-13</v>
      </c>
      <c r="CA190" s="14">
        <f t="shared" si="170"/>
        <v>1.6337280948049956E-12</v>
      </c>
      <c r="CB190" s="22">
        <f t="shared" si="171"/>
        <v>3.036919790734272E-12</v>
      </c>
      <c r="CC190" s="62">
        <f t="shared" si="119"/>
        <v>293.33333333333633</v>
      </c>
      <c r="CD190" s="62">
        <f ca="1">AVERAGE(OFFSET($CC$3,0,0,'Données projet'!$E$12+1,1))-AVERAGE(OFFSET($H$3,0,0,'Données projet'!$E$12+1,1))</f>
        <v>394.59880827600006</v>
      </c>
      <c r="CE190" s="62">
        <f t="shared" si="148"/>
        <v>244.45149244446094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3.8664272674061273</v>
      </c>
      <c r="CL190" s="23">
        <f>EXP(-LN(2)/25)*CL189+(1-EXP(-LN(2)/25))/(LN(2)/25)*Calculateur!CG190*Calculateur!CI190*VLOOKUP('Données projet'!$B$12,Paramètres!$A$1:$I$89,3,0)*0.475*44/12</f>
        <v>0.59800262364248979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4.4644298910486171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4.5224624045658861E-14</v>
      </c>
      <c r="CV190" s="14">
        <f t="shared" si="173"/>
        <v>7.4514601661523691E-13</v>
      </c>
      <c r="CW190" s="22">
        <f t="shared" si="174"/>
        <v>1.3765621991510601E-12</v>
      </c>
      <c r="CX190" s="62">
        <f t="shared" si="122"/>
        <v>293.33333333333468</v>
      </c>
      <c r="CY190" s="62">
        <f ca="1">AVERAGE(OFFSET($CX$3,0,0,'Données projet'!$E$13+1,1))-AVERAGE(OFFSET($H$3,0,0,'Données projet'!$E$13+1,1))</f>
        <v>293.90975929253631</v>
      </c>
      <c r="CZ190" s="62">
        <f t="shared" si="150"/>
        <v>288.30197520356643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0.57283186849326639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0.57283186849326639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4.4337866711430253E-14</v>
      </c>
      <c r="DQ190" s="14">
        <f t="shared" si="176"/>
        <v>7.3222115536967035E-13</v>
      </c>
      <c r="DR190" s="22">
        <f t="shared" si="177"/>
        <v>1.3525069634579169E-12</v>
      </c>
      <c r="DS190" s="62">
        <f t="shared" si="125"/>
        <v>293.33333333333468</v>
      </c>
      <c r="DT190" s="62">
        <f ca="1">AVERAGE(OFFSET($DS$3,0,0,'Données projet'!$E$14+1,1))-AVERAGE(OFFSET($H$3,0,0,'Données projet'!$E$14+1,1))</f>
        <v>288.82868507674738</v>
      </c>
      <c r="DU190" s="62">
        <f t="shared" si="152"/>
        <v>283.48738729114024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0.45563763124695617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0.45563763124695617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-5.6843418860808015E-14</v>
      </c>
      <c r="EK190" s="18">
        <f>EJ190*VLOOKUP('Données projet'!$B$15,Paramètres!$A$1:$I$89,3,0)*VLOOKUP('Données projet'!$B$15,Paramètres!$A$1:$I$89,5,0)</f>
        <v>-5.1431925385259088E-14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366.86025470473652</v>
      </c>
      <c r="EP190" s="62">
        <f t="shared" si="154"/>
        <v>513.80016421153414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0.47244362472944545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0.47244362472944545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371.7282125501186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3.5460535684652181</v>
      </c>
      <c r="AA191" s="23">
        <f>EXP(-LN(2)/25)*AA190+(1-EXP(-LN(2)/25))/(LN(2)/25)*Calculateur!V191*Calculateur!X191*VLOOKUP('Données projet'!$B$9,Paramètres!$A$1:$I$89,3,0)*0.475*44/12</f>
        <v>0.54412439042227279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4.0901779588874909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9.5769792096689348E-14</v>
      </c>
      <c r="AK191" s="14">
        <f t="shared" si="164"/>
        <v>1.4459910566979609E-12</v>
      </c>
      <c r="AL191" s="22">
        <f t="shared" si="165"/>
        <v>2.6852334783173491E-12</v>
      </c>
      <c r="AM191" s="62">
        <f t="shared" si="113"/>
        <v>293.33333333333599</v>
      </c>
      <c r="AN191" s="62">
        <f ca="1">AVERAGE(OFFSET($AM$3,0,0,'Données projet'!$E$10+1,1))-AVERAGE(OFFSET($H$3,0,0,'Données projet'!$E$10+1,1))</f>
        <v>348.82438445524105</v>
      </c>
      <c r="AO191" s="62">
        <f t="shared" si="144"/>
        <v>218.26721063098552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3.3014981499503748</v>
      </c>
      <c r="AV191" s="23">
        <f>EXP(-LN(2)/25)*AV190+(1-EXP(-LN(2)/25))/(LN(2)/25)*Calculateur!AQ191*Calculateur!AS191*VLOOKUP('Données projet'!$B$10,Paramètres!$A$1:$I$89,3,0)*0.475*44/12</f>
        <v>0.50659857039315126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3.8080967203435261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-3.2514435588382188E-14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309.71642374647882</v>
      </c>
      <c r="BJ191" s="62">
        <f t="shared" si="146"/>
        <v>266.63880397664315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23.609584256811345</v>
      </c>
      <c r="BQ191" s="23">
        <f>EXP(-LN(2)/25)*BQ190+(1-EXP(-LN(2)/25))/(LN(2)/25)*Calculateur!BL191*Calculateur!BN191*VLOOKUP('Données projet'!$B$11,Paramètres!$A$1:$I$89,3,0)*0.475*44/12</f>
        <v>0.73862666841670999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24.348210925228056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1.0995790944434703E-13</v>
      </c>
      <c r="CA191" s="14">
        <f t="shared" si="170"/>
        <v>1.6337280948049956E-12</v>
      </c>
      <c r="CB191" s="22">
        <f t="shared" si="171"/>
        <v>3.036919790734272E-12</v>
      </c>
      <c r="CC191" s="62">
        <f t="shared" si="119"/>
        <v>293.33333333333633</v>
      </c>
      <c r="CD191" s="62">
        <f ca="1">AVERAGE(OFFSET($CC$3,0,0,'Données projet'!$E$12+1,1))-AVERAGE(OFFSET($H$3,0,0,'Données projet'!$E$12+1,1))</f>
        <v>394.59880827600006</v>
      </c>
      <c r="CE191" s="62">
        <f t="shared" si="148"/>
        <v>244.45149244446094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3.7906089869800645</v>
      </c>
      <c r="CL191" s="23">
        <f>EXP(-LN(2)/25)*CL190+(1-EXP(-LN(2)/25))/(LN(2)/25)*Calculateur!CG191*Calculateur!CI191*VLOOKUP('Données projet'!$B$12,Paramètres!$A$1:$I$89,3,0)*0.475*44/12</f>
        <v>0.58165021045139464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4.3722591974314593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4.5224624045658861E-14</v>
      </c>
      <c r="CV191" s="14">
        <f t="shared" si="173"/>
        <v>7.4514601661523691E-13</v>
      </c>
      <c r="CW191" s="22">
        <f t="shared" si="174"/>
        <v>1.3765621991510601E-12</v>
      </c>
      <c r="CX191" s="62">
        <f t="shared" si="122"/>
        <v>293.33333333333468</v>
      </c>
      <c r="CY191" s="62">
        <f ca="1">AVERAGE(OFFSET($CX$3,0,0,'Données projet'!$E$13+1,1))-AVERAGE(OFFSET($H$3,0,0,'Données projet'!$E$13+1,1))</f>
        <v>293.90975929253631</v>
      </c>
      <c r="CZ191" s="62">
        <f t="shared" si="150"/>
        <v>288.30197520356643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0.56159898494505356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0.56159898494505356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4.4337866711430253E-14</v>
      </c>
      <c r="DQ191" s="14">
        <f t="shared" si="176"/>
        <v>7.3222115536967035E-13</v>
      </c>
      <c r="DR191" s="22">
        <f t="shared" si="177"/>
        <v>1.3525069634579169E-12</v>
      </c>
      <c r="DS191" s="62">
        <f t="shared" si="125"/>
        <v>293.33333333333468</v>
      </c>
      <c r="DT191" s="62">
        <f ca="1">AVERAGE(OFFSET($DS$3,0,0,'Données projet'!$E$14+1,1))-AVERAGE(OFFSET($H$3,0,0,'Données projet'!$E$14+1,1))</f>
        <v>288.82868507674738</v>
      </c>
      <c r="DU191" s="62">
        <f t="shared" si="152"/>
        <v>283.48738729114024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0.44670285520971692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0.44670285520971692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-5.6843418860808015E-14</v>
      </c>
      <c r="EK191" s="18">
        <f>EJ191*VLOOKUP('Données projet'!$B$15,Paramètres!$A$1:$I$89,3,0)*VLOOKUP('Données projet'!$B$15,Paramètres!$A$1:$I$89,5,0)</f>
        <v>-5.1431925385259088E-14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366.86025470473652</v>
      </c>
      <c r="EP191" s="62">
        <f t="shared" si="154"/>
        <v>513.80016421153414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0.46317929341065844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0.46317929341065844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371.7282125501186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3.4765176208667254</v>
      </c>
      <c r="AA192" s="23">
        <f>EXP(-LN(2)/25)*AA191+(1-EXP(-LN(2)/25))/(LN(2)/25)*Calculateur!V192*Calculateur!X192*VLOOKUP('Données projet'!$B$9,Paramètres!$A$1:$I$89,3,0)*0.475*44/12</f>
        <v>0.52924528035191765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4.0057629012186435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9.5769792096689348E-14</v>
      </c>
      <c r="AK192" s="14">
        <f t="shared" si="164"/>
        <v>1.4459910566979609E-12</v>
      </c>
      <c r="AL192" s="22">
        <f t="shared" si="165"/>
        <v>2.6852334783173491E-12</v>
      </c>
      <c r="AM192" s="62">
        <f t="shared" si="113"/>
        <v>293.33333333333599</v>
      </c>
      <c r="AN192" s="62">
        <f ca="1">AVERAGE(OFFSET($AM$3,0,0,'Données projet'!$E$10+1,1))-AVERAGE(OFFSET($H$3,0,0,'Données projet'!$E$10+1,1))</f>
        <v>348.82438445524105</v>
      </c>
      <c r="AO192" s="62">
        <f t="shared" si="144"/>
        <v>218.26721063098552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3.2367577849448814</v>
      </c>
      <c r="AV192" s="23">
        <f>EXP(-LN(2)/25)*AV191+(1-EXP(-LN(2)/25))/(LN(2)/25)*Calculateur!AQ192*Calculateur!AS192*VLOOKUP('Données projet'!$B$10,Paramètres!$A$1:$I$89,3,0)*0.475*44/12</f>
        <v>0.49274560584488958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3.729503390789771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-3.2514435588382188E-14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309.71642374647882</v>
      </c>
      <c r="BJ192" s="62">
        <f t="shared" si="146"/>
        <v>266.63880397664315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23.146614709959749</v>
      </c>
      <c r="BQ192" s="23">
        <f>EXP(-LN(2)/25)*BQ191+(1-EXP(-LN(2)/25))/(LN(2)/25)*Calculateur!BL192*Calculateur!BN192*VLOOKUP('Données projet'!$B$11,Paramètres!$A$1:$I$89,3,0)*0.475*44/12</f>
        <v>0.71842888332616672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23.865043593285915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1.0995790944434703E-13</v>
      </c>
      <c r="CA192" s="14">
        <f t="shared" si="170"/>
        <v>1.6337280948049956E-12</v>
      </c>
      <c r="CB192" s="22">
        <f t="shared" si="171"/>
        <v>3.036919790734272E-12</v>
      </c>
      <c r="CC192" s="62">
        <f t="shared" si="119"/>
        <v>293.33333333333633</v>
      </c>
      <c r="CD192" s="62">
        <f ca="1">AVERAGE(OFFSET($CC$3,0,0,'Données projet'!$E$12+1,1))-AVERAGE(OFFSET($H$3,0,0,'Données projet'!$E$12+1,1))</f>
        <v>394.59880827600006</v>
      </c>
      <c r="CE192" s="62">
        <f t="shared" si="148"/>
        <v>244.45149244446094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3.7162774567885721</v>
      </c>
      <c r="CL192" s="23">
        <f>EXP(-LN(2)/25)*CL191+(1-EXP(-LN(2)/25))/(LN(2)/25)*Calculateur!CG192*Calculateur!CI192*VLOOKUP('Données projet'!$B$12,Paramètres!$A$1:$I$89,3,0)*0.475*44/12</f>
        <v>0.56574495485894605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4.2820224116475183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4.5224624045658861E-14</v>
      </c>
      <c r="CV192" s="14">
        <f t="shared" si="173"/>
        <v>7.4514601661523691E-13</v>
      </c>
      <c r="CW192" s="22">
        <f t="shared" si="174"/>
        <v>1.3765621991510601E-12</v>
      </c>
      <c r="CX192" s="62">
        <f t="shared" si="122"/>
        <v>293.33333333333468</v>
      </c>
      <c r="CY192" s="62">
        <f ca="1">AVERAGE(OFFSET($CX$3,0,0,'Données projet'!$E$13+1,1))-AVERAGE(OFFSET($H$3,0,0,'Données projet'!$E$13+1,1))</f>
        <v>293.90975929253631</v>
      </c>
      <c r="CZ192" s="62">
        <f t="shared" si="150"/>
        <v>288.30197520356643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0.55058637139183875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0.55058637139183875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4.4337866711430253E-14</v>
      </c>
      <c r="DQ192" s="14">
        <f t="shared" si="176"/>
        <v>7.3222115536967035E-13</v>
      </c>
      <c r="DR192" s="22">
        <f t="shared" si="177"/>
        <v>1.3525069634579169E-12</v>
      </c>
      <c r="DS192" s="62">
        <f t="shared" si="125"/>
        <v>293.33333333333468</v>
      </c>
      <c r="DT192" s="62">
        <f ca="1">AVERAGE(OFFSET($DS$3,0,0,'Données projet'!$E$14+1,1))-AVERAGE(OFFSET($H$3,0,0,'Données projet'!$E$14+1,1))</f>
        <v>288.82868507674738</v>
      </c>
      <c r="DU192" s="62">
        <f t="shared" si="152"/>
        <v>283.48738729114024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0.43794328468089266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0.43794328468089266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-5.6843418860808015E-14</v>
      </c>
      <c r="EK192" s="18">
        <f>EJ192*VLOOKUP('Données projet'!$B$15,Paramètres!$A$1:$I$89,3,0)*VLOOKUP('Données projet'!$B$15,Paramètres!$A$1:$I$89,5,0)</f>
        <v>-5.1431925385259088E-14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366.86025470473652</v>
      </c>
      <c r="EP192" s="62">
        <f t="shared" si="154"/>
        <v>513.80016421153414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0.45409662997834871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0.45409662997834871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371.7282125501186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3.4083452307878992</v>
      </c>
      <c r="AA193" s="23">
        <f>EXP(-LN(2)/25)*AA192+(1-EXP(-LN(2)/25))/(LN(2)/25)*Calculateur!V193*Calculateur!X193*VLOOKUP('Données projet'!$B$9,Paramètres!$A$1:$I$89,3,0)*0.475*44/12</f>
        <v>0.51477304032889482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3.923118271116794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9.5769792096689348E-14</v>
      </c>
      <c r="AK193" s="14">
        <f t="shared" si="164"/>
        <v>1.4459910566979609E-12</v>
      </c>
      <c r="AL193" s="22">
        <f t="shared" si="165"/>
        <v>2.6852334783173491E-12</v>
      </c>
      <c r="AM193" s="62">
        <f t="shared" si="113"/>
        <v>293.33333333333599</v>
      </c>
      <c r="AN193" s="62">
        <f ca="1">AVERAGE(OFFSET($AM$3,0,0,'Données projet'!$E$10+1,1))-AVERAGE(OFFSET($H$3,0,0,'Données projet'!$E$10+1,1))</f>
        <v>348.82438445524105</v>
      </c>
      <c r="AO193" s="62">
        <f t="shared" si="144"/>
        <v>218.26721063098552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3.1732869390094223</v>
      </c>
      <c r="AV193" s="23">
        <f>EXP(-LN(2)/25)*AV192+(1-EXP(-LN(2)/25))/(LN(2)/25)*Calculateur!AQ193*Calculateur!AS193*VLOOKUP('Données projet'!$B$10,Paramètres!$A$1:$I$89,3,0)*0.475*44/12</f>
        <v>0.47927145134069582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3.652558390350118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-3.2514435588382188E-14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309.71642374647882</v>
      </c>
      <c r="BJ193" s="62">
        <f t="shared" si="146"/>
        <v>266.63880397664315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22.692723713538371</v>
      </c>
      <c r="BQ193" s="23">
        <f>EXP(-LN(2)/25)*BQ192+(1-EXP(-LN(2)/25))/(LN(2)/25)*Calculateur!BL193*Calculateur!BN193*VLOOKUP('Données projet'!$B$11,Paramètres!$A$1:$I$89,3,0)*0.475*44/12</f>
        <v>0.69878340773107972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23.391507121269449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1.0995790944434703E-13</v>
      </c>
      <c r="CA193" s="14">
        <f t="shared" si="170"/>
        <v>1.6337280948049956E-12</v>
      </c>
      <c r="CB193" s="22">
        <f t="shared" si="171"/>
        <v>3.036919790734272E-12</v>
      </c>
      <c r="CC193" s="62">
        <f t="shared" si="119"/>
        <v>293.33333333333633</v>
      </c>
      <c r="CD193" s="62">
        <f ca="1">AVERAGE(OFFSET($CC$3,0,0,'Données projet'!$E$12+1,1))-AVERAGE(OFFSET($H$3,0,0,'Données projet'!$E$12+1,1))</f>
        <v>394.59880827600006</v>
      </c>
      <c r="CE193" s="62">
        <f t="shared" si="148"/>
        <v>244.45149244446094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3.6434035225663783</v>
      </c>
      <c r="CL193" s="23">
        <f>EXP(-LN(2)/25)*CL192+(1-EXP(-LN(2)/25))/(LN(2)/25)*Calculateur!CG193*Calculateur!CI193*VLOOKUP('Données projet'!$B$12,Paramètres!$A$1:$I$89,3,0)*0.475*44/12</f>
        <v>0.55027462931709403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4.1936781518834723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4.5224624045658861E-14</v>
      </c>
      <c r="CV193" s="14">
        <f t="shared" si="173"/>
        <v>7.4514601661523691E-13</v>
      </c>
      <c r="CW193" s="22">
        <f t="shared" si="174"/>
        <v>1.3765621991510601E-12</v>
      </c>
      <c r="CX193" s="62">
        <f t="shared" si="122"/>
        <v>293.33333333333468</v>
      </c>
      <c r="CY193" s="62">
        <f ca="1">AVERAGE(OFFSET($CX$3,0,0,'Données projet'!$E$13+1,1))-AVERAGE(OFFSET($H$3,0,0,'Données projet'!$E$13+1,1))</f>
        <v>293.90975929253631</v>
      </c>
      <c r="CZ193" s="62">
        <f t="shared" si="150"/>
        <v>288.30197520356643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0.53978970847337138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0.53978970847337138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4.4337866711430253E-14</v>
      </c>
      <c r="DQ193" s="14">
        <f t="shared" si="176"/>
        <v>7.3222115536967035E-13</v>
      </c>
      <c r="DR193" s="22">
        <f t="shared" si="177"/>
        <v>1.3525069634579169E-12</v>
      </c>
      <c r="DS193" s="62">
        <f t="shared" si="125"/>
        <v>293.33333333333468</v>
      </c>
      <c r="DT193" s="62">
        <f ca="1">AVERAGE(OFFSET($DS$3,0,0,'Données projet'!$E$14+1,1))-AVERAGE(OFFSET($H$3,0,0,'Données projet'!$E$14+1,1))</f>
        <v>288.82868507674738</v>
      </c>
      <c r="DU193" s="62">
        <f t="shared" si="152"/>
        <v>283.48738729114024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0.4293554839873282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0.4293554839873282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-5.6843418860808015E-14</v>
      </c>
      <c r="EK193" s="18">
        <f>EJ193*VLOOKUP('Données projet'!$B$15,Paramètres!$A$1:$I$89,3,0)*VLOOKUP('Données projet'!$B$15,Paramètres!$A$1:$I$89,5,0)</f>
        <v>-5.1431925385259088E-14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366.86025470473652</v>
      </c>
      <c r="EP193" s="62">
        <f t="shared" si="154"/>
        <v>513.80016421153414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0.44519207203606892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0.44519207203606892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371.7282125501186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3.3415096596974663</v>
      </c>
      <c r="AA194" s="23">
        <f>EXP(-LN(2)/25)*AA193+(1-EXP(-LN(2)/25))/(LN(2)/25)*Calculateur!V194*Calculateur!X194*VLOOKUP('Données projet'!$B$9,Paramètres!$A$1:$I$89,3,0)*0.475*44/12</f>
        <v>0.50069654447036349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3.8422062041678298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9.5769792096689348E-14</v>
      </c>
      <c r="AK194" s="14">
        <f t="shared" si="164"/>
        <v>1.4459910566979609E-12</v>
      </c>
      <c r="AL194" s="22">
        <f t="shared" si="165"/>
        <v>2.6852334783173491E-12</v>
      </c>
      <c r="AM194" s="62">
        <f t="shared" si="113"/>
        <v>293.33333333333599</v>
      </c>
      <c r="AN194" s="62">
        <f ca="1">AVERAGE(OFFSET($AM$3,0,0,'Données projet'!$E$10+1,1))-AVERAGE(OFFSET($H$3,0,0,'Données projet'!$E$10+1,1))</f>
        <v>348.82438445524105</v>
      </c>
      <c r="AO194" s="62">
        <f t="shared" si="144"/>
        <v>218.26721063098552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3.1110607176493641</v>
      </c>
      <c r="AV194" s="23">
        <f>EXP(-LN(2)/25)*AV193+(1-EXP(-LN(2)/25))/(LN(2)/25)*Calculateur!AQ194*Calculateur!AS194*VLOOKUP('Données projet'!$B$10,Paramètres!$A$1:$I$89,3,0)*0.475*44/12</f>
        <v>0.46616574829999424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3.5772264659493582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-3.2514435588382188E-14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309.71642374647882</v>
      </c>
      <c r="BJ194" s="62">
        <f t="shared" si="146"/>
        <v>266.63880397664315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22.247733242710645</v>
      </c>
      <c r="BQ194" s="23">
        <f>EXP(-LN(2)/25)*BQ193+(1-EXP(-LN(2)/25))/(LN(2)/25)*Calculateur!BL194*Calculateur!BN194*VLOOKUP('Données projet'!$B$11,Paramètres!$A$1:$I$89,3,0)*0.475*44/12</f>
        <v>0.679675138699251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22.927408381409897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1.0995790944434703E-13</v>
      </c>
      <c r="CA194" s="14">
        <f t="shared" si="170"/>
        <v>1.6337280948049956E-12</v>
      </c>
      <c r="CB194" s="22">
        <f t="shared" si="171"/>
        <v>3.036919790734272E-12</v>
      </c>
      <c r="CC194" s="62">
        <f t="shared" si="119"/>
        <v>293.33333333333633</v>
      </c>
      <c r="CD194" s="62">
        <f ca="1">AVERAGE(OFFSET($CC$3,0,0,'Données projet'!$E$12+1,1))-AVERAGE(OFFSET($H$3,0,0,'Données projet'!$E$12+1,1))</f>
        <v>394.59880827600006</v>
      </c>
      <c r="CE194" s="62">
        <f t="shared" si="148"/>
        <v>244.45149244446094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3.5719586017455707</v>
      </c>
      <c r="CL194" s="23">
        <f>EXP(-LN(2)/25)*CL193+(1-EXP(-LN(2)/25))/(LN(2)/25)*Calculateur!CG194*Calculateur!CI194*VLOOKUP('Données projet'!$B$12,Paramètres!$A$1:$I$89,3,0)*0.475*44/12</f>
        <v>0.53522734064073296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4.1071859423863035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4.5224624045658861E-14</v>
      </c>
      <c r="CV194" s="14">
        <f t="shared" si="173"/>
        <v>7.4514601661523691E-13</v>
      </c>
      <c r="CW194" s="22">
        <f t="shared" si="174"/>
        <v>1.3765621991510601E-12</v>
      </c>
      <c r="CX194" s="62">
        <f t="shared" si="122"/>
        <v>293.33333333333468</v>
      </c>
      <c r="CY194" s="62">
        <f ca="1">AVERAGE(OFFSET($CX$3,0,0,'Données projet'!$E$13+1,1))-AVERAGE(OFFSET($H$3,0,0,'Données projet'!$E$13+1,1))</f>
        <v>293.90975929253631</v>
      </c>
      <c r="CZ194" s="62">
        <f t="shared" si="150"/>
        <v>288.30197520356643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0.52920476152942109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0.52920476152942109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4.4337866711430253E-14</v>
      </c>
      <c r="DQ194" s="14">
        <f t="shared" si="176"/>
        <v>7.3222115536967035E-13</v>
      </c>
      <c r="DR194" s="22">
        <f t="shared" si="177"/>
        <v>1.3525069634579169E-12</v>
      </c>
      <c r="DS194" s="62">
        <f t="shared" si="125"/>
        <v>293.33333333333468</v>
      </c>
      <c r="DT194" s="62">
        <f ca="1">AVERAGE(OFFSET($DS$3,0,0,'Données projet'!$E$14+1,1))-AVERAGE(OFFSET($H$3,0,0,'Données projet'!$E$14+1,1))</f>
        <v>288.82868507674738</v>
      </c>
      <c r="DU194" s="62">
        <f t="shared" si="152"/>
        <v>283.48738729114024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0.42093608482732331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0.42093608482732331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-5.6843418860808015E-14</v>
      </c>
      <c r="EK194" s="18">
        <f>EJ194*VLOOKUP('Données projet'!$B$15,Paramètres!$A$1:$I$89,3,0)*VLOOKUP('Données projet'!$B$15,Paramètres!$A$1:$I$89,5,0)</f>
        <v>-5.1431925385259088E-14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366.86025470473652</v>
      </c>
      <c r="EP194" s="62">
        <f t="shared" si="154"/>
        <v>513.80016421153414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0.43646212704379317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0.43646212704379317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371.7282125501186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3.275984693390444</v>
      </c>
      <c r="AA195" s="23">
        <f>EXP(-LN(2)/25)*AA194+(1-EXP(-LN(2)/25))/(LN(2)/25)*Calculateur!V195*Calculateur!X195*VLOOKUP('Données projet'!$B$9,Paramètres!$A$1:$I$89,3,0)*0.475*44/12</f>
        <v>0.48700497113133451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3.7629896645217786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9.5769792096689348E-14</v>
      </c>
      <c r="AK195" s="14">
        <f t="shared" si="164"/>
        <v>1.4459910566979609E-12</v>
      </c>
      <c r="AL195" s="22">
        <f t="shared" si="165"/>
        <v>2.6852334783173491E-12</v>
      </c>
      <c r="AM195" s="62">
        <f t="shared" si="113"/>
        <v>293.33333333333599</v>
      </c>
      <c r="AN195" s="62">
        <f ca="1">AVERAGE(OFFSET($AM$3,0,0,'Données projet'!$E$10+1,1))-AVERAGE(OFFSET($H$3,0,0,'Données projet'!$E$10+1,1))</f>
        <v>348.82438445524105</v>
      </c>
      <c r="AO195" s="62">
        <f t="shared" si="144"/>
        <v>218.26721063098552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3.0500547145359294</v>
      </c>
      <c r="AV195" s="23">
        <f>EXP(-LN(2)/25)*AV194+(1-EXP(-LN(2)/25))/(LN(2)/25)*Calculateur!AQ195*Calculateur!AS195*VLOOKUP('Données projet'!$B$10,Paramètres!$A$1:$I$89,3,0)*0.475*44/12</f>
        <v>0.45341842139813965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3.5034731359340689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-3.2514435588382188E-14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309.71642374647882</v>
      </c>
      <c r="BJ195" s="62">
        <f t="shared" si="146"/>
        <v>266.63880397664315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21.811468763598462</v>
      </c>
      <c r="BQ195" s="23">
        <f>EXP(-LN(2)/25)*BQ194+(1-EXP(-LN(2)/25))/(LN(2)/25)*Calculateur!BL195*Calculateur!BN195*VLOOKUP('Données projet'!$B$11,Paramètres!$A$1:$I$89,3,0)*0.475*44/12</f>
        <v>0.66108938628895786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22.472558149887419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1.0995790944434703E-13</v>
      </c>
      <c r="CA195" s="14">
        <f t="shared" si="170"/>
        <v>1.6337280948049956E-12</v>
      </c>
      <c r="CB195" s="22">
        <f t="shared" si="171"/>
        <v>3.036919790734272E-12</v>
      </c>
      <c r="CC195" s="62">
        <f t="shared" si="119"/>
        <v>293.33333333333633</v>
      </c>
      <c r="CD195" s="62">
        <f ca="1">AVERAGE(OFFSET($CC$3,0,0,'Données projet'!$E$12+1,1))-AVERAGE(OFFSET($H$3,0,0,'Données projet'!$E$12+1,1))</f>
        <v>394.59880827600006</v>
      </c>
      <c r="CE195" s="62">
        <f t="shared" si="148"/>
        <v>244.45149244446094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3.5019146722449603</v>
      </c>
      <c r="CL195" s="23">
        <f>EXP(-LN(2)/25)*CL194+(1-EXP(-LN(2)/25))/(LN(2)/25)*Calculateur!CG195*Calculateur!CI195*VLOOKUP('Données projet'!$B$12,Paramètres!$A$1:$I$89,3,0)*0.475*44/12</f>
        <v>0.52059152086452953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4.0225061931094901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4.5224624045658861E-14</v>
      </c>
      <c r="CV195" s="14">
        <f t="shared" si="173"/>
        <v>7.4514601661523691E-13</v>
      </c>
      <c r="CW195" s="22">
        <f t="shared" si="174"/>
        <v>1.3765621991510601E-12</v>
      </c>
      <c r="CX195" s="62">
        <f t="shared" si="122"/>
        <v>293.33333333333468</v>
      </c>
      <c r="CY195" s="62">
        <f ca="1">AVERAGE(OFFSET($CX$3,0,0,'Données projet'!$E$13+1,1))-AVERAGE(OFFSET($H$3,0,0,'Données projet'!$E$13+1,1))</f>
        <v>293.90975929253631</v>
      </c>
      <c r="CZ195" s="62">
        <f t="shared" si="150"/>
        <v>288.30197520356643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0.51882737893886155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0.51882737893886155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4.4337866711430253E-14</v>
      </c>
      <c r="DQ195" s="14">
        <f t="shared" si="176"/>
        <v>7.3222115536967035E-13</v>
      </c>
      <c r="DR195" s="22">
        <f t="shared" si="177"/>
        <v>1.3525069634579169E-12</v>
      </c>
      <c r="DS195" s="62">
        <f t="shared" si="125"/>
        <v>293.33333333333468</v>
      </c>
      <c r="DT195" s="62">
        <f ca="1">AVERAGE(OFFSET($DS$3,0,0,'Données projet'!$E$14+1,1))-AVERAGE(OFFSET($H$3,0,0,'Données projet'!$E$14+1,1))</f>
        <v>288.82868507674738</v>
      </c>
      <c r="DU195" s="62">
        <f t="shared" si="152"/>
        <v>283.48738729114024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0.41268178494951974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0.41268178494951974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-5.6843418860808015E-14</v>
      </c>
      <c r="EK195" s="18">
        <f>EJ195*VLOOKUP('Données projet'!$B$15,Paramètres!$A$1:$I$89,3,0)*VLOOKUP('Données projet'!$B$15,Paramètres!$A$1:$I$89,5,0)</f>
        <v>-5.1431925385259088E-14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366.86025470473652</v>
      </c>
      <c r="EP195" s="62">
        <f t="shared" si="154"/>
        <v>513.80016421153414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0.42790337094807529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0.42790337094807529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371.7282125501186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3.2117446317064191</v>
      </c>
      <c r="AA196" s="23">
        <f>EXP(-LN(2)/25)*AA195+(1-EXP(-LN(2)/25))/(LN(2)/25)*Calculateur!V196*Calculateur!X196*VLOOKUP('Données projet'!$B$9,Paramètres!$A$1:$I$89,3,0)*0.475*44/12</f>
        <v>0.47368779458526977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3.6854324262916887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9.5769792096689348E-14</v>
      </c>
      <c r="AK196" s="14">
        <f t="shared" si="164"/>
        <v>1.4459910566979609E-12</v>
      </c>
      <c r="AL196" s="22">
        <f t="shared" si="165"/>
        <v>2.6852334783173491E-12</v>
      </c>
      <c r="AM196" s="62">
        <f t="shared" ref="AM196:AM203" si="193">AL196+(AD196+AE196)*44/12</f>
        <v>293.33333333333599</v>
      </c>
      <c r="AN196" s="62">
        <f ca="1">AVERAGE(OFFSET($AM$3,0,0,'Données projet'!$E$10+1,1))-AVERAGE(OFFSET($H$3,0,0,'Données projet'!$E$10+1,1))</f>
        <v>348.82438445524105</v>
      </c>
      <c r="AO196" s="62">
        <f t="shared" si="144"/>
        <v>218.26721063098552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2.9902450019335616</v>
      </c>
      <c r="AV196" s="23">
        <f>EXP(-LN(2)/25)*AV195+(1-EXP(-LN(2)/25))/(LN(2)/25)*Calculateur!AQ196*Calculateur!AS196*VLOOKUP('Données projet'!$B$10,Paramètres!$A$1:$I$89,3,0)*0.475*44/12</f>
        <v>0.44101967082076904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3.4312646727543306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-3.2514435588382188E-14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309.71642374647882</v>
      </c>
      <c r="BJ196" s="62">
        <f t="shared" si="146"/>
        <v>266.63880397664315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21.383759164826614</v>
      </c>
      <c r="BQ196" s="23">
        <f>EXP(-LN(2)/25)*BQ195+(1-EXP(-LN(2)/25))/(LN(2)/25)*Calculateur!BL196*Calculateur!BN196*VLOOKUP('Données projet'!$B$11,Paramètres!$A$1:$I$89,3,0)*0.475*44/12</f>
        <v>0.64301186225570639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22.026771027082319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1.0995790944434703E-13</v>
      </c>
      <c r="CA196" s="14">
        <f t="shared" si="170"/>
        <v>1.6337280948049956E-12</v>
      </c>
      <c r="CB196" s="22">
        <f t="shared" si="171"/>
        <v>3.036919790734272E-12</v>
      </c>
      <c r="CC196" s="62">
        <f t="shared" ref="CC196:CC203" si="195">CB196+(BT196+BU196)*44/12</f>
        <v>293.33333333333633</v>
      </c>
      <c r="CD196" s="62">
        <f ca="1">AVERAGE(OFFSET($CC$3,0,0,'Données projet'!$E$12+1,1))-AVERAGE(OFFSET($H$3,0,0,'Données projet'!$E$12+1,1))</f>
        <v>394.59880827600006</v>
      </c>
      <c r="CE196" s="62">
        <f t="shared" si="148"/>
        <v>244.45149244446094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3.4332442614792784</v>
      </c>
      <c r="CL196" s="23">
        <f>EXP(-LN(2)/25)*CL195+(1-EXP(-LN(2)/25))/(LN(2)/25)*Calculateur!CG196*Calculateur!CI196*VLOOKUP('Données projet'!$B$12,Paramètres!$A$1:$I$89,3,0)*0.475*44/12</f>
        <v>0.50635591834977067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3.939600179829049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4.5224624045658861E-14</v>
      </c>
      <c r="CV196" s="14">
        <f t="shared" si="173"/>
        <v>7.4514601661523691E-13</v>
      </c>
      <c r="CW196" s="22">
        <f t="shared" si="174"/>
        <v>1.3765621991510601E-12</v>
      </c>
      <c r="CX196" s="62">
        <f t="shared" ref="CX196:CX203" si="196">CW196+(CO196+CP196)*44/12</f>
        <v>293.33333333333468</v>
      </c>
      <c r="CY196" s="62">
        <f ca="1">AVERAGE(OFFSET($CX$3,0,0,'Données projet'!$E$13+1,1))-AVERAGE(OFFSET($H$3,0,0,'Données projet'!$E$13+1,1))</f>
        <v>293.90975929253631</v>
      </c>
      <c r="CZ196" s="62">
        <f t="shared" si="150"/>
        <v>288.30197520356643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0.50865349049132447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0.50865349049132447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4.4337866711430253E-14</v>
      </c>
      <c r="DQ196" s="14">
        <f t="shared" si="176"/>
        <v>7.3222115536967035E-13</v>
      </c>
      <c r="DR196" s="22">
        <f t="shared" si="177"/>
        <v>1.3525069634579169E-12</v>
      </c>
      <c r="DS196" s="62">
        <f t="shared" ref="DS196:DS203" si="197">DR196+(DJ196+DK196)*44/12</f>
        <v>293.33333333333468</v>
      </c>
      <c r="DT196" s="62">
        <f ca="1">AVERAGE(OFFSET($DS$3,0,0,'Données projet'!$E$14+1,1))-AVERAGE(OFFSET($H$3,0,0,'Données projet'!$E$14+1,1))</f>
        <v>288.82868507674738</v>
      </c>
      <c r="DU196" s="62">
        <f t="shared" si="152"/>
        <v>283.48738729114024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0.4045893468576941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0.4045893468576941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-5.6843418860808015E-14</v>
      </c>
      <c r="EK196" s="18">
        <f>EJ196*VLOOKUP('Données projet'!$B$15,Paramètres!$A$1:$I$89,3,0)*VLOOKUP('Données projet'!$B$15,Paramètres!$A$1:$I$89,5,0)</f>
        <v>-5.1431925385259088E-14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366.86025470473652</v>
      </c>
      <c r="EP196" s="62">
        <f t="shared" si="154"/>
        <v>513.80016421153414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0.41951244683906869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0.41951244683906869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371.7282125501186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3.1487642784494492</v>
      </c>
      <c r="AA197" s="23">
        <f>EXP(-LN(2)/25)*AA196+(1-EXP(-LN(2)/25))/(LN(2)/25)*Calculateur!V197*Calculateur!X197*VLOOKUP('Données projet'!$B$9,Paramètres!$A$1:$I$89,3,0)*0.475*44/12</f>
        <v>0.46073477693217707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3.6094990553816264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9.5769792096689348E-14</v>
      </c>
      <c r="AK197" s="14">
        <f t="shared" si="164"/>
        <v>1.4459910566979609E-12</v>
      </c>
      <c r="AL197" s="22">
        <f t="shared" si="165"/>
        <v>2.6852334783173491E-12</v>
      </c>
      <c r="AM197" s="62">
        <f t="shared" si="193"/>
        <v>293.33333333333599</v>
      </c>
      <c r="AN197" s="62">
        <f ca="1">AVERAGE(OFFSET($AM$3,0,0,'Données projet'!$E$10+1,1))-AVERAGE(OFFSET($H$3,0,0,'Données projet'!$E$10+1,1))</f>
        <v>348.82438445524105</v>
      </c>
      <c r="AO197" s="62">
        <f t="shared" ref="AO197:AO203" si="205">$AO$3</f>
        <v>218.26721063098552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2.9316081213150036</v>
      </c>
      <c r="AV197" s="23">
        <f>EXP(-LN(2)/25)*AV196+(1-EXP(-LN(2)/25))/(LN(2)/25)*Calculateur!AQ197*Calculateur!AS197*VLOOKUP('Données projet'!$B$10,Paramètres!$A$1:$I$89,3,0)*0.475*44/12</f>
        <v>0.42895996472995856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3.360568086044962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-3.2514435588382188E-14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309.71642374647882</v>
      </c>
      <c r="BJ197" s="62">
        <f t="shared" ref="BJ197:BJ203" si="206">$BJ$3</f>
        <v>266.63880397664315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20.964436690409585</v>
      </c>
      <c r="BQ197" s="23">
        <f>EXP(-LN(2)/25)*BQ196+(1-EXP(-LN(2)/25))/(LN(2)/25)*Calculateur!BL197*Calculateur!BN197*VLOOKUP('Données projet'!$B$11,Paramètres!$A$1:$I$89,3,0)*0.475*44/12</f>
        <v>0.62542866906779992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21.589865359477386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1.0995790944434703E-13</v>
      </c>
      <c r="CA197" s="14">
        <f t="shared" si="170"/>
        <v>1.6337280948049956E-12</v>
      </c>
      <c r="CB197" s="22">
        <f t="shared" si="171"/>
        <v>3.036919790734272E-12</v>
      </c>
      <c r="CC197" s="62">
        <f t="shared" si="195"/>
        <v>293.33333333333633</v>
      </c>
      <c r="CD197" s="62">
        <f ca="1">AVERAGE(OFFSET($CC$3,0,0,'Données projet'!$E$12+1,1))-AVERAGE(OFFSET($H$3,0,0,'Données projet'!$E$12+1,1))</f>
        <v>394.59880827600006</v>
      </c>
      <c r="CE197" s="62">
        <f t="shared" ref="CE197:CE203" si="207">$CE$3</f>
        <v>244.45149244446094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3.365920435583897</v>
      </c>
      <c r="CL197" s="23">
        <f>EXP(-LN(2)/25)*CL196+(1-EXP(-LN(2)/25))/(LN(2)/25)*Calculateur!CG197*Calculateur!CI197*VLOOKUP('Données projet'!$B$12,Paramètres!$A$1:$I$89,3,0)*0.475*44/12</f>
        <v>0.49250958913439574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3.8584300247182926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4.5224624045658861E-14</v>
      </c>
      <c r="CV197" s="14">
        <f t="shared" si="173"/>
        <v>7.4514601661523691E-13</v>
      </c>
      <c r="CW197" s="22">
        <f t="shared" si="174"/>
        <v>1.3765621991510601E-12</v>
      </c>
      <c r="CX197" s="62">
        <f t="shared" si="196"/>
        <v>293.33333333333468</v>
      </c>
      <c r="CY197" s="62">
        <f ca="1">AVERAGE(OFFSET($CX$3,0,0,'Données projet'!$E$13+1,1))-AVERAGE(OFFSET($H$3,0,0,'Données projet'!$E$13+1,1))</f>
        <v>293.90975929253631</v>
      </c>
      <c r="CZ197" s="62">
        <f t="shared" ref="CZ197:CZ203" si="208">$CZ$3</f>
        <v>288.30197520356643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0.49867910579078434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0.49867910579078434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4.4337866711430253E-14</v>
      </c>
      <c r="DQ197" s="14">
        <f t="shared" si="176"/>
        <v>7.3222115536967035E-13</v>
      </c>
      <c r="DR197" s="22">
        <f t="shared" si="177"/>
        <v>1.3525069634579169E-12</v>
      </c>
      <c r="DS197" s="62">
        <f t="shared" si="197"/>
        <v>293.33333333333468</v>
      </c>
      <c r="DT197" s="62">
        <f ca="1">AVERAGE(OFFSET($DS$3,0,0,'Données projet'!$E$14+1,1))-AVERAGE(OFFSET($H$3,0,0,'Données projet'!$E$14+1,1))</f>
        <v>288.82868507674738</v>
      </c>
      <c r="DU197" s="62">
        <f t="shared" ref="DU197:DU203" si="209">$DU$3</f>
        <v>283.48738729114024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0.39665559654094928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0.39665559654094928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-5.6843418860808015E-14</v>
      </c>
      <c r="EK197" s="18">
        <f>EJ197*VLOOKUP('Données projet'!$B$15,Paramètres!$A$1:$I$89,3,0)*VLOOKUP('Données projet'!$B$15,Paramètres!$A$1:$I$89,5,0)</f>
        <v>-5.1431925385259088E-14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366.86025470473652</v>
      </c>
      <c r="EP197" s="62">
        <f t="shared" ref="EP197:EP203" si="210">$EP$3</f>
        <v>513.80016421153414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0.41128606363388132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0.41128606363388132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371.7282125501186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3.087018931505626</v>
      </c>
      <c r="AA198" s="23">
        <f>EXP(-LN(2)/25)*AA197+(1-EXP(-LN(2)/25))/(LN(2)/25)*Calculateur!V198*Calculateur!X198*VLOOKUP('Données projet'!$B$9,Paramètres!$A$1:$I$89,3,0)*0.475*44/12</f>
        <v>0.4481359602279778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3.5351548917336038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9.5769792096689348E-14</v>
      </c>
      <c r="AK198" s="14">
        <f t="shared" si="164"/>
        <v>1.4459910566979609E-12</v>
      </c>
      <c r="AL198" s="22">
        <f t="shared" si="165"/>
        <v>2.6852334783173491E-12</v>
      </c>
      <c r="AM198" s="62">
        <f t="shared" si="193"/>
        <v>293.33333333333599</v>
      </c>
      <c r="AN198" s="62">
        <f ca="1">AVERAGE(OFFSET($AM$3,0,0,'Données projet'!$E$10+1,1))-AVERAGE(OFFSET($H$3,0,0,'Données projet'!$E$10+1,1))</f>
        <v>348.82438445524105</v>
      </c>
      <c r="AO198" s="62">
        <f t="shared" si="205"/>
        <v>218.26721063098552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2.8741210741604095</v>
      </c>
      <c r="AV198" s="23">
        <f>EXP(-LN(2)/25)*AV197+(1-EXP(-LN(2)/25))/(LN(2)/25)*Calculateur!AQ198*Calculateur!AS198*VLOOKUP('Données projet'!$B$10,Paramètres!$A$1:$I$89,3,0)*0.475*44/12</f>
        <v>0.41723003193639369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3.291351106096803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-3.2514435588382188E-14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309.71642374647882</v>
      </c>
      <c r="BJ198" s="62">
        <f t="shared" si="206"/>
        <v>266.63880397664315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20.553336873954418</v>
      </c>
      <c r="BQ198" s="23">
        <f>EXP(-LN(2)/25)*BQ197+(1-EXP(-LN(2)/25))/(LN(2)/25)*Calculateur!BL198*Calculateur!BN198*VLOOKUP('Données projet'!$B$11,Paramètres!$A$1:$I$89,3,0)*0.475*44/12</f>
        <v>0.60832628922227672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21.161663163176694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1.0995790944434703E-13</v>
      </c>
      <c r="CA198" s="14">
        <f t="shared" si="170"/>
        <v>1.6337280948049956E-12</v>
      </c>
      <c r="CB198" s="22">
        <f t="shared" si="171"/>
        <v>3.036919790734272E-12</v>
      </c>
      <c r="CC198" s="62">
        <f t="shared" si="195"/>
        <v>293.33333333333633</v>
      </c>
      <c r="CD198" s="62">
        <f ca="1">AVERAGE(OFFSET($CC$3,0,0,'Données projet'!$E$12+1,1))-AVERAGE(OFFSET($H$3,0,0,'Données projet'!$E$12+1,1))</f>
        <v>394.59880827600006</v>
      </c>
      <c r="CE198" s="62">
        <f t="shared" si="207"/>
        <v>244.45149244446094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3.2999167888508447</v>
      </c>
      <c r="CL198" s="23">
        <f>EXP(-LN(2)/25)*CL197+(1-EXP(-LN(2)/25))/(LN(2)/25)*Calculateur!CG198*Calculateur!CI198*VLOOKUP('Données projet'!$B$12,Paramètres!$A$1:$I$89,3,0)*0.475*44/12</f>
        <v>0.47904188851956203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3.7789586773704067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4.5224624045658861E-14</v>
      </c>
      <c r="CV198" s="14">
        <f t="shared" si="173"/>
        <v>7.4514601661523691E-13</v>
      </c>
      <c r="CW198" s="22">
        <f t="shared" si="174"/>
        <v>1.3765621991510601E-12</v>
      </c>
      <c r="CX198" s="62">
        <f t="shared" si="196"/>
        <v>293.33333333333468</v>
      </c>
      <c r="CY198" s="62">
        <f ca="1">AVERAGE(OFFSET($CX$3,0,0,'Données projet'!$E$13+1,1))-AVERAGE(OFFSET($H$3,0,0,'Données projet'!$E$13+1,1))</f>
        <v>293.90975929253631</v>
      </c>
      <c r="CZ198" s="62">
        <f t="shared" si="208"/>
        <v>288.30197520356643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0.48890031269044787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0.48890031269044787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4.4337866711430253E-14</v>
      </c>
      <c r="DQ198" s="14">
        <f t="shared" si="176"/>
        <v>7.3222115536967035E-13</v>
      </c>
      <c r="DR198" s="22">
        <f t="shared" si="177"/>
        <v>1.3525069634579169E-12</v>
      </c>
      <c r="DS198" s="62">
        <f t="shared" si="197"/>
        <v>293.33333333333468</v>
      </c>
      <c r="DT198" s="62">
        <f ca="1">AVERAGE(OFFSET($DS$3,0,0,'Données projet'!$E$14+1,1))-AVERAGE(OFFSET($H$3,0,0,'Données projet'!$E$14+1,1))</f>
        <v>288.82868507674738</v>
      </c>
      <c r="DU198" s="62">
        <f t="shared" si="209"/>
        <v>283.48738729114024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0.38887742222880595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0.38887742222880595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-5.6843418860808015E-14</v>
      </c>
      <c r="EK198" s="18">
        <f>EJ198*VLOOKUP('Données projet'!$B$15,Paramètres!$A$1:$I$89,3,0)*VLOOKUP('Données projet'!$B$15,Paramètres!$A$1:$I$89,5,0)</f>
        <v>-5.1431925385259088E-14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366.86025470473652</v>
      </c>
      <c r="EP198" s="62">
        <f t="shared" si="210"/>
        <v>513.80016421153414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0.40322099478574935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0.40322099478574935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371.7282125501186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3.0264843731544282</v>
      </c>
      <c r="AA199" s="23">
        <f>EXP(-LN(2)/25)*AA198+(1-EXP(-LN(2)/25))/(LN(2)/25)*Calculateur!V199*Calculateur!X199*VLOOKUP('Données projet'!$B$9,Paramètres!$A$1:$I$89,3,0)*0.475*44/12</f>
        <v>0.43588165882909785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3.4623660319835259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9.5769792096689348E-14</v>
      </c>
      <c r="AK199" s="14">
        <f t="shared" si="164"/>
        <v>1.4459910566979609E-12</v>
      </c>
      <c r="AL199" s="22">
        <f t="shared" si="165"/>
        <v>2.6852334783173491E-12</v>
      </c>
      <c r="AM199" s="62">
        <f t="shared" si="193"/>
        <v>293.33333333333599</v>
      </c>
      <c r="AN199" s="62">
        <f ca="1">AVERAGE(OFFSET($AM$3,0,0,'Données projet'!$E$10+1,1))-AVERAGE(OFFSET($H$3,0,0,'Données projet'!$E$10+1,1))</f>
        <v>348.82438445524105</v>
      </c>
      <c r="AO199" s="62">
        <f t="shared" si="205"/>
        <v>218.26721063098552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2.8177613129368808</v>
      </c>
      <c r="AV199" s="23">
        <f>EXP(-LN(2)/25)*AV198+(1-EXP(-LN(2)/25))/(LN(2)/25)*Calculateur!AQ199*Calculateur!AS199*VLOOKUP('Données projet'!$B$10,Paramètres!$A$1:$I$89,3,0)*0.475*44/12</f>
        <v>0.4058208547719192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3.2235821677088001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-3.2514435588382188E-14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309.71642374647882</v>
      </c>
      <c r="BJ199" s="62">
        <f t="shared" si="206"/>
        <v>266.63880397664315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20.150298474153807</v>
      </c>
      <c r="BQ199" s="23">
        <f>EXP(-LN(2)/25)*BQ198+(1-EXP(-LN(2)/25))/(LN(2)/25)*Calculateur!BL199*Calculateur!BN199*VLOOKUP('Données projet'!$B$11,Paramètres!$A$1:$I$89,3,0)*0.475*44/12</f>
        <v>0.59169157485300439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20.741990049006812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1.0995790944434703E-13</v>
      </c>
      <c r="CA199" s="14">
        <f t="shared" si="170"/>
        <v>1.6337280948049956E-12</v>
      </c>
      <c r="CB199" s="22">
        <f t="shared" si="171"/>
        <v>3.036919790734272E-12</v>
      </c>
      <c r="CC199" s="62">
        <f t="shared" si="195"/>
        <v>293.33333333333633</v>
      </c>
      <c r="CD199" s="62">
        <f ca="1">AVERAGE(OFFSET($CC$3,0,0,'Données projet'!$E$12+1,1))-AVERAGE(OFFSET($H$3,0,0,'Données projet'!$E$12+1,1))</f>
        <v>394.59880827600006</v>
      </c>
      <c r="CE199" s="62">
        <f t="shared" si="207"/>
        <v>244.45149244446094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3.2352074333719782</v>
      </c>
      <c r="CL199" s="23">
        <f>EXP(-LN(2)/25)*CL198+(1-EXP(-LN(2)/25))/(LN(2)/25)*Calculateur!CG199*Calculateur!CI199*VLOOKUP('Données projet'!$B$12,Paramètres!$A$1:$I$89,3,0)*0.475*44/12</f>
        <v>0.46594246288627655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3.7011498962582547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4.5224624045658861E-14</v>
      </c>
      <c r="CV199" s="14">
        <f t="shared" si="173"/>
        <v>7.4514601661523691E-13</v>
      </c>
      <c r="CW199" s="22">
        <f t="shared" si="174"/>
        <v>1.3765621991510601E-12</v>
      </c>
      <c r="CX199" s="62">
        <f t="shared" si="196"/>
        <v>293.33333333333468</v>
      </c>
      <c r="CY199" s="62">
        <f ca="1">AVERAGE(OFFSET($CX$3,0,0,'Données projet'!$E$13+1,1))-AVERAGE(OFFSET($H$3,0,0,'Données projet'!$E$13+1,1))</f>
        <v>293.90975929253631</v>
      </c>
      <c r="CZ199" s="62">
        <f t="shared" si="208"/>
        <v>288.30197520356643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0.47931327575833416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0.47931327575833416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4.4337866711430253E-14</v>
      </c>
      <c r="DQ199" s="14">
        <f t="shared" si="176"/>
        <v>7.3222115536967035E-13</v>
      </c>
      <c r="DR199" s="22">
        <f t="shared" si="177"/>
        <v>1.3525069634579169E-12</v>
      </c>
      <c r="DS199" s="62">
        <f t="shared" si="197"/>
        <v>293.33333333333468</v>
      </c>
      <c r="DT199" s="62">
        <f ca="1">AVERAGE(OFFSET($DS$3,0,0,'Données projet'!$E$14+1,1))-AVERAGE(OFFSET($H$3,0,0,'Données projet'!$E$14+1,1))</f>
        <v>288.82868507674738</v>
      </c>
      <c r="DU199" s="62">
        <f t="shared" si="209"/>
        <v>283.48738729114024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0.38125177317070585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0.38125177317070585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-5.6843418860808015E-14</v>
      </c>
      <c r="EK199" s="18">
        <f>EJ199*VLOOKUP('Données projet'!$B$15,Paramètres!$A$1:$I$89,3,0)*VLOOKUP('Données projet'!$B$15,Paramètres!$A$1:$I$89,5,0)</f>
        <v>-5.1431925385259088E-14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366.86025470473652</v>
      </c>
      <c r="EP199" s="62">
        <f t="shared" si="210"/>
        <v>513.80016421153414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0.395314077018523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0.395314077018523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371.7282125501186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2.9671368605700628</v>
      </c>
      <c r="AA200" s="23">
        <f>EXP(-LN(2)/25)*AA199+(1-EXP(-LN(2)/25))/(LN(2)/25)*Calculateur!V200*Calculateur!X200*VLOOKUP('Données projet'!$B$9,Paramètres!$A$1:$I$89,3,0)*0.475*44/12</f>
        <v>0.42396245194639598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3.3910993125164586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9.5769792096689348E-14</v>
      </c>
      <c r="AK200" s="14">
        <f t="shared" si="164"/>
        <v>1.4459910566979609E-12</v>
      </c>
      <c r="AL200" s="22">
        <f t="shared" si="165"/>
        <v>2.6852334783173491E-12</v>
      </c>
      <c r="AM200" s="62">
        <f t="shared" si="193"/>
        <v>293.33333333333599</v>
      </c>
      <c r="AN200" s="62">
        <f ca="1">AVERAGE(OFFSET($AM$3,0,0,'Données projet'!$E$10+1,1))-AVERAGE(OFFSET($H$3,0,0,'Données projet'!$E$10+1,1))</f>
        <v>348.82438445524105</v>
      </c>
      <c r="AO200" s="62">
        <f t="shared" si="205"/>
        <v>218.26721063098552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2.7625067322548853</v>
      </c>
      <c r="AV200" s="23">
        <f>EXP(-LN(2)/25)*AV199+(1-EXP(-LN(2)/25))/(LN(2)/25)*Calculateur!AQ200*Calculateur!AS200*VLOOKUP('Données projet'!$B$10,Paramètres!$A$1:$I$89,3,0)*0.475*44/12</f>
        <v>0.39472366215698984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3.1572303944118749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-3.2514435588382188E-14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309.71642374647882</v>
      </c>
      <c r="BJ200" s="62">
        <f t="shared" si="206"/>
        <v>266.63880397664315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19.755163411544139</v>
      </c>
      <c r="BQ200" s="23">
        <f>EXP(-LN(2)/25)*BQ199+(1-EXP(-LN(2)/25))/(LN(2)/25)*Calculateur!BL200*Calculateur!BN200*VLOOKUP('Données projet'!$B$11,Paramètres!$A$1:$I$89,3,0)*0.475*44/12</f>
        <v>0.57551173762294139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20.330675149167082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1.0995790944434703E-13</v>
      </c>
      <c r="CA200" s="14">
        <f t="shared" si="170"/>
        <v>1.6337280948049956E-12</v>
      </c>
      <c r="CB200" s="22">
        <f t="shared" si="171"/>
        <v>3.036919790734272E-12</v>
      </c>
      <c r="CC200" s="62">
        <f t="shared" si="195"/>
        <v>293.33333333333633</v>
      </c>
      <c r="CD200" s="62">
        <f ca="1">AVERAGE(OFFSET($CC$3,0,0,'Données projet'!$E$12+1,1))-AVERAGE(OFFSET($H$3,0,0,'Données projet'!$E$12+1,1))</f>
        <v>394.59880827600006</v>
      </c>
      <c r="CE200" s="62">
        <f t="shared" si="207"/>
        <v>244.45149244446094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3.1717669888852429</v>
      </c>
      <c r="CL200" s="23">
        <f>EXP(-LN(2)/25)*CL199+(1-EXP(-LN(2)/25))/(LN(2)/25)*Calculateur!CG200*Calculateur!CI200*VLOOKUP('Données projet'!$B$12,Paramètres!$A$1:$I$89,3,0)*0.475*44/12</f>
        <v>0.45320124173580212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3.6249682306210449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4.5224624045658861E-14</v>
      </c>
      <c r="CV200" s="14">
        <f t="shared" si="173"/>
        <v>7.4514601661523691E-13</v>
      </c>
      <c r="CW200" s="22">
        <f t="shared" si="174"/>
        <v>1.3765621991510601E-12</v>
      </c>
      <c r="CX200" s="62">
        <f t="shared" si="196"/>
        <v>293.33333333333468</v>
      </c>
      <c r="CY200" s="62">
        <f ca="1">AVERAGE(OFFSET($CX$3,0,0,'Données projet'!$E$13+1,1))-AVERAGE(OFFSET($H$3,0,0,'Données projet'!$E$13+1,1))</f>
        <v>293.90975929253631</v>
      </c>
      <c r="CZ200" s="62">
        <f t="shared" si="208"/>
        <v>288.30197520356643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0.46991423477294403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0.46991423477294403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4.4337866711430253E-14</v>
      </c>
      <c r="DQ200" s="14">
        <f t="shared" si="176"/>
        <v>7.3222115536967035E-13</v>
      </c>
      <c r="DR200" s="22">
        <f t="shared" si="177"/>
        <v>1.3525069634579169E-12</v>
      </c>
      <c r="DS200" s="62">
        <f t="shared" si="197"/>
        <v>293.33333333333468</v>
      </c>
      <c r="DT200" s="62">
        <f ca="1">AVERAGE(OFFSET($DS$3,0,0,'Données projet'!$E$14+1,1))-AVERAGE(OFFSET($H$3,0,0,'Données projet'!$E$14+1,1))</f>
        <v>288.82868507674738</v>
      </c>
      <c r="DU200" s="62">
        <f t="shared" si="209"/>
        <v>283.48738729114024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0.37377565843944849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0.37377565843944849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-5.6843418860808015E-14</v>
      </c>
      <c r="EK200" s="18">
        <f>EJ200*VLOOKUP('Données projet'!$B$15,Paramètres!$A$1:$I$89,3,0)*VLOOKUP('Données projet'!$B$15,Paramètres!$A$1:$I$89,5,0)</f>
        <v>-5.1431925385259088E-14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366.86025470473652</v>
      </c>
      <c r="EP200" s="62">
        <f t="shared" si="210"/>
        <v>513.80016421153414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0.38756220908596833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0.38756220908596833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371.7282125501186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2.9089531165090685</v>
      </c>
      <c r="AA201" s="23">
        <f>EXP(-LN(2)/25)*AA200+(1-EXP(-LN(2)/25))/(LN(2)/25)*Calculateur!V201*Calculateur!X201*VLOOKUP('Données projet'!$B$9,Paramètres!$A$1:$I$89,3,0)*0.475*44/12</f>
        <v>0.41236917640270543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3.3213222929117738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9.5769792096689348E-14</v>
      </c>
      <c r="AK201" s="14">
        <f t="shared" si="164"/>
        <v>1.4459910566979609E-12</v>
      </c>
      <c r="AL201" s="22">
        <f t="shared" si="165"/>
        <v>2.6852334783173491E-12</v>
      </c>
      <c r="AM201" s="62">
        <f t="shared" si="193"/>
        <v>293.33333333333599</v>
      </c>
      <c r="AN201" s="62">
        <f ca="1">AVERAGE(OFFSET($AM$3,0,0,'Données projet'!$E$10+1,1))-AVERAGE(OFFSET($H$3,0,0,'Données projet'!$E$10+1,1))</f>
        <v>348.82438445524105</v>
      </c>
      <c r="AO201" s="62">
        <f t="shared" si="205"/>
        <v>218.26721063098552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2.7083356601980975</v>
      </c>
      <c r="AV201" s="23">
        <f>EXP(-LN(2)/25)*AV200+(1-EXP(-LN(2)/25))/(LN(2)/25)*Calculateur!AQ201*Calculateur!AS201*VLOOKUP('Données projet'!$B$10,Paramètres!$A$1:$I$89,3,0)*0.475*44/12</f>
        <v>0.38392992285769173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3.0922655830557892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-3.2514435588382188E-14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309.71642374647882</v>
      </c>
      <c r="BJ201" s="62">
        <f t="shared" si="206"/>
        <v>266.63880397664315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19.367776706503655</v>
      </c>
      <c r="BQ201" s="23">
        <f>EXP(-LN(2)/25)*BQ200+(1-EXP(-LN(2)/25))/(LN(2)/25)*Calculateur!BL201*Calculateur!BN201*VLOOKUP('Données projet'!$B$11,Paramètres!$A$1:$I$89,3,0)*0.475*44/12</f>
        <v>0.55977433889279515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19.927551045396449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1.0995790944434703E-13</v>
      </c>
      <c r="CA201" s="14">
        <f t="shared" si="170"/>
        <v>1.6337280948049956E-12</v>
      </c>
      <c r="CB201" s="22">
        <f t="shared" si="171"/>
        <v>3.036919790734272E-12</v>
      </c>
      <c r="CC201" s="62">
        <f t="shared" si="195"/>
        <v>293.33333333333633</v>
      </c>
      <c r="CD201" s="62">
        <f ca="1">AVERAGE(OFFSET($CC$3,0,0,'Données projet'!$E$12+1,1))-AVERAGE(OFFSET($H$3,0,0,'Données projet'!$E$12+1,1))</f>
        <v>394.59880827600006</v>
      </c>
      <c r="CE201" s="62">
        <f t="shared" si="207"/>
        <v>244.45149244446094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3.1095705728200418</v>
      </c>
      <c r="CL201" s="23">
        <f>EXP(-LN(2)/25)*CL200+(1-EXP(-LN(2)/25))/(LN(2)/25)*Calculateur!CG201*Calculateur!CI201*VLOOKUP('Données projet'!$B$12,Paramètres!$A$1:$I$89,3,0)*0.475*44/12</f>
        <v>0.44080842994771913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3.5503790027677611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4.5224624045658861E-14</v>
      </c>
      <c r="CV201" s="14">
        <f t="shared" si="173"/>
        <v>7.4514601661523691E-13</v>
      </c>
      <c r="CW201" s="22">
        <f t="shared" si="174"/>
        <v>1.3765621991510601E-12</v>
      </c>
      <c r="CX201" s="62">
        <f t="shared" si="196"/>
        <v>293.33333333333468</v>
      </c>
      <c r="CY201" s="62">
        <f ca="1">AVERAGE(OFFSET($CX$3,0,0,'Données projet'!$E$13+1,1))-AVERAGE(OFFSET($H$3,0,0,'Données projet'!$E$13+1,1))</f>
        <v>293.90975929253631</v>
      </c>
      <c r="CZ201" s="62">
        <f t="shared" si="208"/>
        <v>288.30197520356643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0.46069950324842851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0.46069950324842851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4.4337866711430253E-14</v>
      </c>
      <c r="DQ201" s="14">
        <f t="shared" si="176"/>
        <v>7.3222115536967035E-13</v>
      </c>
      <c r="DR201" s="22">
        <f t="shared" si="177"/>
        <v>1.3525069634579169E-12</v>
      </c>
      <c r="DS201" s="62">
        <f t="shared" si="197"/>
        <v>293.33333333333468</v>
      </c>
      <c r="DT201" s="62">
        <f ca="1">AVERAGE(OFFSET($DS$3,0,0,'Données projet'!$E$14+1,1))-AVERAGE(OFFSET($H$3,0,0,'Données projet'!$E$14+1,1))</f>
        <v>288.82868507674738</v>
      </c>
      <c r="DU201" s="62">
        <f t="shared" si="209"/>
        <v>283.48738729114024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0.36644614575809131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0.36644614575809131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-5.6843418860808015E-14</v>
      </c>
      <c r="EK201" s="18">
        <f>EJ201*VLOOKUP('Données projet'!$B$15,Paramètres!$A$1:$I$89,3,0)*VLOOKUP('Données projet'!$B$15,Paramètres!$A$1:$I$89,5,0)</f>
        <v>-5.1431925385259088E-14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366.86025470473652</v>
      </c>
      <c r="EP201" s="62">
        <f t="shared" si="210"/>
        <v>513.80016421153414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0.37996235055539851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0.37996235055539851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371.7282125501186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2.8519103201805307</v>
      </c>
      <c r="AA202" s="23">
        <f>EXP(-LN(2)/25)*AA201+(1-EXP(-LN(2)/25))/(LN(2)/25)*Calculateur!V202*Calculateur!X202*VLOOKUP('Données projet'!$B$9,Paramètres!$A$1:$I$89,3,0)*0.475*44/12</f>
        <v>0.40109291958842097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3.2530032397689519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9.5769792096689348E-14</v>
      </c>
      <c r="AK202" s="14">
        <f t="shared" si="164"/>
        <v>1.4459910566979609E-12</v>
      </c>
      <c r="AL202" s="22">
        <f t="shared" si="165"/>
        <v>2.6852334783173491E-12</v>
      </c>
      <c r="AM202" s="62">
        <f t="shared" si="193"/>
        <v>293.33333333333599</v>
      </c>
      <c r="AN202" s="62">
        <f ca="1">AVERAGE(OFFSET($AM$3,0,0,'Données projet'!$E$10+1,1))-AVERAGE(OFFSET($H$3,0,0,'Données projet'!$E$10+1,1))</f>
        <v>348.82438445524105</v>
      </c>
      <c r="AO202" s="62">
        <f t="shared" si="205"/>
        <v>218.26721063098552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2.6552268498232516</v>
      </c>
      <c r="AV202" s="23">
        <f>EXP(-LN(2)/25)*AV201+(1-EXP(-LN(2)/25))/(LN(2)/25)*Calculateur!AQ202*Calculateur!AS202*VLOOKUP('Données projet'!$B$10,Paramètres!$A$1:$I$89,3,0)*0.475*44/12</f>
        <v>0.37343133892715097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3.0286581887504025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-3.2514435588382188E-14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309.71642374647882</v>
      </c>
      <c r="BJ202" s="62">
        <f t="shared" si="206"/>
        <v>266.63880397664315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18.987986418466456</v>
      </c>
      <c r="BQ202" s="23">
        <f>EXP(-LN(2)/25)*BQ201+(1-EXP(-LN(2)/25))/(LN(2)/25)*Calculateur!BL202*Calculateur!BN202*VLOOKUP('Données projet'!$B$11,Paramètres!$A$1:$I$89,3,0)*0.475*44/12</f>
        <v>0.54446728015851853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19.532453698624973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1.0995790944434703E-13</v>
      </c>
      <c r="CA202" s="14">
        <f t="shared" si="170"/>
        <v>1.6337280948049956E-12</v>
      </c>
      <c r="CB202" s="22">
        <f t="shared" si="171"/>
        <v>3.036919790734272E-12</v>
      </c>
      <c r="CC202" s="62">
        <f t="shared" si="195"/>
        <v>293.33333333333633</v>
      </c>
      <c r="CD202" s="62">
        <f ca="1">AVERAGE(OFFSET($CC$3,0,0,'Données projet'!$E$12+1,1))-AVERAGE(OFFSET($H$3,0,0,'Données projet'!$E$12+1,1))</f>
        <v>394.59880827600006</v>
      </c>
      <c r="CE202" s="62">
        <f t="shared" si="207"/>
        <v>244.45149244446094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3.0485937905378115</v>
      </c>
      <c r="CL202" s="23">
        <f>EXP(-LN(2)/25)*CL201+(1-EXP(-LN(2)/25))/(LN(2)/25)*Calculateur!CG202*Calculateur!CI202*VLOOKUP('Données projet'!$B$12,Paramètres!$A$1:$I$89,3,0)*0.475*44/12</f>
        <v>0.42875450024969092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3.4773482907875026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4.5224624045658861E-14</v>
      </c>
      <c r="CV202" s="14">
        <f t="shared" si="173"/>
        <v>7.4514601661523691E-13</v>
      </c>
      <c r="CW202" s="22">
        <f t="shared" si="174"/>
        <v>1.3765621991510601E-12</v>
      </c>
      <c r="CX202" s="62">
        <f t="shared" si="196"/>
        <v>293.33333333333468</v>
      </c>
      <c r="CY202" s="62">
        <f ca="1">AVERAGE(OFFSET($CX$3,0,0,'Données projet'!$E$13+1,1))-AVERAGE(OFFSET($H$3,0,0,'Données projet'!$E$13+1,1))</f>
        <v>293.90975929253631</v>
      </c>
      <c r="CZ202" s="62">
        <f t="shared" si="208"/>
        <v>288.30197520356643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0.45166546698867749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0.45166546698867749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4.4337866711430253E-14</v>
      </c>
      <c r="DQ202" s="14">
        <f t="shared" si="176"/>
        <v>7.3222115536967035E-13</v>
      </c>
      <c r="DR202" s="22">
        <f t="shared" si="177"/>
        <v>1.3525069634579169E-12</v>
      </c>
      <c r="DS202" s="62">
        <f t="shared" si="197"/>
        <v>293.33333333333468</v>
      </c>
      <c r="DT202" s="62">
        <f ca="1">AVERAGE(OFFSET($DS$3,0,0,'Données projet'!$E$14+1,1))-AVERAGE(OFFSET($H$3,0,0,'Données projet'!$E$14+1,1))</f>
        <v>288.82868507674738</v>
      </c>
      <c r="DU202" s="62">
        <f t="shared" si="209"/>
        <v>283.48738729114024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0.35926036034985426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0.35926036034985426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-5.6843418860808015E-14</v>
      </c>
      <c r="EK202" s="18">
        <f>EJ202*VLOOKUP('Données projet'!$B$15,Paramètres!$A$1:$I$89,3,0)*VLOOKUP('Données projet'!$B$15,Paramètres!$A$1:$I$89,5,0)</f>
        <v>-5.1431925385259088E-14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366.86025470473652</v>
      </c>
      <c r="EP202" s="62">
        <f t="shared" si="210"/>
        <v>513.80016421153414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0.37251152061515719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0.37251152061515719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371.7282125501186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2.7959860982953253</v>
      </c>
      <c r="AA203" s="23">
        <f>EXP(-LN(2)/25)*AA202+(1-EXP(-LN(2)/25))/(LN(2)/25)*Calculateur!V203*Calculateur!X203*VLOOKUP('Données projet'!$B$9,Paramètres!$A$1:$I$89,3,0)*0.475*44/12</f>
        <v>0.39012501260971566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3.1861111109050411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9.5769792096689348E-14</v>
      </c>
      <c r="AK203" s="14">
        <f t="shared" si="164"/>
        <v>1.4459910566979609E-12</v>
      </c>
      <c r="AL203" s="22">
        <f t="shared" si="165"/>
        <v>2.6852334783173491E-12</v>
      </c>
      <c r="AM203" s="62">
        <f t="shared" si="193"/>
        <v>293.33333333333599</v>
      </c>
      <c r="AN203" s="62">
        <f ca="1">AVERAGE(OFFSET($AM$3,0,0,'Données projet'!$E$10+1,1))-AVERAGE(OFFSET($H$3,0,0,'Données projet'!$E$10+1,1))</f>
        <v>348.82438445524105</v>
      </c>
      <c r="AO203" s="62">
        <f t="shared" si="205"/>
        <v>218.26721063098552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2.603159470826681</v>
      </c>
      <c r="AV203" s="23">
        <f>EXP(-LN(2)/25)*AV202+(1-EXP(-LN(2)/25))/(LN(2)/25)*Calculateur!AQ203*Calculateur!AS203*VLOOKUP('Données projet'!$B$10,Paramètres!$A$1:$I$89,3,0)*0.475*44/12</f>
        <v>0.36321983932628737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2.9663793101529685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-3.2514435588382188E-14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309.71642374647882</v>
      </c>
      <c r="BJ203" s="62">
        <f t="shared" si="206"/>
        <v>266.63880397664315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18.615643586328463</v>
      </c>
      <c r="BQ203" s="23">
        <f>EXP(-LN(2)/25)*BQ202+(1-EXP(-LN(2)/25))/(LN(2)/25)*Calculateur!BL203*Calculateur!BN203*VLOOKUP('Données projet'!$B$11,Paramètres!$A$1:$I$89,3,0)*0.475*44/12</f>
        <v>0.52957879375029393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19.145222380078756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1.0995790944434703E-13</v>
      </c>
      <c r="CA203" s="14">
        <f t="shared" si="170"/>
        <v>1.6337280948049956E-12</v>
      </c>
      <c r="CB203" s="22">
        <f t="shared" si="171"/>
        <v>3.036919790734272E-12</v>
      </c>
      <c r="CC203" s="62">
        <f t="shared" si="195"/>
        <v>293.33333333333633</v>
      </c>
      <c r="CD203" s="62">
        <f ca="1">AVERAGE(OFFSET($CC$3,0,0,'Données projet'!$E$12+1,1))-AVERAGE(OFFSET($H$3,0,0,'Données projet'!$E$12+1,1))</f>
        <v>394.59880827600006</v>
      </c>
      <c r="CE203" s="62">
        <f t="shared" si="207"/>
        <v>244.45149244446094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2.9888127257639709</v>
      </c>
      <c r="CL203" s="23">
        <f>EXP(-LN(2)/25)*CL202+(1-EXP(-LN(2)/25))/(LN(2)/25)*Calculateur!CG203*Calculateur!CI203*VLOOKUP('Données projet'!$B$12,Paramètres!$A$1:$I$89,3,0)*0.475*44/12</f>
        <v>0.41703018589314389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3.4058429116571149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4.5224624045658861E-14</v>
      </c>
      <c r="CV203" s="14">
        <f t="shared" si="173"/>
        <v>7.4514601661523691E-13</v>
      </c>
      <c r="CW203" s="22">
        <f t="shared" si="174"/>
        <v>1.3765621991510601E-12</v>
      </c>
      <c r="CX203" s="62">
        <f t="shared" si="196"/>
        <v>293.33333333333468</v>
      </c>
      <c r="CY203" s="62">
        <f ca="1">AVERAGE(OFFSET($CX$3,0,0,'Données projet'!$E$13+1,1))-AVERAGE(OFFSET($H$3,0,0,'Données projet'!$E$13+1,1))</f>
        <v>293.90975929253631</v>
      </c>
      <c r="CZ203" s="62">
        <f t="shared" si="208"/>
        <v>288.30197520356643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0.44280858266976214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0.44280858266976214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4.4337866711430253E-14</v>
      </c>
      <c r="DQ203" s="14">
        <f t="shared" si="176"/>
        <v>7.3222115536967035E-13</v>
      </c>
      <c r="DR203" s="22">
        <f t="shared" si="177"/>
        <v>1.3525069634579169E-12</v>
      </c>
      <c r="DS203" s="62">
        <f t="shared" si="197"/>
        <v>293.33333333333468</v>
      </c>
      <c r="DT203" s="62">
        <f ca="1">AVERAGE(OFFSET($DS$3,0,0,'Données projet'!$E$14+1,1))-AVERAGE(OFFSET($H$3,0,0,'Données projet'!$E$14+1,1))</f>
        <v>288.82868507674738</v>
      </c>
      <c r="DU203" s="62">
        <f t="shared" si="209"/>
        <v>283.48738729114024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0.35221548381057644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0.35221548381057644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-5.6843418860808015E-14</v>
      </c>
      <c r="EK203" s="18">
        <f>EJ203*VLOOKUP('Données projet'!$B$15,Paramètres!$A$1:$I$89,3,0)*VLOOKUP('Données projet'!$B$15,Paramètres!$A$1:$I$89,5,0)</f>
        <v>-5.1431925385259088E-14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366.86025470473652</v>
      </c>
      <c r="EP203" s="62">
        <f t="shared" si="210"/>
        <v>513.80016421153414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0.36520679690548646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0.36520679690548646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1.2287866875939204</v>
      </c>
      <c r="BV205" s="88">
        <f>EXP(LN('Données projet'!B114)/'Données projet'!A114)</f>
        <v>1.1852335095914694</v>
      </c>
      <c r="CQ205" s="88">
        <f>EXP(LN('Données projet'!B140)/'Données projet'!A140)</f>
        <v>1.2788040393997409</v>
      </c>
      <c r="DL205" s="88">
        <f>EXP(LN('Données projet'!B166)/'Données projet'!A166)</f>
        <v>1.2788040393997409</v>
      </c>
      <c r="EG205" s="88">
        <f>EXP(LN('Données projet'!B192)/'Données projet'!A192)</f>
        <v>2.0243974584998852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K25" sqref="K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1.845</v>
      </c>
      <c r="C6" s="156">
        <f ca="1">IF(OR('Données projet'!B9="",'Données projet'!C9="",'Données projet'!C9=0%),0,Calculateur!S3)</f>
        <v>371.7282125501186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426.87690459159967</v>
      </c>
      <c r="G6" s="156">
        <f ca="1">F6*(100%-'Données projet'!$C$24)*(100%-'Données projet'!$C$25)*(100%-'Données projet'!$C$26)*(100%-'Données projet'!$C$27)</f>
        <v>384.1892141324397</v>
      </c>
      <c r="H6" s="157">
        <f>IF(OR('Données projet'!B9="",'Données projet'!C9="",'Données projet'!C9=0%),0,AVERAGE(Calculateur!$AC$3:$AC$33)*B6)</f>
        <v>0.1070874967680725</v>
      </c>
      <c r="I6" s="158">
        <f>H6*(100%-'Données projet'!$C$24)*(100%-'Données projet'!$C$25)*(100%-'Données projet'!$C$26)*(100%-'Données projet'!$C$27)</f>
        <v>9.6378747091265246E-2</v>
      </c>
      <c r="J6" s="159">
        <f>IF(OR('Données projet'!B9="",'Données projet'!C9="",'Données projet'!C9=0%),0,SUM(Calculateur!$V$3:$V$33)*VLOOKUP('Données projet'!$B$9,Paramètres!$A$1:$I$89,9,0)*B6)</f>
        <v>13.376250000000001</v>
      </c>
      <c r="K6" s="160">
        <f>J6*(100%-'Données projet'!$C$24)*(100%-'Données projet'!$C$25)*(100%-'Données projet'!$C$26)*(100%-'Données projet'!$C$27)</f>
        <v>12.038625000000001</v>
      </c>
      <c r="L6" s="161">
        <f ca="1">G6+I6+K6</f>
        <v>396.32421787953098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0.27</v>
      </c>
      <c r="C7" s="156">
        <f ca="1">IF(OR('Données projet'!B10="",'Données projet'!C10="",'Données projet'!C10=0%),0,Calculateur!AN3)</f>
        <v>348.82438445524105</v>
      </c>
      <c r="D7" s="156">
        <f>IF(OR('Données projet'!B10="",'Données projet'!C10="",'Données projet'!C10=0%),0,Calculateur!AO3)</f>
        <v>218.26721063098552</v>
      </c>
      <c r="E7" s="156">
        <f t="shared" ref="E7:E15" ca="1" si="0">MIN(C7,D7)</f>
        <v>218.26721063098552</v>
      </c>
      <c r="F7" s="156">
        <f t="shared" ref="F7:F15" ca="1" si="1">E7*B7</f>
        <v>58.932146870366097</v>
      </c>
      <c r="G7" s="156">
        <f ca="1">F7*(100%-'Données projet'!$C$24)*(100%-'Données projet'!$C$25)*(100%-'Données projet'!$C$26)*(100%-'Données projet'!$C$27)</f>
        <v>53.038932183329486</v>
      </c>
      <c r="H7" s="164">
        <f>IF(OR('Données projet'!B10="",'Données projet'!C10="",'Données projet'!C10=0%),0,AVERAGE(Calculateur!$AX$3:$AX$33)*B7)</f>
        <v>1.4590558853177251E-2</v>
      </c>
      <c r="I7" s="158">
        <f>H7*(100%-'Données projet'!$C$24)*(100%-'Données projet'!$C$25)*(100%-'Données projet'!$C$26)*(100%-'Données projet'!$C$27)</f>
        <v>1.3131502967859527E-2</v>
      </c>
      <c r="J7" s="159">
        <f>IF(OR('Données projet'!B10="",'Données projet'!C10="",'Données projet'!C10=0%),0,SUM(Calculateur!$AQ$3:$AQ$33)*VLOOKUP('Données projet'!$B$10,Paramètres!$A$1:$I$89,9,0)*B7)</f>
        <v>1.9575</v>
      </c>
      <c r="K7" s="160">
        <f>J7*(100%-'Données projet'!$C$24)*(100%-'Données projet'!$C$25)*(100%-'Données projet'!$C$26)*(100%-'Données projet'!$C$27)</f>
        <v>1.7617500000000001</v>
      </c>
      <c r="L7" s="161">
        <f t="shared" ref="L7:L15" ca="1" si="2">G7+I7+K7</f>
        <v>54.813813686297344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sylvestre</v>
      </c>
      <c r="B8" s="163">
        <f>'Données projet'!D11</f>
        <v>1.53</v>
      </c>
      <c r="C8" s="156">
        <f ca="1">IF(OR('Données projet'!B11="",'Données projet'!C11="",'Données projet'!C11=0%),0,Calculateur!BI3)</f>
        <v>309.71642374647882</v>
      </c>
      <c r="D8" s="156">
        <f>IF(OR('Données projet'!B11="",'Données projet'!C11="",'Données projet'!C11=0%),0,Calculateur!BJ3)</f>
        <v>266.63880397664315</v>
      </c>
      <c r="E8" s="156">
        <f t="shared" ca="1" si="0"/>
        <v>266.63880397664315</v>
      </c>
      <c r="F8" s="156">
        <f t="shared" ca="1" si="1"/>
        <v>407.95737008426403</v>
      </c>
      <c r="G8" s="156">
        <f ca="1">F8*(100%-'Données projet'!$C$24)*(100%-'Données projet'!$C$25)*(100%-'Données projet'!$C$26)*(100%-'Données projet'!$C$27)</f>
        <v>367.16163307583764</v>
      </c>
      <c r="H8" s="164">
        <f>IF(OR('Données projet'!B11="",'Données projet'!C11="",'Données projet'!C11=0%),0,AVERAGE(Calculateur!$BS$3:$BS$33)*B8)</f>
        <v>1.0008654877506453</v>
      </c>
      <c r="I8" s="158">
        <f>H8*(100%-'Données projet'!$C$24)*(100%-'Données projet'!$C$25)*(100%-'Données projet'!$C$26)*(100%-'Données projet'!$C$27)</f>
        <v>0.90077893897558081</v>
      </c>
      <c r="J8" s="159">
        <f>IF(OR('Données projet'!B11="",'Données projet'!C11="",'Données projet'!C11=0%),0,SUM(Calculateur!$BL$3:$BL$33)*VLOOKUP('Données projet'!$B$11,Paramètres!$A$1:$I$89,9,0)*B8)</f>
        <v>43.421399999999998</v>
      </c>
      <c r="K8" s="160">
        <f>J8*(100%-'Données projet'!$C$24)*(100%-'Données projet'!$C$25)*(100%-'Données projet'!$C$26)*(100%-'Données projet'!$C$27)</f>
        <v>39.079259999999998</v>
      </c>
      <c r="L8" s="161">
        <f t="shared" ca="1" si="2"/>
        <v>407.1416720148132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0.27</v>
      </c>
      <c r="C9" s="156">
        <f ca="1">IF(OR('Données projet'!B12="",'Données projet'!C12="",'Données projet'!C12=0%),0,Calculateur!CD3)</f>
        <v>394.59880827600006</v>
      </c>
      <c r="D9" s="156">
        <f>IF(OR('Données projet'!B12="",'Données projet'!C12="",'Données projet'!C12=0%),0,Calculateur!CE3)</f>
        <v>244.45149244446094</v>
      </c>
      <c r="E9" s="156">
        <f t="shared" ca="1" si="0"/>
        <v>244.45149244446094</v>
      </c>
      <c r="F9" s="156">
        <f t="shared" ca="1" si="1"/>
        <v>66.001902960004458</v>
      </c>
      <c r="G9" s="156">
        <f ca="1">F9*(100%-'Données projet'!$C$24)*(100%-'Données projet'!$C$25)*(100%-'Données projet'!$C$26)*(100%-'Données projet'!$C$27)</f>
        <v>59.401712664004016</v>
      </c>
      <c r="H9" s="164">
        <f>IF(OR('Données projet'!B12="",'Données projet'!C12="",'Données projet'!C12=0%),0,AVERAGE(Calculateur!$CN$3:$CN$33)*B9)</f>
        <v>1.6752123127722028E-2</v>
      </c>
      <c r="I9" s="158">
        <f>H9*(100%-'Données projet'!$C$24)*(100%-'Données projet'!$C$25)*(100%-'Données projet'!$C$26)*(100%-'Données projet'!$C$27)</f>
        <v>1.5076910814949825E-2</v>
      </c>
      <c r="J9" s="159">
        <f>IF(OR('Données projet'!B12="",'Données projet'!C12="",'Données projet'!C12=0%),0,SUM(Calculateur!$CG$3:$CG$33)*VLOOKUP('Données projet'!$B$12,Paramètres!$A$1:$I$89,9,0)*B9)</f>
        <v>1.9575</v>
      </c>
      <c r="K9" s="160">
        <f>J9*(100%-'Données projet'!$C$24)*(100%-'Données projet'!$C$25)*(100%-'Données projet'!$C$26)*(100%-'Données projet'!$C$27)</f>
        <v>1.7617500000000001</v>
      </c>
      <c r="L9" s="161">
        <f t="shared" ca="1" si="2"/>
        <v>61.178539574818963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sycomore</v>
      </c>
      <c r="B10" s="163">
        <f>'Données projet'!D13</f>
        <v>0.36</v>
      </c>
      <c r="C10" s="156">
        <f ca="1">IF(OR('Données projet'!B13="",'Données projet'!C13="",'Données projet'!C13=0%),0,Calculateur!CY3)</f>
        <v>293.90975929253631</v>
      </c>
      <c r="D10" s="156">
        <f>IF(OR('Données projet'!B13="",'Données projet'!C13="",'Données projet'!C13=0%),0,Calculateur!CZ3)</f>
        <v>288.30197520356643</v>
      </c>
      <c r="E10" s="156">
        <f t="shared" ca="1" si="0"/>
        <v>288.30197520356643</v>
      </c>
      <c r="F10" s="156">
        <f t="shared" ca="1" si="1"/>
        <v>103.78871107328391</v>
      </c>
      <c r="G10" s="156">
        <f ca="1">F10*(100%-'Données projet'!$C$24)*(100%-'Données projet'!$C$25)*(100%-'Données projet'!$C$26)*(100%-'Données projet'!$C$27)</f>
        <v>93.409839965955513</v>
      </c>
      <c r="H10" s="164">
        <f>IF(OR('Données projet'!B13="",'Données projet'!C13="",'Données projet'!C13=0%),0,AVERAGE(Calculateur!$DI$3:$DI$33)*B10)</f>
        <v>0.25051922560066064</v>
      </c>
      <c r="I10" s="158">
        <f>H10*(100%-'Données projet'!$C$24)*(100%-'Données projet'!$C$25)*(100%-'Données projet'!$C$26)*(100%-'Données projet'!$C$27)</f>
        <v>0.22546730304059459</v>
      </c>
      <c r="J10" s="159">
        <f>IF(OR('Données projet'!B13="",'Données projet'!C13="",'Données projet'!C13=0%),0,SUM(Calculateur!$DB$3:$DB$33)*VLOOKUP('Données projet'!$B$13,Paramètres!$A$1:$I$89,9,0)*B10)</f>
        <v>4.95</v>
      </c>
      <c r="K10" s="160">
        <f>J10*(100%-'Données projet'!$C$24)*(100%-'Données projet'!$C$25)*(100%-'Données projet'!$C$26)*(100%-'Données projet'!$C$27)</f>
        <v>4.4550000000000001</v>
      </c>
      <c r="L10" s="161">
        <f t="shared" ca="1" si="2"/>
        <v>98.090307268996099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Merisier</v>
      </c>
      <c r="B11" s="163">
        <f>'Données projet'!D14</f>
        <v>0.1125</v>
      </c>
      <c r="C11" s="156">
        <f ca="1">IF(OR('Données projet'!B14="",'Données projet'!C14="",'Données projet'!C14=0%),0,Calculateur!DT3)</f>
        <v>288.82868507674738</v>
      </c>
      <c r="D11" s="156">
        <f>IF(OR('Données projet'!B14="",'Données projet'!C14="",'Données projet'!C14=0%),0,Calculateur!DU3)</f>
        <v>283.48738729114024</v>
      </c>
      <c r="E11" s="156">
        <f t="shared" ca="1" si="0"/>
        <v>283.48738729114024</v>
      </c>
      <c r="F11" s="156">
        <f t="shared" ca="1" si="1"/>
        <v>31.892331070253277</v>
      </c>
      <c r="G11" s="156">
        <f ca="1">F11*(100%-'Données projet'!$C$24)*(100%-'Données projet'!$C$25)*(100%-'Données projet'!$C$26)*(100%-'Données projet'!$C$27)</f>
        <v>28.70309796322795</v>
      </c>
      <c r="H11" s="164">
        <f>IF(OR('Données projet'!B14="",'Données projet'!C14="",'Données projet'!C14=0%),0,AVERAGE(Calculateur!$ED$3:$ED$33)*B11)</f>
        <v>6.2270663966127973E-2</v>
      </c>
      <c r="I11" s="158">
        <f>H11*(100%-'Données projet'!$C$24)*(100%-'Données projet'!$C$25)*(100%-'Données projet'!$C$26)*(100%-'Données projet'!$C$27)</f>
        <v>5.6043597569515179E-2</v>
      </c>
      <c r="J11" s="159">
        <f>IF(OR('Données projet'!B14="",'Données projet'!C14="",'Données projet'!C14=0%),0,SUM(Calculateur!$DW$3:$DW$33)*VLOOKUP('Données projet'!$B$14,Paramètres!$A$1:$I$89,9,0)*B11)</f>
        <v>1.546875</v>
      </c>
      <c r="K11" s="160">
        <f>J11*(100%-'Données projet'!$C$24)*(100%-'Données projet'!$C$25)*(100%-'Données projet'!$C$26)*(100%-'Données projet'!$C$27)</f>
        <v>1.3921875000000001</v>
      </c>
      <c r="L11" s="161">
        <f t="shared" ca="1" si="2"/>
        <v>30.151329060797465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Robinier faux-acacia</v>
      </c>
      <c r="B12" s="163">
        <f>'Données projet'!D15</f>
        <v>0.1125</v>
      </c>
      <c r="C12" s="156">
        <f ca="1">IF(OR('Données projet'!B15="",'Données projet'!C15="",'Données projet'!C15=0%),0,Calculateur!EO3)</f>
        <v>366.86025470473652</v>
      </c>
      <c r="D12" s="156">
        <f>IF(OR('Données projet'!B15="",'Données projet'!C15="",'Données projet'!C15=0%),0,Calculateur!EP3)</f>
        <v>513.80016421153414</v>
      </c>
      <c r="E12" s="156">
        <f t="shared" ca="1" si="0"/>
        <v>366.86025470473652</v>
      </c>
      <c r="F12" s="156">
        <f t="shared" ca="1" si="1"/>
        <v>41.271778654282862</v>
      </c>
      <c r="G12" s="156">
        <f ca="1">F12*(100%-'Données projet'!$C$24)*(100%-'Données projet'!$C$25)*(100%-'Données projet'!$C$26)*(100%-'Données projet'!$C$27)</f>
        <v>37.144600788854575</v>
      </c>
      <c r="H12" s="164">
        <f>IF(OR('Données projet'!B15="",'Données projet'!C15="",'Données projet'!C15=0%),0,AVERAGE(Calculateur!$EY$3:$EY$33)*B12)</f>
        <v>0.30637284507150842</v>
      </c>
      <c r="I12" s="158">
        <f>H12*(100%-'Données projet'!$C$24)*(100%-'Données projet'!$C$25)*(100%-'Données projet'!$C$26)*(100%-'Données projet'!$C$27)</f>
        <v>0.27573556056435761</v>
      </c>
      <c r="J12" s="159">
        <f>IF(OR('Données projet'!B15="",'Données projet'!C15="",'Données projet'!C15=0%),0,SUM(Calculateur!$ER$3:$ER$33)*VLOOKUP('Données projet'!$B$15,Paramètres!$A$1:$I$89,9,0)*B12)</f>
        <v>2.8125</v>
      </c>
      <c r="K12" s="160">
        <f>J12*(100%-'Données projet'!$C$24)*(100%-'Données projet'!$C$25)*(100%-'Données projet'!$C$26)*(100%-'Données projet'!$C$27)</f>
        <v>2.53125</v>
      </c>
      <c r="L12" s="161">
        <f t="shared" ca="1" si="2"/>
        <v>39.951586349418932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1136.7211453040543</v>
      </c>
      <c r="G16" s="175">
        <f t="shared" ca="1" si="3"/>
        <v>1023.0490307736488</v>
      </c>
      <c r="H16" s="176">
        <f t="shared" si="3"/>
        <v>1.7584584011379143</v>
      </c>
      <c r="I16" s="176">
        <f t="shared" si="3"/>
        <v>1.5826125610241231</v>
      </c>
      <c r="J16" s="177">
        <f t="shared" si="3"/>
        <v>70.022024999999999</v>
      </c>
      <c r="K16" s="177">
        <f t="shared" si="3"/>
        <v>63.019822499999997</v>
      </c>
      <c r="L16" s="178">
        <f t="shared" ca="1" si="3"/>
        <v>1087.651465834673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sylvestre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Merisier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Robinier faux-acacia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F78" sqref="F7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575.53769892530249</v>
      </c>
      <c r="U10" s="190">
        <f>'Données projet'!D9</f>
        <v>1.845</v>
      </c>
      <c r="V10" s="189">
        <f>U10*T10</f>
        <v>1061.8670545171831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0.27</v>
      </c>
      <c r="V11" s="189">
        <f t="shared" ref="V11" si="0">U11*T11</f>
        <v>143.28405800643404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sylvestre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1664.9007419013305</v>
      </c>
      <c r="U12" s="190">
        <f>'Données projet'!D11</f>
        <v>1.53</v>
      </c>
      <c r="V12" s="189">
        <f t="shared" ref="V12:V19" si="1">U12*T12</f>
        <v>2547.2981351090357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575.53769892530249</v>
      </c>
      <c r="U13" s="190">
        <f>'Données projet'!D12</f>
        <v>0.27</v>
      </c>
      <c r="V13" s="189">
        <f t="shared" si="1"/>
        <v>155.3951787098317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1047.4312732942205</v>
      </c>
      <c r="U14" s="190">
        <f>'Données projet'!D13</f>
        <v>0.36</v>
      </c>
      <c r="V14" s="189">
        <f t="shared" si="1"/>
        <v>377.07525838591937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Merisier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1047.4312732942205</v>
      </c>
      <c r="U15" s="190">
        <f>'Données projet'!D14</f>
        <v>0.1125</v>
      </c>
      <c r="V15" s="189">
        <f t="shared" si="1"/>
        <v>117.83601824559982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Robinier faux-acacia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1340.2984828452804</v>
      </c>
      <c r="U16" s="190">
        <f>'Données projet'!D15</f>
        <v>0.1125</v>
      </c>
      <c r="V16" s="189">
        <f t="shared" si="1"/>
        <v>150.78357932009405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7026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650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-39904.142695161463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650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650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-39904.142695161463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>B32*C32</f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>B34*C34</f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150</v>
      </c>
      <c r="D42" s="194">
        <f t="shared" si="2"/>
        <v>42750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6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6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6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6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6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6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6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6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6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6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sylvestre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9</v>
      </c>
      <c r="C85" s="204">
        <v>12</v>
      </c>
      <c r="D85" s="191">
        <f>B85*C85</f>
        <v>108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21</v>
      </c>
      <c r="C86" s="204">
        <v>12</v>
      </c>
      <c r="D86" s="191">
        <f t="shared" ref="D86:D104" si="6">B86*C86</f>
        <v>252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36</v>
      </c>
      <c r="C87" s="204">
        <v>15</v>
      </c>
      <c r="D87" s="191">
        <f t="shared" si="6"/>
        <v>540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49</v>
      </c>
      <c r="C88" s="204">
        <v>17</v>
      </c>
      <c r="D88" s="191">
        <f t="shared" si="6"/>
        <v>833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4">
        <v>17</v>
      </c>
      <c r="D89" s="191">
        <f t="shared" si="6"/>
        <v>714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38</v>
      </c>
      <c r="C90" s="204">
        <v>17</v>
      </c>
      <c r="D90" s="191">
        <f t="shared" si="6"/>
        <v>646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37</v>
      </c>
      <c r="C91" s="204">
        <v>20</v>
      </c>
      <c r="D91" s="191">
        <f t="shared" si="6"/>
        <v>740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48</v>
      </c>
      <c r="C92" s="204">
        <v>25</v>
      </c>
      <c r="D92" s="191">
        <f t="shared" si="6"/>
        <v>1200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50</v>
      </c>
      <c r="C93" s="204">
        <v>30</v>
      </c>
      <c r="D93" s="191">
        <f t="shared" si="6"/>
        <v>1500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20</v>
      </c>
      <c r="C94" s="204">
        <v>35</v>
      </c>
      <c r="D94" s="191">
        <f t="shared" si="6"/>
        <v>700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444</v>
      </c>
      <c r="C95" s="204">
        <v>60</v>
      </c>
      <c r="D95" s="191">
        <f t="shared" si="6"/>
        <v>26640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06">
        <v>4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06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06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06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06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06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06">
        <v>15</v>
      </c>
      <c r="D122" s="191">
        <f t="shared" si="8"/>
        <v>315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06">
        <v>15</v>
      </c>
      <c r="D123" s="191">
        <f t="shared" si="8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06">
        <v>15</v>
      </c>
      <c r="D124" s="191">
        <f t="shared" si="8"/>
        <v>315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06">
        <v>15</v>
      </c>
      <c r="D125" s="191">
        <f t="shared" si="8"/>
        <v>315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06">
        <v>20</v>
      </c>
      <c r="D126" s="191">
        <f t="shared" si="8"/>
        <v>420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06">
        <v>20</v>
      </c>
      <c r="D127" s="191">
        <f t="shared" si="8"/>
        <v>420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06">
        <v>20</v>
      </c>
      <c r="D128" s="191">
        <f t="shared" si="8"/>
        <v>420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06">
        <v>20</v>
      </c>
      <c r="D129" s="191">
        <f t="shared" si="8"/>
        <v>420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06">
        <v>30</v>
      </c>
      <c r="D130" s="191">
        <f t="shared" si="8"/>
        <v>630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06">
        <v>30</v>
      </c>
      <c r="D131" s="191">
        <f t="shared" si="8"/>
        <v>630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06">
        <v>40</v>
      </c>
      <c r="D132" s="191">
        <f t="shared" si="8"/>
        <v>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06">
        <v>50</v>
      </c>
      <c r="D133" s="191">
        <f t="shared" si="8"/>
        <v>950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06">
        <v>70</v>
      </c>
      <c r="D134" s="191">
        <f t="shared" si="8"/>
        <v>1260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285</v>
      </c>
      <c r="C135" s="206">
        <v>150</v>
      </c>
      <c r="D135" s="191">
        <f t="shared" si="8"/>
        <v>42750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3</v>
      </c>
      <c r="C147" s="204">
        <v>5</v>
      </c>
      <c r="D147" s="194">
        <f>B147*C147</f>
        <v>15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25</v>
      </c>
      <c r="C148" s="204">
        <v>7</v>
      </c>
      <c r="D148" s="194">
        <f t="shared" ref="D148:D166" si="10">B148*C148</f>
        <v>175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27</v>
      </c>
      <c r="C149" s="204">
        <v>9</v>
      </c>
      <c r="D149" s="194">
        <f t="shared" si="10"/>
        <v>243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31</v>
      </c>
      <c r="B150" s="187">
        <f>'Données projet'!D143</f>
        <v>36</v>
      </c>
      <c r="C150" s="204">
        <v>9</v>
      </c>
      <c r="D150" s="194">
        <f t="shared" si="10"/>
        <v>324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37</v>
      </c>
      <c r="B151" s="187">
        <f>'Données projet'!D144</f>
        <v>36</v>
      </c>
      <c r="C151" s="204">
        <v>9</v>
      </c>
      <c r="D151" s="194">
        <f t="shared" si="10"/>
        <v>324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44</v>
      </c>
      <c r="B152" s="187">
        <f>'Données projet'!D145</f>
        <v>43</v>
      </c>
      <c r="C152" s="204">
        <v>14</v>
      </c>
      <c r="D152" s="194">
        <f t="shared" si="10"/>
        <v>602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52</v>
      </c>
      <c r="B153" s="187">
        <f>'Données projet'!D146</f>
        <v>48</v>
      </c>
      <c r="C153" s="204">
        <v>20</v>
      </c>
      <c r="D153" s="194">
        <f t="shared" si="10"/>
        <v>960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47</v>
      </c>
      <c r="C154" s="204">
        <v>25</v>
      </c>
      <c r="D154" s="194">
        <f t="shared" si="10"/>
        <v>1175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328</v>
      </c>
      <c r="C155" s="204">
        <v>30</v>
      </c>
      <c r="D155" s="194">
        <f t="shared" si="10"/>
        <v>9840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Merisier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3</v>
      </c>
      <c r="C178" s="204">
        <v>5</v>
      </c>
      <c r="D178" s="191">
        <f>B178*C178</f>
        <v>15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25</v>
      </c>
      <c r="C179" s="204">
        <v>7</v>
      </c>
      <c r="D179" s="191">
        <f t="shared" ref="D179:D197" si="11">B179*C179</f>
        <v>175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27</v>
      </c>
      <c r="C180" s="204">
        <v>9</v>
      </c>
      <c r="D180" s="191">
        <f t="shared" si="11"/>
        <v>243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31</v>
      </c>
      <c r="B181" s="193">
        <f>'Données projet'!D169</f>
        <v>36</v>
      </c>
      <c r="C181" s="204">
        <v>9</v>
      </c>
      <c r="D181" s="191">
        <f t="shared" si="11"/>
        <v>324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37</v>
      </c>
      <c r="B182" s="193">
        <f>'Données projet'!D170</f>
        <v>36</v>
      </c>
      <c r="C182" s="206">
        <v>9</v>
      </c>
      <c r="D182" s="191">
        <f t="shared" si="11"/>
        <v>324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44</v>
      </c>
      <c r="B183" s="193">
        <f>'Données projet'!D171</f>
        <v>43</v>
      </c>
      <c r="C183" s="206">
        <v>14</v>
      </c>
      <c r="D183" s="191">
        <f t="shared" si="11"/>
        <v>602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52</v>
      </c>
      <c r="B184" s="193">
        <f>'Données projet'!D172</f>
        <v>48</v>
      </c>
      <c r="C184" s="206">
        <v>20</v>
      </c>
      <c r="D184" s="191">
        <f t="shared" si="11"/>
        <v>960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47</v>
      </c>
      <c r="C185" s="206">
        <v>25</v>
      </c>
      <c r="D185" s="191">
        <f t="shared" si="11"/>
        <v>1175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69</v>
      </c>
      <c r="B186" s="193">
        <f>'Données projet'!D174</f>
        <v>328</v>
      </c>
      <c r="C186" s="206">
        <v>30</v>
      </c>
      <c r="D186" s="191">
        <f t="shared" si="11"/>
        <v>9840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Robinier faux-acacia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5</v>
      </c>
      <c r="B209" s="193">
        <f>'Données projet'!D192</f>
        <v>6</v>
      </c>
      <c r="C209" s="204">
        <v>8</v>
      </c>
      <c r="D209" s="191">
        <f>B209*C209</f>
        <v>48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10</v>
      </c>
      <c r="B210" s="193">
        <f>'Données projet'!D193</f>
        <v>28</v>
      </c>
      <c r="C210" s="204">
        <v>8</v>
      </c>
      <c r="D210" s="191">
        <f t="shared" ref="D210:D228" si="12">B210*C210</f>
        <v>224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15</v>
      </c>
      <c r="B211" s="193">
        <f>'Données projet'!D194</f>
        <v>23</v>
      </c>
      <c r="C211" s="204">
        <v>8</v>
      </c>
      <c r="D211" s="191">
        <f t="shared" si="12"/>
        <v>184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20</v>
      </c>
      <c r="B212" s="193">
        <f>'Données projet'!D195</f>
        <v>18</v>
      </c>
      <c r="C212" s="204">
        <v>8</v>
      </c>
      <c r="D212" s="191">
        <f t="shared" si="12"/>
        <v>144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25</v>
      </c>
      <c r="B213" s="193">
        <f>'Données projet'!D196</f>
        <v>14</v>
      </c>
      <c r="C213" s="204">
        <v>13</v>
      </c>
      <c r="D213" s="191">
        <f t="shared" si="12"/>
        <v>182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30</v>
      </c>
      <c r="B214" s="193">
        <f>'Données projet'!D197</f>
        <v>11</v>
      </c>
      <c r="C214" s="204">
        <v>13</v>
      </c>
      <c r="D214" s="191">
        <f t="shared" si="12"/>
        <v>143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35</v>
      </c>
      <c r="B215" s="193">
        <f>'Données projet'!D198</f>
        <v>9</v>
      </c>
      <c r="C215" s="204">
        <v>13</v>
      </c>
      <c r="D215" s="191">
        <f t="shared" si="12"/>
        <v>117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40</v>
      </c>
      <c r="B216" s="193">
        <f>'Données projet'!D199</f>
        <v>7</v>
      </c>
      <c r="C216" s="204">
        <v>15</v>
      </c>
      <c r="D216" s="191">
        <f t="shared" si="12"/>
        <v>105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45</v>
      </c>
      <c r="B217" s="193">
        <f>'Données projet'!D200</f>
        <v>312</v>
      </c>
      <c r="C217" s="204">
        <v>20</v>
      </c>
      <c r="D217" s="191">
        <f t="shared" si="12"/>
        <v>6240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2023-10-12T14:06:26Z</dcterms:modified>
</cp:coreProperties>
</file>