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GONNEVILLE LE THEIL (50) - MOUCHEL Luc -BEL\Dossier déposé 15 01 2024\"/>
    </mc:Choice>
  </mc:AlternateContent>
  <xr:revisionPtr revIDLastSave="0" documentId="13_ncr:1_{6CF046D4-2E1D-4BA7-8CEF-7E8D0DC76DC3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<sst xmlns="http://schemas.openxmlformats.org/spreadsheetml/2006/main" count="1170" uniqueCount="324">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</sst>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47.018549415760241</c:v>
                </c:pt>
                <c:pt idx="12">
                  <c:v>72.819412853406718</c:v>
                </c:pt>
                <c:pt idx="13">
                  <c:v>98.382385232551442</c:v>
                </c:pt>
                <c:pt idx="14">
                  <c:v>123.77905784317947</c:v>
                </c:pt>
                <c:pt idx="15">
                  <c:v>149.0486227432686</c:v>
                </c:pt>
                <c:pt idx="16">
                  <c:v>121.2135337586074</c:v>
                </c:pt>
                <c:pt idx="17">
                  <c:v>160.52873780727217</c:v>
                </c:pt>
                <c:pt idx="18">
                  <c:v>199.61433013638177</c:v>
                </c:pt>
                <c:pt idx="19">
                  <c:v>238.52184729375207</c:v>
                </c:pt>
                <c:pt idx="20">
                  <c:v>277.28448730625303</c:v>
                </c:pt>
                <c:pt idx="21">
                  <c:v>250.82687328804488</c:v>
                </c:pt>
                <c:pt idx="22">
                  <c:v>290.4916672508881</c:v>
                </c:pt>
                <c:pt idx="23">
                  <c:v>330.03533047043965</c:v>
                </c:pt>
                <c:pt idx="24">
                  <c:v>369.47440867571919</c:v>
                </c:pt>
                <c:pt idx="25">
                  <c:v>408.82162307769659</c:v>
                </c:pt>
                <c:pt idx="26">
                  <c:v>381.9750163229524</c:v>
                </c:pt>
                <c:pt idx="27">
                  <c:v>420.67178503971542</c:v>
                </c:pt>
                <c:pt idx="28">
                  <c:v>459.29189612945765</c:v>
                </c:pt>
                <c:pt idx="29">
                  <c:v>497.84269099902531</c:v>
                </c:pt>
                <c:pt idx="30">
                  <c:v>536.33028230526634</c:v>
                </c:pt>
                <c:pt idx="31">
                  <c:v>507.78080123832484</c:v>
                </c:pt>
                <c:pt idx="32">
                  <c:v>544.39274292303924</c:v>
                </c:pt>
                <c:pt idx="33">
                  <c:v>580.95302152081194</c:v>
                </c:pt>
                <c:pt idx="34">
                  <c:v>617.46533937261358</c:v>
                </c:pt>
                <c:pt idx="35">
                  <c:v>653.93292590911062</c:v>
                </c:pt>
                <c:pt idx="36">
                  <c:v>622.41265158590397</c:v>
                </c:pt>
                <c:pt idx="37">
                  <c:v>655.78606828503825</c:v>
                </c:pt>
                <c:pt idx="38">
                  <c:v>689.12451036530547</c:v>
                </c:pt>
                <c:pt idx="39">
                  <c:v>722.4299047179835</c:v>
                </c:pt>
                <c:pt idx="40">
                  <c:v>755.70398638076642</c:v>
                </c:pt>
                <c:pt idx="41">
                  <c:v>723.97105006359288</c:v>
                </c:pt>
                <c:pt idx="42">
                  <c:v>753.85622038809424</c:v>
                </c:pt>
                <c:pt idx="43">
                  <c:v>783.71733289708129</c:v>
                </c:pt>
                <c:pt idx="44">
                  <c:v>813.55543162241747</c:v>
                </c:pt>
                <c:pt idx="45">
                  <c:v>843.37147790032338</c:v>
                </c:pt>
                <c:pt idx="46">
                  <c:v>826.46812566691642</c:v>
                </c:pt>
                <c:pt idx="47">
                  <c:v>849.5164565411493</c:v>
                </c:pt>
                <c:pt idx="48">
                  <c:v>872.55224031999614</c:v>
                </c:pt>
                <c:pt idx="49">
                  <c:v>895.57585440568471</c:v>
                </c:pt>
                <c:pt idx="50">
                  <c:v>918.58765524270802</c:v>
                </c:pt>
                <c:pt idx="51">
                  <c:v>905.70248180090823</c:v>
                </c:pt>
                <c:pt idx="52">
                  <c:v>925.02888890897827</c:v>
                </c:pt>
                <c:pt idx="53">
                  <c:v>944.34726310686267</c:v>
                </c:pt>
                <c:pt idx="54">
                  <c:v>963.65779164622188</c:v>
                </c:pt>
                <c:pt idx="55">
                  <c:v>982.9606536726501</c:v>
                </c:pt>
                <c:pt idx="56">
                  <c:v>972.2377775515339</c:v>
                </c:pt>
                <c:pt idx="57">
                  <c:v>989.08697106582531</c:v>
                </c:pt>
                <c:pt idx="58">
                  <c:v>1005.930492699439</c:v>
                </c:pt>
                <c:pt idx="59">
                  <c:v>1022.7684506802146</c:v>
                </c:pt>
                <c:pt idx="60">
                  <c:v>1039.6009493866386</c:v>
                </c:pt>
                <c:pt idx="61">
                  <c:v>1027.9718011684006</c:v>
                </c:pt>
                <c:pt idx="62">
                  <c:v>1042.3548454739253</c:v>
                </c:pt>
                <c:pt idx="63">
                  <c:v>1056.7339885600179</c:v>
                </c:pt>
                <c:pt idx="64">
                  <c:v>1071.1092909258921</c:v>
                </c:pt>
                <c:pt idx="65">
                  <c:v>1085.4808113164818</c:v>
                </c:pt>
                <c:pt idx="66">
                  <c:v>1073.8615751797745</c:v>
                </c:pt>
                <c:pt idx="67">
                  <c:v>1086.7037466464953</c:v>
                </c:pt>
                <c:pt idx="68">
                  <c:v>1099.5429474201762</c:v>
                </c:pt>
                <c:pt idx="69">
                  <c:v>1112.3792170356678</c:v>
                </c:pt>
                <c:pt idx="70">
                  <c:v>1125.2125940421261</c:v>
                </c:pt>
                <c:pt idx="71">
                  <c:v>1114.2127328194563</c:v>
                </c:pt>
                <c:pt idx="72">
                  <c:v>1126.1291541408468</c:v>
                </c:pt>
                <c:pt idx="73">
                  <c:v>1138.0431160387755</c:v>
                </c:pt>
                <c:pt idx="74">
                  <c:v>1149.9546478578516</c:v>
                </c:pt>
                <c:pt idx="75">
                  <c:v>1161.8637782859496</c:v>
                </c:pt>
                <c:pt idx="76">
                  <c:v>1151.1762071706803</c:v>
                </c:pt>
                <c:pt idx="77">
                  <c:v>1161.8637782859496</c:v>
                </c:pt>
                <c:pt idx="78">
                  <c:v>1172.5494379433878</c:v>
                </c:pt>
                <c:pt idx="79">
                  <c:v>1183.2332059967234</c:v>
                </c:pt>
                <c:pt idx="80">
                  <c:v>1193.9151019123562</c:v>
                </c:pt>
                <c:pt idx="81">
                  <c:v>1174.0758058767628</c:v>
                </c:pt>
                <c:pt idx="82">
                  <c:v>1174.0758058767628</c:v>
                </c:pt>
                <c:pt idx="83">
                  <c:v>1174.0758058767628</c:v>
                </c:pt>
                <c:pt idx="84">
                  <c:v>1174.0758058767628</c:v>
                </c:pt>
                <c:pt idx="85">
                  <c:v>1174.0758058767628</c:v>
                </c:pt>
                <c:pt idx="86">
                  <c:v>1174.0758058767628</c:v>
                </c:pt>
                <c:pt idx="87">
                  <c:v>1174.0758058767628</c:v>
                </c:pt>
                <c:pt idx="88">
                  <c:v>1174.0758058767628</c:v>
                </c:pt>
                <c:pt idx="89">
                  <c:v>1174.0758058767628</c:v>
                </c:pt>
                <c:pt idx="90">
                  <c:v>1174.0758058767628</c:v>
                </c:pt>
                <c:pt idx="91">
                  <c:v>1174.0758058767628</c:v>
                </c:pt>
                <c:pt idx="92">
                  <c:v>1174.0758058767628</c:v>
                </c:pt>
                <c:pt idx="93">
                  <c:v>1174.0758058767628</c:v>
                </c:pt>
                <c:pt idx="94">
                  <c:v>1174.0758058767628</c:v>
                </c:pt>
                <c:pt idx="95">
                  <c:v>1174.0758058767628</c:v>
                </c:pt>
                <c:pt idx="96">
                  <c:v>1174.0758058767628</c:v>
                </c:pt>
                <c:pt idx="97">
                  <c:v>1174.0758058767628</c:v>
                </c:pt>
                <c:pt idx="98">
                  <c:v>1174.0758058767628</c:v>
                </c:pt>
                <c:pt idx="99">
                  <c:v>1174.0758058767628</c:v>
                </c:pt>
                <c:pt idx="100">
                  <c:v>1174.0758058767628</c:v>
                </c:pt>
                <c:pt idx="101">
                  <c:v>1174.0758058767628</c:v>
                </c:pt>
                <c:pt idx="102">
                  <c:v>1174.0758058767628</c:v>
                </c:pt>
                <c:pt idx="103">
                  <c:v>1174.0758058767628</c:v>
                </c:pt>
                <c:pt idx="104">
                  <c:v>1174.0758058767628</c:v>
                </c:pt>
                <c:pt idx="105">
                  <c:v>1174.0758058767628</c:v>
                </c:pt>
                <c:pt idx="106">
                  <c:v>1174.0758058767628</c:v>
                </c:pt>
                <c:pt idx="107">
                  <c:v>1174.0758058767628</c:v>
                </c:pt>
                <c:pt idx="108">
                  <c:v>1174.0758058767628</c:v>
                </c:pt>
                <c:pt idx="109">
                  <c:v>1174.0758058767628</c:v>
                </c:pt>
                <c:pt idx="110">
                  <c:v>1174.0758058767628</c:v>
                </c:pt>
                <c:pt idx="111">
                  <c:v>1174.0758058767628</c:v>
                </c:pt>
                <c:pt idx="112">
                  <c:v>1174.0758058767628</c:v>
                </c:pt>
                <c:pt idx="113">
                  <c:v>1174.0758058767628</c:v>
                </c:pt>
                <c:pt idx="114">
                  <c:v>1174.0758058767628</c:v>
                </c:pt>
                <c:pt idx="115">
                  <c:v>1174.0758058767628</c:v>
                </c:pt>
                <c:pt idx="116">
                  <c:v>1174.0758058767628</c:v>
                </c:pt>
                <c:pt idx="117">
                  <c:v>1174.0758058767628</c:v>
                </c:pt>
                <c:pt idx="118">
                  <c:v>1174.0758058767628</c:v>
                </c:pt>
                <c:pt idx="119">
                  <c:v>1174.0758058767628</c:v>
                </c:pt>
                <c:pt idx="120">
                  <c:v>1174.0758058767628</c:v>
                </c:pt>
                <c:pt idx="121">
                  <c:v>1174.0758058767628</c:v>
                </c:pt>
                <c:pt idx="122">
                  <c:v>1174.0758058767628</c:v>
                </c:pt>
                <c:pt idx="123">
                  <c:v>1174.0758058767628</c:v>
                </c:pt>
                <c:pt idx="124">
                  <c:v>1174.0758058767628</c:v>
                </c:pt>
                <c:pt idx="125">
                  <c:v>1174.0758058767628</c:v>
                </c:pt>
                <c:pt idx="126">
                  <c:v>1174.0758058767628</c:v>
                </c:pt>
                <c:pt idx="127">
                  <c:v>1174.0758058767628</c:v>
                </c:pt>
                <c:pt idx="128">
                  <c:v>1174.0758058767628</c:v>
                </c:pt>
                <c:pt idx="129">
                  <c:v>1174.0758058767628</c:v>
                </c:pt>
                <c:pt idx="130">
                  <c:v>1174.0758058767628</c:v>
                </c:pt>
                <c:pt idx="131">
                  <c:v>1174.0758058767628</c:v>
                </c:pt>
                <c:pt idx="132">
                  <c:v>1174.0758058767628</c:v>
                </c:pt>
                <c:pt idx="133">
                  <c:v>1174.0758058767628</c:v>
                </c:pt>
                <c:pt idx="134">
                  <c:v>1174.0758058767628</c:v>
                </c:pt>
                <c:pt idx="135">
                  <c:v>1174.0758058767628</c:v>
                </c:pt>
                <c:pt idx="136">
                  <c:v>1174.0758058767628</c:v>
                </c:pt>
                <c:pt idx="137">
                  <c:v>1174.0758058767628</c:v>
                </c:pt>
                <c:pt idx="138">
                  <c:v>1174.0758058767628</c:v>
                </c:pt>
                <c:pt idx="139">
                  <c:v>1174.0758058767628</c:v>
                </c:pt>
                <c:pt idx="140">
                  <c:v>1174.0758058767628</c:v>
                </c:pt>
                <c:pt idx="141">
                  <c:v>1174.0758058767628</c:v>
                </c:pt>
                <c:pt idx="142">
                  <c:v>1174.0758058767628</c:v>
                </c:pt>
                <c:pt idx="143">
                  <c:v>1174.0758058767628</c:v>
                </c:pt>
                <c:pt idx="144">
                  <c:v>1174.0758058767628</c:v>
                </c:pt>
                <c:pt idx="145">
                  <c:v>1174.0758058767628</c:v>
                </c:pt>
                <c:pt idx="146">
                  <c:v>1174.0758058767628</c:v>
                </c:pt>
                <c:pt idx="147">
                  <c:v>1174.0758058767628</c:v>
                </c:pt>
                <c:pt idx="148">
                  <c:v>1174.0758058767628</c:v>
                </c:pt>
                <c:pt idx="149">
                  <c:v>1174.0758058767628</c:v>
                </c:pt>
                <c:pt idx="150">
                  <c:v>1174.0758058767628</c:v>
                </c:pt>
                <c:pt idx="151">
                  <c:v>1174.0758058767628</c:v>
                </c:pt>
                <c:pt idx="152">
                  <c:v>1174.0758058767628</c:v>
                </c:pt>
                <c:pt idx="153">
                  <c:v>1174.0758058767628</c:v>
                </c:pt>
                <c:pt idx="154">
                  <c:v>1174.0758058767628</c:v>
                </c:pt>
                <c:pt idx="155">
                  <c:v>1174.0758058767628</c:v>
                </c:pt>
                <c:pt idx="156">
                  <c:v>1174.0758058767628</c:v>
                </c:pt>
                <c:pt idx="157">
                  <c:v>1174.0758058767628</c:v>
                </c:pt>
                <c:pt idx="158">
                  <c:v>1174.0758058767628</c:v>
                </c:pt>
                <c:pt idx="159">
                  <c:v>1174.0758058767628</c:v>
                </c:pt>
                <c:pt idx="160">
                  <c:v>1174.0758058767628</c:v>
                </c:pt>
                <c:pt idx="161">
                  <c:v>1174.0758058767628</c:v>
                </c:pt>
                <c:pt idx="162">
                  <c:v>1174.0758058767628</c:v>
                </c:pt>
                <c:pt idx="163">
                  <c:v>1174.0758058767628</c:v>
                </c:pt>
                <c:pt idx="164">
                  <c:v>1174.0758058767628</c:v>
                </c:pt>
                <c:pt idx="165">
                  <c:v>1174.0758058767628</c:v>
                </c:pt>
                <c:pt idx="166">
                  <c:v>1174.0758058767628</c:v>
                </c:pt>
                <c:pt idx="167">
                  <c:v>1174.0758058767628</c:v>
                </c:pt>
                <c:pt idx="168">
                  <c:v>1174.0758058767628</c:v>
                </c:pt>
                <c:pt idx="169">
                  <c:v>1174.0758058767628</c:v>
                </c:pt>
                <c:pt idx="170">
                  <c:v>1174.0758058767628</c:v>
                </c:pt>
                <c:pt idx="171">
                  <c:v>1174.0758058767628</c:v>
                </c:pt>
                <c:pt idx="172">
                  <c:v>1174.0758058767628</c:v>
                </c:pt>
                <c:pt idx="173">
                  <c:v>1174.0758058767628</c:v>
                </c:pt>
                <c:pt idx="174">
                  <c:v>1174.0758058767628</c:v>
                </c:pt>
                <c:pt idx="175">
                  <c:v>1174.0758058767628</c:v>
                </c:pt>
                <c:pt idx="176">
                  <c:v>1174.0758058767628</c:v>
                </c:pt>
                <c:pt idx="177">
                  <c:v>1174.0758058767628</c:v>
                </c:pt>
                <c:pt idx="178">
                  <c:v>1174.0758058767628</c:v>
                </c:pt>
                <c:pt idx="179">
                  <c:v>1174.0758058767628</c:v>
                </c:pt>
                <c:pt idx="180">
                  <c:v>1174.0758058767628</c:v>
                </c:pt>
                <c:pt idx="181">
                  <c:v>1174.0758058767628</c:v>
                </c:pt>
                <c:pt idx="182">
                  <c:v>1174.0758058767628</c:v>
                </c:pt>
                <c:pt idx="183">
                  <c:v>1174.0758058767628</c:v>
                </c:pt>
                <c:pt idx="184">
                  <c:v>1174.0758058767628</c:v>
                </c:pt>
                <c:pt idx="185">
                  <c:v>1174.0758058767628</c:v>
                </c:pt>
                <c:pt idx="186">
                  <c:v>1174.0758058767628</c:v>
                </c:pt>
                <c:pt idx="187">
                  <c:v>1174.0758058767628</c:v>
                </c:pt>
                <c:pt idx="188">
                  <c:v>1174.0758058767628</c:v>
                </c:pt>
                <c:pt idx="189">
                  <c:v>1174.0758058767628</c:v>
                </c:pt>
                <c:pt idx="190">
                  <c:v>1174.0758058767628</c:v>
                </c:pt>
                <c:pt idx="191">
                  <c:v>1174.0758058767628</c:v>
                </c:pt>
                <c:pt idx="192">
                  <c:v>1174.0758058767628</c:v>
                </c:pt>
                <c:pt idx="193">
                  <c:v>1174.0758058767628</c:v>
                </c:pt>
                <c:pt idx="194">
                  <c:v>1174.0758058767628</c:v>
                </c:pt>
                <c:pt idx="195">
                  <c:v>1174.0758058767628</c:v>
                </c:pt>
                <c:pt idx="196">
                  <c:v>1174.0758058767628</c:v>
                </c:pt>
                <c:pt idx="197">
                  <c:v>1174.0758058767628</c:v>
                </c:pt>
                <c:pt idx="198">
                  <c:v>1174.0758058767628</c:v>
                </c:pt>
                <c:pt idx="199">
                  <c:v>1174.0758058767628</c:v>
                </c:pt>
                <c:pt idx="200">
                  <c:v>1174.0758058767628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3" sqref="G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7.53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0.75</v>
      </c>
      <c r="D9" s="36">
        <f t="shared" ref="D9:D18" si="0">C9*$C$5</f>
        <v>5.6475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0.25</v>
      </c>
      <c r="D10" s="36">
        <f t="shared" si="0"/>
        <v>1.8825000000000001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7.53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331</v>
      </c>
      <c r="C55" s="53">
        <v>20</v>
      </c>
      <c r="D55" s="53">
        <v>331</v>
      </c>
      <c r="E55" s="54"/>
      <c r="F55" s="54"/>
      <c r="G55" s="54"/>
      <c r="H55" s="54"/>
      <c r="I55" s="52">
        <f t="shared" si="1"/>
        <v>4.8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19</v>
      </c>
      <c r="C62" s="63">
        <v>19</v>
      </c>
      <c r="D62" s="63">
        <v>7</v>
      </c>
      <c r="E62" s="54"/>
      <c r="F62" s="54"/>
      <c r="G62" s="54"/>
      <c r="H62" s="54">
        <v>1</v>
      </c>
      <c r="I62" s="56">
        <f>IFERROR(B62/A62,"")</f>
        <v>1.9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91</v>
      </c>
      <c r="C63" s="63">
        <v>84</v>
      </c>
      <c r="D63" s="63">
        <v>42</v>
      </c>
      <c r="E63" s="54"/>
      <c r="F63" s="54">
        <v>0.4</v>
      </c>
      <c r="G63" s="54">
        <v>0.6</v>
      </c>
      <c r="H63" s="54"/>
      <c r="I63" s="52">
        <f>IF(A63&lt;&gt;0,(B63-(B62-D62))/(A63-A62),"")</f>
        <v>15.8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172</v>
      </c>
      <c r="C64" s="63">
        <v>123</v>
      </c>
      <c r="D64" s="63">
        <v>42</v>
      </c>
      <c r="E64" s="54"/>
      <c r="F64" s="54">
        <v>0.4</v>
      </c>
      <c r="G64" s="54">
        <v>0.6</v>
      </c>
      <c r="H64" s="54"/>
      <c r="I64" s="52">
        <f>IF(A64&lt;&gt;0,(B64-(B63-D63))/(A64-A63),"")</f>
        <v>24.6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256</v>
      </c>
      <c r="C65" s="63">
        <v>165</v>
      </c>
      <c r="D65" s="63">
        <v>42</v>
      </c>
      <c r="E65" s="54"/>
      <c r="F65" s="54">
        <v>0.5</v>
      </c>
      <c r="G65" s="54">
        <v>0.5</v>
      </c>
      <c r="H65" s="54"/>
      <c r="I65" s="52">
        <f>IF(A65&lt;&gt;0,(B65-(B64-D64))/(A65-A64),"")</f>
        <v>25.2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338</v>
      </c>
      <c r="C66" s="63">
        <v>205</v>
      </c>
      <c r="D66" s="63">
        <v>42</v>
      </c>
      <c r="E66" s="54"/>
      <c r="F66" s="54">
        <v>0.6</v>
      </c>
      <c r="G66" s="54">
        <v>0.4</v>
      </c>
      <c r="H66" s="54"/>
      <c r="I66" s="52">
        <f t="shared" ref="I66:I81" si="2">IF(A66&lt;&gt;0,(B66-(B65-D65))/(A66-A65),"")</f>
        <v>24.8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414</v>
      </c>
      <c r="C67" s="63">
        <v>239</v>
      </c>
      <c r="D67" s="63">
        <v>42</v>
      </c>
      <c r="E67" s="54"/>
      <c r="F67" s="54"/>
      <c r="G67" s="54"/>
      <c r="H67" s="54"/>
      <c r="I67" s="52">
        <f t="shared" si="2"/>
        <v>23.6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480</v>
      </c>
      <c r="C68" s="63">
        <v>263</v>
      </c>
      <c r="D68" s="63">
        <v>40</v>
      </c>
      <c r="E68" s="54"/>
      <c r="F68" s="54"/>
      <c r="G68" s="54"/>
      <c r="H68" s="54"/>
      <c r="I68" s="52">
        <f t="shared" si="2"/>
        <v>21.6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537</v>
      </c>
      <c r="C69" s="53">
        <v>280</v>
      </c>
      <c r="D69" s="53">
        <v>26</v>
      </c>
      <c r="E69" s="54"/>
      <c r="F69" s="54"/>
      <c r="G69" s="54"/>
      <c r="H69" s="54"/>
      <c r="I69" s="52">
        <f t="shared" si="2"/>
        <v>19.399999999999999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586</v>
      </c>
      <c r="C70" s="53">
        <v>303</v>
      </c>
      <c r="D70" s="53">
        <v>21</v>
      </c>
      <c r="E70" s="54"/>
      <c r="F70" s="54"/>
      <c r="G70" s="54"/>
      <c r="H70" s="54"/>
      <c r="I70" s="52">
        <f t="shared" si="2"/>
        <v>15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628</v>
      </c>
      <c r="C71" s="53">
        <v>324</v>
      </c>
      <c r="D71" s="53">
        <v>18</v>
      </c>
      <c r="E71" s="54"/>
      <c r="F71" s="54"/>
      <c r="G71" s="54"/>
      <c r="H71" s="54"/>
      <c r="I71" s="52">
        <f t="shared" si="2"/>
        <v>12.6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v>665</v>
      </c>
      <c r="C72" s="53">
        <v>343</v>
      </c>
      <c r="D72" s="53">
        <v>17</v>
      </c>
      <c r="E72" s="54"/>
      <c r="F72" s="54"/>
      <c r="G72" s="54"/>
      <c r="H72" s="54"/>
      <c r="I72" s="52">
        <f t="shared" si="2"/>
        <v>11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695</v>
      </c>
      <c r="C73" s="53">
        <v>356</v>
      </c>
      <c r="D73" s="53">
        <v>16</v>
      </c>
      <c r="E73" s="54"/>
      <c r="F73" s="54"/>
      <c r="G73" s="54"/>
      <c r="H73" s="54"/>
      <c r="I73" s="52">
        <f t="shared" si="2"/>
        <v>9.4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v>721</v>
      </c>
      <c r="C74" s="53">
        <v>366</v>
      </c>
      <c r="D74" s="53">
        <v>15</v>
      </c>
      <c r="E74" s="54"/>
      <c r="F74" s="54"/>
      <c r="G74" s="54"/>
      <c r="H74" s="54"/>
      <c r="I74" s="52">
        <f t="shared" si="2"/>
        <v>8.4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745</v>
      </c>
      <c r="C75" s="53">
        <v>375</v>
      </c>
      <c r="D75" s="53">
        <v>14</v>
      </c>
      <c r="E75" s="54"/>
      <c r="F75" s="54"/>
      <c r="G75" s="54"/>
      <c r="H75" s="54"/>
      <c r="I75" s="52">
        <f t="shared" si="2"/>
        <v>7.8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v>766</v>
      </c>
      <c r="C76" s="53">
        <v>382</v>
      </c>
      <c r="D76" s="53">
        <v>13</v>
      </c>
      <c r="E76" s="54"/>
      <c r="F76" s="54"/>
      <c r="G76" s="54"/>
      <c r="H76" s="54"/>
      <c r="I76" s="52">
        <f t="shared" si="2"/>
        <v>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Châtaignier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439.19854273764042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675.00969717491046</v>
      </c>
      <c r="AO3" s="62">
        <f>IF('Données projet'!E10&gt;30,$AM$33-$H$33,LOOKUP('Données projet'!$E$10,$A$3:$A$203,AM3:AM203)-LOOKUP('Données projet'!$E$10,$A$3:$A$203,$H$3:$H$203))</f>
        <v>572.99694897193285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439.19854273764042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</v>
      </c>
      <c r="AI4" s="14">
        <f>IF('Données projet'!$A$62&gt;35,AI3+AH4-AQ3,IF(A4&lt;'Données projet'!$A$62,$AF$205^A4,IF(A4='Données projet'!$A$62,'Données projet'!$B$62,AI3+AH4-AQ3)))</f>
        <v>1.3423796509621049</v>
      </c>
      <c r="AJ4" s="14">
        <f>AI4*VLOOKUP('Données projet'!$B$10,Paramètres!$A$1:$I$89,3,0)*VLOOKUP('Données projet'!$B$10,Paramètres!$A$1:$I$89,5,0)</f>
        <v>0.98423276008541516</v>
      </c>
      <c r="AK4" s="14">
        <f>EXP(-1.0587+0.8836*LN(AJ4)+0.284)</f>
        <v>0.45441566615213064</v>
      </c>
      <c r="AL4" s="22">
        <f t="shared" ref="AL4:AL67" si="4">(AJ4+AK4)*0.475*44/12</f>
        <v>2.5056460090303925</v>
      </c>
      <c r="AM4" s="62">
        <f t="shared" ref="AM4:AM67" si="5">AL4+(AD4+AE4)*44/12</f>
        <v>260.39453489791924</v>
      </c>
      <c r="AN4" s="62">
        <f ca="1">AVERAGE(OFFSET($AM$3,0,0,'Données projet'!$E$10+1,1))-AVERAGE(OFFSET($H$3,0,0,'Données projet'!$E$10+1,1))</f>
        <v>675.00969717491046</v>
      </c>
      <c r="AO4" s="62">
        <f>$AO$3</f>
        <v>572.99694897193285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439.19854273764042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</v>
      </c>
      <c r="AI5" s="14">
        <f>IF('Données projet'!$A$62&gt;35,AI4+AH5-AQ4,IF(A5&lt;'Données projet'!$A$62,$AF$205^A5,IF(A5='Données projet'!$A$62,'Données projet'!$B$62,AI4+AH5-AQ4)))</f>
        <v>1.8019831273171425</v>
      </c>
      <c r="AJ5" s="14">
        <f>AI5*VLOOKUP('Données projet'!$B$10,Paramètres!$A$1:$I$89,3,0)*VLOOKUP('Données projet'!$B$10,Paramètres!$A$1:$I$89,5,0)</f>
        <v>1.3212140289489287</v>
      </c>
      <c r="AK5" s="14">
        <f t="shared" ref="AK5:AK68" si="35">EXP(-1.0587+0.8836*LN(AJ5)+0.284)</f>
        <v>0.58944591680017422</v>
      </c>
      <c r="AL5" s="22">
        <f t="shared" si="4"/>
        <v>3.327732738846354</v>
      </c>
      <c r="AM5" s="62">
        <f t="shared" si="5"/>
        <v>262.43884384995749</v>
      </c>
      <c r="AN5" s="62">
        <f ca="1">AVERAGE(OFFSET($AM$3,0,0,'Données projet'!$E$10+1,1))-AVERAGE(OFFSET($H$3,0,0,'Données projet'!$E$10+1,1))</f>
        <v>675.00969717491046</v>
      </c>
      <c r="AO5" s="62">
        <f t="shared" ref="AO5:AO68" si="36">$AO$3</f>
        <v>572.99694897193285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439.19854273764042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</v>
      </c>
      <c r="AI6" s="14">
        <f>IF('Données projet'!$A$62&gt;35,AI5+AH6-AQ5,IF(A6&lt;'Données projet'!$A$62,$AF$205^A6,IF(A6='Données projet'!$A$62,'Données projet'!$B$62,AI5+AH6-AQ5)))</f>
        <v>2.4189454814875879</v>
      </c>
      <c r="AJ6" s="14">
        <f>AI6*VLOOKUP('Données projet'!$B$10,Paramètres!$A$1:$I$89,3,0)*VLOOKUP('Données projet'!$B$10,Paramètres!$A$1:$I$89,5,0)</f>
        <v>1.7735708270266992</v>
      </c>
      <c r="AK6" s="14">
        <f t="shared" si="35"/>
        <v>0.76460059525341872</v>
      </c>
      <c r="AL6" s="22">
        <f t="shared" si="4"/>
        <v>4.4206485604712045</v>
      </c>
      <c r="AM6" s="62">
        <f t="shared" si="5"/>
        <v>264.75398189380451</v>
      </c>
      <c r="AN6" s="62">
        <f ca="1">AVERAGE(OFFSET($AM$3,0,0,'Données projet'!$E$10+1,1))-AVERAGE(OFFSET($H$3,0,0,'Données projet'!$E$10+1,1))</f>
        <v>675.00969717491046</v>
      </c>
      <c r="AO6" s="62">
        <f t="shared" si="36"/>
        <v>572.99694897193285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439.19854273764042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</v>
      </c>
      <c r="AI7" s="14">
        <f>IF('Données projet'!$A$62&gt;35,AI6+AH7-AQ6,IF(A7&lt;'Données projet'!$A$62,$AF$205^A7,IF(A7='Données projet'!$A$62,'Données projet'!$B$62,AI6+AH7-AQ6)))</f>
        <v>3.247143191135669</v>
      </c>
      <c r="AJ7" s="14">
        <f>AI7*VLOOKUP('Données projet'!$B$10,Paramètres!$A$1:$I$89,3,0)*VLOOKUP('Données projet'!$B$10,Paramètres!$A$1:$I$89,5,0)</f>
        <v>2.3808053877406725</v>
      </c>
      <c r="AK7" s="14">
        <f t="shared" si="35"/>
        <v>0.99180273134383279</v>
      </c>
      <c r="AL7" s="22">
        <f t="shared" si="4"/>
        <v>5.8739591407388465</v>
      </c>
      <c r="AM7" s="62">
        <f t="shared" si="5"/>
        <v>267.4295146962944</v>
      </c>
      <c r="AN7" s="62">
        <f ca="1">AVERAGE(OFFSET($AM$3,0,0,'Données projet'!$E$10+1,1))-AVERAGE(OFFSET($H$3,0,0,'Données projet'!$E$10+1,1))</f>
        <v>675.00969717491046</v>
      </c>
      <c r="AO7" s="62">
        <f t="shared" si="36"/>
        <v>572.99694897193285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439.19854273764042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</v>
      </c>
      <c r="AI8" s="14">
        <f>IF('Données projet'!$A$62&gt;35,AI7+AH8-AQ7,IF(A8&lt;'Données projet'!$A$62,$AF$205^A8,IF(A8='Données projet'!$A$62,'Données projet'!$B$62,AI7+AH8-AQ7)))</f>
        <v>4.3588989435406749</v>
      </c>
      <c r="AJ8" s="14">
        <f>AI8*VLOOKUP('Données projet'!$B$10,Paramètres!$A$1:$I$89,3,0)*VLOOKUP('Données projet'!$B$10,Paramètres!$A$1:$I$89,5,0)</f>
        <v>3.1959447054040226</v>
      </c>
      <c r="AK8" s="14">
        <f t="shared" si="35"/>
        <v>1.2865182998910156</v>
      </c>
      <c r="AL8" s="22">
        <f t="shared" si="4"/>
        <v>7.8069564008888577</v>
      </c>
      <c r="AM8" s="62">
        <f t="shared" si="5"/>
        <v>270.58473417866662</v>
      </c>
      <c r="AN8" s="62">
        <f ca="1">AVERAGE(OFFSET($AM$3,0,0,'Données projet'!$E$10+1,1))-AVERAGE(OFFSET($H$3,0,0,'Données projet'!$E$10+1,1))</f>
        <v>675.00969717491046</v>
      </c>
      <c r="AO8" s="62">
        <f t="shared" si="36"/>
        <v>572.99694897193285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439.19854273764042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</v>
      </c>
      <c r="AI9" s="14">
        <f>IF('Données projet'!$A$62&gt;35,AI8+AH9-AQ8,IF(A9&lt;'Données projet'!$A$62,$AF$205^A9,IF(A9='Données projet'!$A$62,'Données projet'!$B$62,AI8+AH9-AQ8)))</f>
        <v>5.8512972424092187</v>
      </c>
      <c r="AJ9" s="14">
        <f>AI9*VLOOKUP('Données projet'!$B$10,Paramètres!$A$1:$I$89,3,0)*VLOOKUP('Données projet'!$B$10,Paramètres!$A$1:$I$89,5,0)</f>
        <v>4.290171138134439</v>
      </c>
      <c r="AK9" s="14">
        <f t="shared" si="35"/>
        <v>1.6688090117596963</v>
      </c>
      <c r="AL9" s="22">
        <f t="shared" si="4"/>
        <v>10.378557094398952</v>
      </c>
      <c r="AM9" s="62">
        <f t="shared" si="5"/>
        <v>274.37855709439896</v>
      </c>
      <c r="AN9" s="62">
        <f ca="1">AVERAGE(OFFSET($AM$3,0,0,'Données projet'!$E$10+1,1))-AVERAGE(OFFSET($H$3,0,0,'Données projet'!$E$10+1,1))</f>
        <v>675.00969717491046</v>
      </c>
      <c r="AO9" s="62">
        <f t="shared" si="36"/>
        <v>572.99694897193285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439.19854273764042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</v>
      </c>
      <c r="AI10" s="14">
        <f>IF('Données projet'!$A$62&gt;35,AI9+AH10-AQ9,IF(A10&lt;'Données projet'!$A$62,$AF$205^A10,IF(A10='Données projet'!$A$62,'Données projet'!$B$62,AI9+AH10-AQ9)))</f>
        <v>7.8546623499408135</v>
      </c>
      <c r="AJ10" s="14">
        <f>AI10*VLOOKUP('Données projet'!$B$10,Paramètres!$A$1:$I$89,3,0)*VLOOKUP('Données projet'!$B$10,Paramètres!$A$1:$I$89,5,0)</f>
        <v>5.7590384349766044</v>
      </c>
      <c r="AK10" s="14">
        <f t="shared" si="35"/>
        <v>2.1646979432521807</v>
      </c>
      <c r="AL10" s="22">
        <f t="shared" si="4"/>
        <v>13.800507525415135</v>
      </c>
      <c r="AM10" s="62">
        <f t="shared" si="5"/>
        <v>279.02272974763736</v>
      </c>
      <c r="AN10" s="62">
        <f ca="1">AVERAGE(OFFSET($AM$3,0,0,'Données projet'!$E$10+1,1))-AVERAGE(OFFSET($H$3,0,0,'Données projet'!$E$10+1,1))</f>
        <v>675.00969717491046</v>
      </c>
      <c r="AO10" s="62">
        <f t="shared" si="36"/>
        <v>572.99694897193285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439.19854273764042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</v>
      </c>
      <c r="AI11" s="14">
        <f>IF('Données projet'!$A$62&gt;35,AI10+AH11-AQ10,IF(A11&lt;'Données projet'!$A$62,$AF$205^A11,IF(A11='Données projet'!$A$62,'Données projet'!$B$62,AI10+AH11-AQ10)))</f>
        <v>10.543938903738736</v>
      </c>
      <c r="AJ11" s="14">
        <f>AI11*VLOOKUP('Données projet'!$B$10,Paramètres!$A$1:$I$89,3,0)*VLOOKUP('Données projet'!$B$10,Paramètres!$A$1:$I$89,5,0)</f>
        <v>7.730816004221241</v>
      </c>
      <c r="AK11" s="14">
        <f t="shared" si="35"/>
        <v>2.8079409641844508</v>
      </c>
      <c r="AL11" s="22">
        <f t="shared" si="4"/>
        <v>18.355001719973249</v>
      </c>
      <c r="AM11" s="62">
        <f t="shared" si="5"/>
        <v>284.7994461644177</v>
      </c>
      <c r="AN11" s="62">
        <f ca="1">AVERAGE(OFFSET($AM$3,0,0,'Données projet'!$E$10+1,1))-AVERAGE(OFFSET($H$3,0,0,'Données projet'!$E$10+1,1))</f>
        <v>675.00969717491046</v>
      </c>
      <c r="AO11" s="62">
        <f t="shared" si="36"/>
        <v>572.99694897193285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439.19854273764042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</v>
      </c>
      <c r="AI12" s="14">
        <f>IF('Données projet'!$A$62&gt;35,AI11+AH12-AQ11,IF(A12&lt;'Données projet'!$A$62,$AF$205^A12,IF(A12='Données projet'!$A$62,'Données projet'!$B$62,AI11+AH12-AQ11)))</f>
        <v>14.153969025366564</v>
      </c>
      <c r="AJ12" s="14">
        <f>AI12*VLOOKUP('Données projet'!$B$10,Paramètres!$A$1:$I$89,3,0)*VLOOKUP('Données projet'!$B$10,Paramètres!$A$1:$I$89,5,0)</f>
        <v>10.377690089398765</v>
      </c>
      <c r="AK12" s="14">
        <f t="shared" si="35"/>
        <v>3.6423245482922235</v>
      </c>
      <c r="AL12" s="22">
        <f t="shared" si="4"/>
        <v>24.418192160645134</v>
      </c>
      <c r="AM12" s="62">
        <f t="shared" si="5"/>
        <v>292.08485882731179</v>
      </c>
      <c r="AN12" s="62">
        <f ca="1">AVERAGE(OFFSET($AM$3,0,0,'Données projet'!$E$10+1,1))-AVERAGE(OFFSET($H$3,0,0,'Données projet'!$E$10+1,1))</f>
        <v>675.00969717491046</v>
      </c>
      <c r="AO12" s="62">
        <f t="shared" si="36"/>
        <v>572.99694897193285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439.19854273764042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19</v>
      </c>
      <c r="AG13" s="13">
        <f>VLOOKUP(A13,'Données projet'!$A$61:$I$81,9,0)</f>
        <v>1.9</v>
      </c>
      <c r="AH13" s="13">
        <f t="array" ref="AH13">INDEX(AG:AG,MIN(IF(ISNUMBER(AG13:AG209),ROW(AG13:AG209),"")))</f>
        <v>1.9</v>
      </c>
      <c r="AI13" s="14">
        <f>IF('Données projet'!$A$62&gt;35,AI12+AH13-AQ12,IF(A13&lt;'Données projet'!$A$62,$AF$205^A13,IF(A13='Données projet'!$A$62,'Données projet'!$B$62,AI12+AH13-AQ12)))</f>
        <v>19</v>
      </c>
      <c r="AJ13" s="14">
        <f>AI13*VLOOKUP('Données projet'!$B$10,Paramètres!$A$1:$I$89,3,0)*VLOOKUP('Données projet'!$B$10,Paramètres!$A$1:$I$89,5,0)</f>
        <v>13.9308</v>
      </c>
      <c r="AK13" s="14">
        <f t="shared" si="35"/>
        <v>4.7246463812124082</v>
      </c>
      <c r="AL13" s="22">
        <f t="shared" si="4"/>
        <v>32.491569113944941</v>
      </c>
      <c r="AM13" s="62">
        <f t="shared" si="5"/>
        <v>301.38045800283379</v>
      </c>
      <c r="AN13" s="62">
        <f ca="1">AVERAGE(OFFSET($AM$3,0,0,'Données projet'!$E$10+1,1))-AVERAGE(OFFSET($H$3,0,0,'Données projet'!$E$10+1,1))</f>
        <v>675.00969717491046</v>
      </c>
      <c r="AO13" s="62">
        <f t="shared" si="36"/>
        <v>572.99694897193285</v>
      </c>
      <c r="AP13" s="16">
        <f>IF(ISNA(VLOOKUP(A13,'Données projet'!$A$61:$I$81,3,0)),0,VLOOKUP(A13,'Données projet'!$A$61:$I$81,3,0))</f>
        <v>19</v>
      </c>
      <c r="AQ13" s="16">
        <f>IF(ISNA(VLOOKUP(A13,'Données projet'!$A$61:$I$81,4,0)),0,VLOOKUP(A13,'Données projet'!$A$61:$I$81,4,0))</f>
        <v>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439.19854273764042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15.8</v>
      </c>
      <c r="AI14" s="14">
        <f>IF('Données projet'!$A$62&gt;35,AI13+AH14-AQ13,IF(A14&lt;'Données projet'!$A$62,$AF$205^A14,IF(A14='Données projet'!$A$62,'Données projet'!$B$62,AI13+AH14-AQ13)))</f>
        <v>27.799999999999997</v>
      </c>
      <c r="AJ14" s="14">
        <f>AI14*VLOOKUP('Données projet'!$B$10,Paramètres!$A$1:$I$89,3,0)*VLOOKUP('Données projet'!$B$10,Paramètres!$A$1:$I$89,5,0)</f>
        <v>20.382959999999997</v>
      </c>
      <c r="AK14" s="14">
        <f t="shared" si="35"/>
        <v>6.6133363152690423</v>
      </c>
      <c r="AL14" s="22">
        <f t="shared" si="4"/>
        <v>47.018549415760241</v>
      </c>
      <c r="AM14" s="62">
        <f t="shared" si="5"/>
        <v>317.12966052687136</v>
      </c>
      <c r="AN14" s="62">
        <f ca="1">AVERAGE(OFFSET($AM$3,0,0,'Données projet'!$E$10+1,1))-AVERAGE(OFFSET($H$3,0,0,'Données projet'!$E$10+1,1))</f>
        <v>675.00969717491046</v>
      </c>
      <c r="AO14" s="62">
        <f t="shared" si="36"/>
        <v>572.99694897193285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439.19854273764042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15.8</v>
      </c>
      <c r="AI15" s="14">
        <f>IF('Données projet'!$A$62&gt;35,AI14+AH15-AQ14,IF(A15&lt;'Données projet'!$A$62,$AF$205^A15,IF(A15='Données projet'!$A$62,'Données projet'!$B$62,AI14+AH15-AQ14)))</f>
        <v>43.599999999999994</v>
      </c>
      <c r="AJ15" s="14">
        <f>AI15*VLOOKUP('Données projet'!$B$10,Paramètres!$A$1:$I$89,3,0)*VLOOKUP('Données projet'!$B$10,Paramètres!$A$1:$I$89,5,0)</f>
        <v>31.967519999999997</v>
      </c>
      <c r="AK15" s="14">
        <f t="shared" si="35"/>
        <v>9.8426691981282595</v>
      </c>
      <c r="AL15" s="22">
        <f t="shared" si="4"/>
        <v>72.819412853406718</v>
      </c>
      <c r="AM15" s="62">
        <f t="shared" si="5"/>
        <v>344.15274618674005</v>
      </c>
      <c r="AN15" s="62">
        <f ca="1">AVERAGE(OFFSET($AM$3,0,0,'Données projet'!$E$10+1,1))-AVERAGE(OFFSET($H$3,0,0,'Données projet'!$E$10+1,1))</f>
        <v>675.00969717491046</v>
      </c>
      <c r="AO15" s="62">
        <f t="shared" si="36"/>
        <v>572.99694897193285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439.19854273764042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15.8</v>
      </c>
      <c r="AI16" s="14">
        <f>IF('Données projet'!$A$62&gt;35,AI15+AH16-AQ15,IF(A16&lt;'Données projet'!$A$62,$AF$205^A16,IF(A16='Données projet'!$A$62,'Données projet'!$B$62,AI15+AH16-AQ15)))</f>
        <v>59.399999999999991</v>
      </c>
      <c r="AJ16" s="14">
        <f>AI16*VLOOKUP('Données projet'!$B$10,Paramètres!$A$1:$I$89,3,0)*VLOOKUP('Données projet'!$B$10,Paramètres!$A$1:$I$89,5,0)</f>
        <v>43.552079999999997</v>
      </c>
      <c r="AK16" s="14">
        <f t="shared" si="35"/>
        <v>12.935413913426672</v>
      </c>
      <c r="AL16" s="22">
        <f t="shared" si="4"/>
        <v>98.382385232551442</v>
      </c>
      <c r="AM16" s="62">
        <f t="shared" si="5"/>
        <v>370.93794078810697</v>
      </c>
      <c r="AN16" s="62">
        <f ca="1">AVERAGE(OFFSET($AM$3,0,0,'Données projet'!$E$10+1,1))-AVERAGE(OFFSET($H$3,0,0,'Données projet'!$E$10+1,1))</f>
        <v>675.00969717491046</v>
      </c>
      <c r="AO16" s="62">
        <f t="shared" si="36"/>
        <v>572.99694897193285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439.19854273764042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15.8</v>
      </c>
      <c r="AI17" s="14">
        <f>IF('Données projet'!$A$62&gt;35,AI16+AH17-AQ16,IF(A17&lt;'Données projet'!$A$62,$AF$205^A17,IF(A17='Données projet'!$A$62,'Données projet'!$B$62,AI16+AH17-AQ16)))</f>
        <v>75.199999999999989</v>
      </c>
      <c r="AJ17" s="14">
        <f>AI17*VLOOKUP('Données projet'!$B$10,Paramètres!$A$1:$I$89,3,0)*VLOOKUP('Données projet'!$B$10,Paramètres!$A$1:$I$89,5,0)</f>
        <v>55.136639999999993</v>
      </c>
      <c r="AK17" s="14">
        <f t="shared" si="35"/>
        <v>15.932675508045635</v>
      </c>
      <c r="AL17" s="22">
        <f t="shared" si="4"/>
        <v>123.77905784317947</v>
      </c>
      <c r="AM17" s="62">
        <f t="shared" si="5"/>
        <v>397.55683562095726</v>
      </c>
      <c r="AN17" s="62">
        <f ca="1">AVERAGE(OFFSET($AM$3,0,0,'Données projet'!$E$10+1,1))-AVERAGE(OFFSET($H$3,0,0,'Données projet'!$E$10+1,1))</f>
        <v>675.00969717491046</v>
      </c>
      <c r="AO17" s="62">
        <f t="shared" si="36"/>
        <v>572.99694897193285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439.19854273764042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91</v>
      </c>
      <c r="AG18" s="13">
        <f>VLOOKUP(A18,'Données projet'!$A$61:$I$81,9,0)</f>
        <v>15.8</v>
      </c>
      <c r="AH18" s="13">
        <f t="array" ref="AH18">INDEX(AG:AG,MIN(IF(ISNUMBER(AG18:AG214),ROW(AG18:AG214),"")))</f>
        <v>15.8</v>
      </c>
      <c r="AI18" s="14">
        <f>IF('Données projet'!$A$62&gt;35,AI17+AH18-AQ17,IF(A18&lt;'Données projet'!$A$62,$AF$205^A18,IF(A18='Données projet'!$A$62,'Données projet'!$B$62,AI17+AH18-AQ17)))</f>
        <v>90.999999999999986</v>
      </c>
      <c r="AJ18" s="14">
        <f>AI18*VLOOKUP('Données projet'!$B$10,Paramètres!$A$1:$I$89,3,0)*VLOOKUP('Données projet'!$B$10,Paramètres!$A$1:$I$89,5,0)</f>
        <v>66.721199999999982</v>
      </c>
      <c r="AK18" s="14">
        <f t="shared" si="35"/>
        <v>18.856956599005905</v>
      </c>
      <c r="AL18" s="22">
        <f t="shared" si="4"/>
        <v>149.0486227432686</v>
      </c>
      <c r="AM18" s="62">
        <f t="shared" si="5"/>
        <v>424.0486227432686</v>
      </c>
      <c r="AN18" s="62">
        <f ca="1">AVERAGE(OFFSET($AM$3,0,0,'Données projet'!$E$10+1,1))-AVERAGE(OFFSET($H$3,0,0,'Données projet'!$E$10+1,1))</f>
        <v>675.00969717491046</v>
      </c>
      <c r="AO18" s="62">
        <f t="shared" si="36"/>
        <v>572.99694897193285</v>
      </c>
      <c r="AP18" s="16">
        <f>IF(ISNA(VLOOKUP(A18,'Données projet'!$A$61:$I$81,3,0)),0,VLOOKUP(A18,'Données projet'!$A$61:$I$81,3,0))</f>
        <v>84</v>
      </c>
      <c r="AQ18" s="16">
        <f>IF(ISNA(VLOOKUP(A18,'Données projet'!$A$61:$I$81,4,0)),0,VLOOKUP(A18,'Données projet'!$A$61:$I$81,4,0))</f>
        <v>42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0.17200000000000001</v>
      </c>
      <c r="AT18" s="17">
        <f>IF(ISNA(VLOOKUP(A18,'Données projet'!$A$61:$I$81,7,0)),0%,VLOOKUP(A18,'Données projet'!$A$61:$I$81,7,0))</f>
        <v>0.6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5.8322206444661857</v>
      </c>
      <c r="AW18" s="23">
        <f>EXP(-LN(2)/2)*AW17+(1-EXP(-LN(2)/2))/(LN(2)/2)*AQ18*AT18*VLOOKUP('Données projet'!$B$10,Paramètres!$A$1:$I$89,3,0)*0.475*44/12</f>
        <v>17.433207131474497</v>
      </c>
      <c r="AX18" s="23">
        <f t="shared" si="6"/>
        <v>23.265427775940683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439.19854273764042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24.6</v>
      </c>
      <c r="AI19" s="14">
        <f>IF('Données projet'!$A$62&gt;35,AI18+AH19-AQ18,IF(A19&lt;'Données projet'!$A$62,$AF$205^A19,IF(A19='Données projet'!$A$62,'Données projet'!$B$62,AI18+AH19-AQ18)))</f>
        <v>73.599999999999994</v>
      </c>
      <c r="AJ19" s="14">
        <f>AI19*VLOOKUP('Données projet'!$B$10,Paramètres!$A$1:$I$89,3,0)*VLOOKUP('Données projet'!$B$10,Paramètres!$A$1:$I$89,5,0)</f>
        <v>53.963520000000003</v>
      </c>
      <c r="AK19" s="14">
        <f t="shared" si="35"/>
        <v>15.632767325516218</v>
      </c>
      <c r="AL19" s="22">
        <f t="shared" si="4"/>
        <v>121.2135337586074</v>
      </c>
      <c r="AM19" s="62">
        <f t="shared" si="5"/>
        <v>397.43575598082964</v>
      </c>
      <c r="AN19" s="62">
        <f ca="1">AVERAGE(OFFSET($AM$3,0,0,'Données projet'!$E$10+1,1))-AVERAGE(OFFSET($H$3,0,0,'Données projet'!$E$10+1,1))</f>
        <v>675.00969717491046</v>
      </c>
      <c r="AO19" s="62">
        <f t="shared" si="36"/>
        <v>572.99694897193285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5.6727382642401043</v>
      </c>
      <c r="AW19" s="23">
        <f>EXP(-LN(2)/2)*AW18+(1-EXP(-LN(2)/2))/(LN(2)/2)*AQ19*AT19*VLOOKUP('Données projet'!$B$10,Paramètres!$A$1:$I$89,3,0)*0.475*44/12</f>
        <v>12.327138980495297</v>
      </c>
      <c r="AX19" s="23">
        <f t="shared" si="6"/>
        <v>17.999877244735401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439.19854273764042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24.6</v>
      </c>
      <c r="AI20" s="14">
        <f>IF('Données projet'!$A$62&gt;35,AI19+AH20-AQ19,IF(A20&lt;'Données projet'!$A$62,$AF$205^A20,IF(A20='Données projet'!$A$62,'Données projet'!$B$62,AI19+AH20-AQ19)))</f>
        <v>98.199999999999989</v>
      </c>
      <c r="AJ20" s="14">
        <f>AI20*VLOOKUP('Données projet'!$B$10,Paramètres!$A$1:$I$89,3,0)*VLOOKUP('Données projet'!$B$10,Paramètres!$A$1:$I$89,5,0)</f>
        <v>72.000239999999991</v>
      </c>
      <c r="AK20" s="14">
        <f t="shared" si="35"/>
        <v>20.169370224271105</v>
      </c>
      <c r="AL20" s="22">
        <f t="shared" si="4"/>
        <v>160.52873780727217</v>
      </c>
      <c r="AM20" s="62">
        <f t="shared" si="5"/>
        <v>437.97318225171659</v>
      </c>
      <c r="AN20" s="62">
        <f ca="1">AVERAGE(OFFSET($AM$3,0,0,'Données projet'!$E$10+1,1))-AVERAGE(OFFSET($H$3,0,0,'Données projet'!$E$10+1,1))</f>
        <v>675.00969717491046</v>
      </c>
      <c r="AO20" s="62">
        <f t="shared" si="36"/>
        <v>572.99694897193285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5.5176169380881186</v>
      </c>
      <c r="AW20" s="23">
        <f>EXP(-LN(2)/2)*AW19+(1-EXP(-LN(2)/2))/(LN(2)/2)*AQ20*AT20*VLOOKUP('Données projet'!$B$10,Paramètres!$A$1:$I$89,3,0)*0.475*44/12</f>
        <v>8.71660356573725</v>
      </c>
      <c r="AX20" s="23">
        <f t="shared" si="6"/>
        <v>14.23422050382537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439.19854273764042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24.6</v>
      </c>
      <c r="AI21" s="14">
        <f>IF('Données projet'!$A$62&gt;35,AI20+AH21-AQ20,IF(A21&lt;'Données projet'!$A$62,$AF$205^A21,IF(A21='Données projet'!$A$62,'Données projet'!$B$62,AI20+AH21-AQ20)))</f>
        <v>122.79999999999998</v>
      </c>
      <c r="AJ21" s="14">
        <f>AI21*VLOOKUP('Données projet'!$B$10,Paramètres!$A$1:$I$89,3,0)*VLOOKUP('Données projet'!$B$10,Paramètres!$A$1:$I$89,5,0)</f>
        <v>90.036959999999979</v>
      </c>
      <c r="AK21" s="14">
        <f t="shared" si="35"/>
        <v>24.574138642898646</v>
      </c>
      <c r="AL21" s="22">
        <f t="shared" si="4"/>
        <v>199.61433013638177</v>
      </c>
      <c r="AM21" s="62">
        <f t="shared" si="5"/>
        <v>478.28099680304842</v>
      </c>
      <c r="AN21" s="62">
        <f ca="1">AVERAGE(OFFSET($AM$3,0,0,'Données projet'!$E$10+1,1))-AVERAGE(OFFSET($H$3,0,0,'Données projet'!$E$10+1,1))</f>
        <v>675.00969717491046</v>
      </c>
      <c r="AO21" s="62">
        <f t="shared" si="36"/>
        <v>572.99694897193285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5.3667374127572351</v>
      </c>
      <c r="AW21" s="23">
        <f>EXP(-LN(2)/2)*AW20+(1-EXP(-LN(2)/2))/(LN(2)/2)*AQ21*AT21*VLOOKUP('Données projet'!$B$10,Paramètres!$A$1:$I$89,3,0)*0.475*44/12</f>
        <v>6.1635694902476503</v>
      </c>
      <c r="AX21" s="23">
        <f t="shared" si="6"/>
        <v>11.530306903004885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439.19854273764042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24.6</v>
      </c>
      <c r="AI22" s="14">
        <f>IF('Données projet'!$A$62&gt;35,AI21+AH22-AQ21,IF(A22&lt;'Données projet'!$A$62,$AF$205^A22,IF(A22='Données projet'!$A$62,'Données projet'!$B$62,AI21+AH22-AQ21)))</f>
        <v>147.39999999999998</v>
      </c>
      <c r="AJ22" s="14">
        <f>AI22*VLOOKUP('Données projet'!$B$10,Paramètres!$A$1:$I$89,3,0)*VLOOKUP('Données projet'!$B$10,Paramètres!$A$1:$I$89,5,0)</f>
        <v>108.07368</v>
      </c>
      <c r="AK22" s="14">
        <f t="shared" si="35"/>
        <v>28.876662943781092</v>
      </c>
      <c r="AL22" s="22">
        <f t="shared" si="4"/>
        <v>238.52184729375207</v>
      </c>
      <c r="AM22" s="62">
        <f t="shared" si="5"/>
        <v>518.4107361826409</v>
      </c>
      <c r="AN22" s="62">
        <f ca="1">AVERAGE(OFFSET($AM$3,0,0,'Données projet'!$E$10+1,1))-AVERAGE(OFFSET($H$3,0,0,'Données projet'!$E$10+1,1))</f>
        <v>675.00969717491046</v>
      </c>
      <c r="AO22" s="62">
        <f t="shared" si="36"/>
        <v>572.99694897193285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5.2199836959809343</v>
      </c>
      <c r="AW22" s="23">
        <f>EXP(-LN(2)/2)*AW21+(1-EXP(-LN(2)/2))/(LN(2)/2)*AQ22*AT22*VLOOKUP('Données projet'!$B$10,Paramètres!$A$1:$I$89,3,0)*0.475*44/12</f>
        <v>4.3583017828686259</v>
      </c>
      <c r="AX22" s="23">
        <f t="shared" si="6"/>
        <v>9.5782854788495602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439.19854273764042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172</v>
      </c>
      <c r="AG23" s="13">
        <f>VLOOKUP(A23,'Données projet'!$A$61:$I$81,9,0)</f>
        <v>24.6</v>
      </c>
      <c r="AH23" s="13">
        <f t="array" ref="AH23">INDEX(AG:AG,MIN(IF(ISNUMBER(AG23:AG219),ROW(AG23:AG219),"")))</f>
        <v>24.6</v>
      </c>
      <c r="AI23" s="14">
        <f>IF('Données projet'!$A$62&gt;35,AI22+AH23-AQ22,IF(A23&lt;'Données projet'!$A$62,$AF$205^A23,IF(A23='Données projet'!$A$62,'Données projet'!$B$62,AI22+AH23-AQ22)))</f>
        <v>171.99999999999997</v>
      </c>
      <c r="AJ23" s="14">
        <f>AI23*VLOOKUP('Données projet'!$B$10,Paramètres!$A$1:$I$89,3,0)*VLOOKUP('Données projet'!$B$10,Paramètres!$A$1:$I$89,5,0)</f>
        <v>126.11039999999997</v>
      </c>
      <c r="AK23" s="14">
        <f t="shared" si="35"/>
        <v>33.096004194977844</v>
      </c>
      <c r="AL23" s="22">
        <f t="shared" si="4"/>
        <v>277.28448730625303</v>
      </c>
      <c r="AM23" s="62">
        <f t="shared" si="5"/>
        <v>558.39559841736423</v>
      </c>
      <c r="AN23" s="62">
        <f ca="1">AVERAGE(OFFSET($AM$3,0,0,'Données projet'!$E$10+1,1))-AVERAGE(OFFSET($H$3,0,0,'Données projet'!$E$10+1,1))</f>
        <v>675.00969717491046</v>
      </c>
      <c r="AO23" s="62">
        <f t="shared" si="36"/>
        <v>572.99694897193285</v>
      </c>
      <c r="AP23" s="16">
        <f>IF(ISNA(VLOOKUP(A23,'Données projet'!$A$61:$I$81,3,0)),0,VLOOKUP(A23,'Données projet'!$A$61:$I$81,3,0))</f>
        <v>123</v>
      </c>
      <c r="AQ23" s="16">
        <f>IF(ISNA(VLOOKUP(A23,'Données projet'!$A$61:$I$81,4,0)),0,VLOOKUP(A23,'Données projet'!$A$61:$I$81,4,0))</f>
        <v>42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0.17200000000000001</v>
      </c>
      <c r="AT23" s="17">
        <f>IF(ISNA(VLOOKUP(A23,'Données projet'!$A$61:$I$81,7,0)),0%,VLOOKUP(A23,'Données projet'!$A$61:$I$81,7,0))</f>
        <v>0.6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10.909463611773509</v>
      </c>
      <c r="AW23" s="23">
        <f>EXP(-LN(2)/2)*AW22+(1-EXP(-LN(2)/2))/(LN(2)/2)*AQ23*AT23*VLOOKUP('Données projet'!$B$10,Paramètres!$A$1:$I$89,3,0)*0.475*44/12</f>
        <v>20.514991876598323</v>
      </c>
      <c r="AX23" s="23">
        <f t="shared" si="6"/>
        <v>31.424455488371834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439.19854273764042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25.2</v>
      </c>
      <c r="AI24" s="14">
        <f>IF('Données projet'!$A$62&gt;35,AI23+AH24-AQ23,IF(A24&lt;'Données projet'!$A$62,$AF$205^A24,IF(A24='Données projet'!$A$62,'Données projet'!$B$62,AI23+AH24-AQ23)))</f>
        <v>155.19999999999996</v>
      </c>
      <c r="AJ24" s="14">
        <f>AI24*VLOOKUP('Données projet'!$B$10,Paramètres!$A$1:$I$89,3,0)*VLOOKUP('Données projet'!$B$10,Paramètres!$A$1:$I$89,5,0)</f>
        <v>113.79263999999996</v>
      </c>
      <c r="AK24" s="14">
        <f t="shared" si="35"/>
        <v>30.222789639068861</v>
      </c>
      <c r="AL24" s="22">
        <f t="shared" si="4"/>
        <v>250.82687328804488</v>
      </c>
      <c r="AM24" s="62">
        <f t="shared" si="5"/>
        <v>533.16020662137817</v>
      </c>
      <c r="AN24" s="62">
        <f ca="1">AVERAGE(OFFSET($AM$3,0,0,'Données projet'!$E$10+1,1))-AVERAGE(OFFSET($H$3,0,0,'Données projet'!$E$10+1,1))</f>
        <v>675.00969717491046</v>
      </c>
      <c r="AO24" s="62">
        <f t="shared" si="36"/>
        <v>572.99694897193285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10.611143755605806</v>
      </c>
      <c r="AW24" s="23">
        <f>EXP(-LN(2)/2)*AW23+(1-EXP(-LN(2)/2))/(LN(2)/2)*AQ24*AT24*VLOOKUP('Données projet'!$B$10,Paramètres!$A$1:$I$89,3,0)*0.475*44/12</f>
        <v>14.506289871929612</v>
      </c>
      <c r="AX24" s="23">
        <f t="shared" si="6"/>
        <v>25.117433627535419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439.19854273764042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25.2</v>
      </c>
      <c r="AI25" s="14">
        <f>IF('Données projet'!$A$62&gt;35,AI24+AH25-AQ24,IF(A25&lt;'Données projet'!$A$62,$AF$205^A25,IF(A25='Données projet'!$A$62,'Données projet'!$B$62,AI24+AH25-AQ24)))</f>
        <v>180.39999999999995</v>
      </c>
      <c r="AJ25" s="14">
        <f>AI25*VLOOKUP('Données projet'!$B$10,Paramètres!$A$1:$I$89,3,0)*VLOOKUP('Données projet'!$B$10,Paramètres!$A$1:$I$89,5,0)</f>
        <v>132.26927999999995</v>
      </c>
      <c r="AK25" s="14">
        <f t="shared" si="35"/>
        <v>34.520194019648734</v>
      </c>
      <c r="AL25" s="22">
        <f t="shared" si="4"/>
        <v>290.4916672508881</v>
      </c>
      <c r="AM25" s="62">
        <f t="shared" si="5"/>
        <v>574.04722280644364</v>
      </c>
      <c r="AN25" s="62">
        <f ca="1">AVERAGE(OFFSET($AM$3,0,0,'Données projet'!$E$10+1,1))-AVERAGE(OFFSET($H$3,0,0,'Données projet'!$E$10+1,1))</f>
        <v>675.00969717491046</v>
      </c>
      <c r="AO25" s="62">
        <f t="shared" si="36"/>
        <v>572.99694897193285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10.320981471592967</v>
      </c>
      <c r="AW25" s="23">
        <f>EXP(-LN(2)/2)*AW24+(1-EXP(-LN(2)/2))/(LN(2)/2)*AQ25*AT25*VLOOKUP('Données projet'!$B$10,Paramètres!$A$1:$I$89,3,0)*0.475*44/12</f>
        <v>10.257495938299163</v>
      </c>
      <c r="AX25" s="23">
        <f t="shared" si="6"/>
        <v>20.57847740989213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439.19854273764042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25.2</v>
      </c>
      <c r="AI26" s="14">
        <f>IF('Données projet'!$A$62&gt;35,AI25+AH26-AQ25,IF(A26&lt;'Données projet'!$A$62,$AF$205^A26,IF(A26='Données projet'!$A$62,'Données projet'!$B$62,AI25+AH26-AQ25)))</f>
        <v>205.59999999999994</v>
      </c>
      <c r="AJ26" s="14">
        <f>AI26*VLOOKUP('Données projet'!$B$10,Paramètres!$A$1:$I$89,3,0)*VLOOKUP('Données projet'!$B$10,Paramètres!$A$1:$I$89,5,0)</f>
        <v>150.74591999999996</v>
      </c>
      <c r="AK26" s="14">
        <f t="shared" si="35"/>
        <v>38.748049648099375</v>
      </c>
      <c r="AL26" s="22">
        <f t="shared" si="4"/>
        <v>330.03533047043965</v>
      </c>
      <c r="AM26" s="62">
        <f t="shared" si="5"/>
        <v>614.81310824821742</v>
      </c>
      <c r="AN26" s="62">
        <f ca="1">AVERAGE(OFFSET($AM$3,0,0,'Données projet'!$E$10+1,1))-AVERAGE(OFFSET($H$3,0,0,'Données projet'!$E$10+1,1))</f>
        <v>675.00969717491046</v>
      </c>
      <c r="AO26" s="62">
        <f t="shared" si="36"/>
        <v>572.99694897193285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10.038753690495431</v>
      </c>
      <c r="AW26" s="23">
        <f>EXP(-LN(2)/2)*AW25+(1-EXP(-LN(2)/2))/(LN(2)/2)*AQ26*AT26*VLOOKUP('Données projet'!$B$10,Paramètres!$A$1:$I$89,3,0)*0.475*44/12</f>
        <v>7.2531449359648068</v>
      </c>
      <c r="AX26" s="23">
        <f t="shared" si="6"/>
        <v>17.291898626460238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439.19854273764042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25.2</v>
      </c>
      <c r="AI27" s="14">
        <f>IF('Données projet'!$A$62&gt;35,AI26+AH27-AQ26,IF(A27&lt;'Données projet'!$A$62,$AF$205^A27,IF(A27='Données projet'!$A$62,'Données projet'!$B$62,AI26+AH27-AQ26)))</f>
        <v>230.79999999999993</v>
      </c>
      <c r="AJ27" s="14">
        <f>AI27*VLOOKUP('Données projet'!$B$10,Paramètres!$A$1:$I$89,3,0)*VLOOKUP('Données projet'!$B$10,Paramètres!$A$1:$I$89,5,0)</f>
        <v>169.22255999999993</v>
      </c>
      <c r="AK27" s="14">
        <f t="shared" si="35"/>
        <v>42.915856464527835</v>
      </c>
      <c r="AL27" s="22">
        <f t="shared" si="4"/>
        <v>369.47440867571919</v>
      </c>
      <c r="AM27" s="62">
        <f t="shared" si="5"/>
        <v>655.47440867571913</v>
      </c>
      <c r="AN27" s="62">
        <f ca="1">AVERAGE(OFFSET($AM$3,0,0,'Données projet'!$E$10+1,1))-AVERAGE(OFFSET($H$3,0,0,'Données projet'!$E$10+1,1))</f>
        <v>675.00969717491046</v>
      </c>
      <c r="AO27" s="62">
        <f t="shared" si="36"/>
        <v>572.99694897193285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9.7642434429137204</v>
      </c>
      <c r="AW27" s="23">
        <f>EXP(-LN(2)/2)*AW26+(1-EXP(-LN(2)/2))/(LN(2)/2)*AQ27*AT27*VLOOKUP('Données projet'!$B$10,Paramètres!$A$1:$I$89,3,0)*0.475*44/12</f>
        <v>5.1287479691495825</v>
      </c>
      <c r="AX27" s="23">
        <f t="shared" si="6"/>
        <v>14.892991412063303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439.19854273764042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256</v>
      </c>
      <c r="AG28" s="13">
        <f>VLOOKUP(A28,'Données projet'!$A$61:$I$81,9,0)</f>
        <v>25.2</v>
      </c>
      <c r="AH28" s="13">
        <f t="array" ref="AH28">INDEX(AG:AG,MIN(IF(ISNUMBER(AG28:AG224),ROW(AG28:AG224),"")))</f>
        <v>25.2</v>
      </c>
      <c r="AI28" s="14">
        <f>IF('Données projet'!$A$62&gt;35,AI27+AH28-AQ27,IF(A28&lt;'Données projet'!$A$62,$AF$205^A28,IF(A28='Données projet'!$A$62,'Données projet'!$B$62,AI27+AH28-AQ27)))</f>
        <v>255.99999999999991</v>
      </c>
      <c r="AJ28" s="14">
        <f>AI28*VLOOKUP('Données projet'!$B$10,Paramètres!$A$1:$I$89,3,0)*VLOOKUP('Données projet'!$B$10,Paramètres!$A$1:$I$89,5,0)</f>
        <v>187.69919999999993</v>
      </c>
      <c r="AK28" s="14">
        <f t="shared" si="35"/>
        <v>47.030918513510088</v>
      </c>
      <c r="AL28" s="22">
        <f t="shared" si="4"/>
        <v>408.82162307769659</v>
      </c>
      <c r="AM28" s="62">
        <f t="shared" si="5"/>
        <v>696.04384529991876</v>
      </c>
      <c r="AN28" s="62">
        <f ca="1">AVERAGE(OFFSET($AM$3,0,0,'Données projet'!$E$10+1,1))-AVERAGE(OFFSET($H$3,0,0,'Données projet'!$E$10+1,1))</f>
        <v>675.00969717491046</v>
      </c>
      <c r="AO28" s="62">
        <f t="shared" si="36"/>
        <v>572.99694897193285</v>
      </c>
      <c r="AP28" s="16">
        <f>IF(ISNA(VLOOKUP(A28,'Données projet'!$A$61:$I$81,3,0)),0,VLOOKUP(A28,'Données projet'!$A$61:$I$81,3,0))</f>
        <v>165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16.787515498070729</v>
      </c>
      <c r="AW28" s="23">
        <f>EXP(-LN(2)/2)*AW27+(1-EXP(-LN(2)/2))/(LN(2)/2)*AQ28*AT28*VLOOKUP('Données projet'!$B$10,Paramètres!$A$1:$I$89,3,0)*0.475*44/12</f>
        <v>18.154245077544488</v>
      </c>
      <c r="AX28" s="23">
        <f t="shared" si="6"/>
        <v>34.94176057561522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439.19854273764042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24.8</v>
      </c>
      <c r="AI29" s="14">
        <f>IF('Données projet'!$A$62&gt;35,AI28+AH29-AQ28,IF(A29&lt;'Données projet'!$A$62,$AF$205^A29,IF(A29='Données projet'!$A$62,'Données projet'!$B$62,AI28+AH29-AQ28)))</f>
        <v>238.7999999999999</v>
      </c>
      <c r="AJ29" s="14">
        <f>AI29*VLOOKUP('Données projet'!$B$10,Paramètres!$A$1:$I$89,3,0)*VLOOKUP('Données projet'!$B$10,Paramètres!$A$1:$I$89,5,0)</f>
        <v>175.08815999999993</v>
      </c>
      <c r="AK29" s="14">
        <f t="shared" si="35"/>
        <v>44.227638845714388</v>
      </c>
      <c r="AL29" s="22">
        <f t="shared" si="4"/>
        <v>381.9750163229524</v>
      </c>
      <c r="AM29" s="62">
        <f t="shared" si="5"/>
        <v>670.41946076739691</v>
      </c>
      <c r="AN29" s="62">
        <f ca="1">AVERAGE(OFFSET($AM$3,0,0,'Données projet'!$E$10+1,1))-AVERAGE(OFFSET($H$3,0,0,'Données projet'!$E$10+1,1))</f>
        <v>675.00969717491046</v>
      </c>
      <c r="AO29" s="62">
        <f t="shared" si="36"/>
        <v>572.99694897193285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16.328460003958913</v>
      </c>
      <c r="AW29" s="23">
        <f>EXP(-LN(2)/2)*AW28+(1-EXP(-LN(2)/2))/(LN(2)/2)*AQ29*AT29*VLOOKUP('Données projet'!$B$10,Paramètres!$A$1:$I$89,3,0)*0.475*44/12</f>
        <v>12.836989801654209</v>
      </c>
      <c r="AX29" s="23">
        <f t="shared" si="6"/>
        <v>29.165449805613122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439.19854273764042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24.8</v>
      </c>
      <c r="AI30" s="14">
        <f>IF('Données projet'!$A$62&gt;35,AI29+AH30-AQ29,IF(A30&lt;'Données projet'!$A$62,$AF$205^A30,IF(A30='Données projet'!$A$62,'Données projet'!$B$62,AI29+AH30-AQ29)))</f>
        <v>263.59999999999991</v>
      </c>
      <c r="AJ30" s="14">
        <f>AI30*VLOOKUP('Données projet'!$B$10,Paramètres!$A$1:$I$89,3,0)*VLOOKUP('Données projet'!$B$10,Paramètres!$A$1:$I$89,5,0)</f>
        <v>193.27151999999992</v>
      </c>
      <c r="AK30" s="14">
        <f t="shared" si="35"/>
        <v>48.262519257252961</v>
      </c>
      <c r="AL30" s="22">
        <f t="shared" si="4"/>
        <v>420.67178503971542</v>
      </c>
      <c r="AM30" s="62">
        <f t="shared" si="5"/>
        <v>710.3384517063821</v>
      </c>
      <c r="AN30" s="62">
        <f ca="1">AVERAGE(OFFSET($AM$3,0,0,'Données projet'!$E$10+1,1))-AVERAGE(OFFSET($H$3,0,0,'Données projet'!$E$10+1,1))</f>
        <v>675.00969717491046</v>
      </c>
      <c r="AO30" s="62">
        <f t="shared" si="36"/>
        <v>572.99694897193285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15.881957406474264</v>
      </c>
      <c r="AW30" s="23">
        <f>EXP(-LN(2)/2)*AW29+(1-EXP(-LN(2)/2))/(LN(2)/2)*AQ30*AT30*VLOOKUP('Données projet'!$B$10,Paramètres!$A$1:$I$89,3,0)*0.475*44/12</f>
        <v>9.0771225387722456</v>
      </c>
      <c r="AX30" s="23">
        <f t="shared" si="6"/>
        <v>24.959079945246508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439.19854273764042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24.8</v>
      </c>
      <c r="AI31" s="14">
        <f>IF('Données projet'!$A$62&gt;35,AI30+AH31-AQ30,IF(A31&lt;'Données projet'!$A$62,$AF$205^A31,IF(A31='Données projet'!$A$62,'Données projet'!$B$62,AI30+AH31-AQ30)))</f>
        <v>288.39999999999992</v>
      </c>
      <c r="AJ31" s="14">
        <f>AI31*VLOOKUP('Données projet'!$B$10,Paramètres!$A$1:$I$89,3,0)*VLOOKUP('Données projet'!$B$10,Paramètres!$A$1:$I$89,5,0)</f>
        <v>211.45487999999992</v>
      </c>
      <c r="AK31" s="14">
        <f t="shared" si="35"/>
        <v>52.253385720262855</v>
      </c>
      <c r="AL31" s="22">
        <f t="shared" si="4"/>
        <v>459.29189612945765</v>
      </c>
      <c r="AM31" s="62">
        <f t="shared" si="5"/>
        <v>750.18078501834657</v>
      </c>
      <c r="AN31" s="62">
        <f ca="1">AVERAGE(OFFSET($AM$3,0,0,'Données projet'!$E$10+1,1))-AVERAGE(OFFSET($H$3,0,0,'Données projet'!$E$10+1,1))</f>
        <v>675.00969717491046</v>
      </c>
      <c r="AO31" s="62">
        <f t="shared" si="36"/>
        <v>572.99694897193285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15.447664445998385</v>
      </c>
      <c r="AW31" s="23">
        <f>EXP(-LN(2)/2)*AW30+(1-EXP(-LN(2)/2))/(LN(2)/2)*AQ31*AT31*VLOOKUP('Données projet'!$B$10,Paramètres!$A$1:$I$89,3,0)*0.475*44/12</f>
        <v>6.4184949008271053</v>
      </c>
      <c r="AX31" s="23">
        <f t="shared" si="6"/>
        <v>21.866159346825491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439.19854273764042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24.8</v>
      </c>
      <c r="AI32" s="14">
        <f>IF('Données projet'!$A$62&gt;35,AI31+AH32-AQ31,IF(A32&lt;'Données projet'!$A$62,$AF$205^A32,IF(A32='Données projet'!$A$62,'Données projet'!$B$62,AI31+AH32-AQ31)))</f>
        <v>313.19999999999993</v>
      </c>
      <c r="AJ32" s="14">
        <f>AI32*VLOOKUP('Données projet'!$B$10,Paramètres!$A$1:$I$89,3,0)*VLOOKUP('Données projet'!$B$10,Paramètres!$A$1:$I$89,5,0)</f>
        <v>229.63823999999994</v>
      </c>
      <c r="AK32" s="14">
        <f t="shared" si="35"/>
        <v>56.204453396569633</v>
      </c>
      <c r="AL32" s="22">
        <f t="shared" si="4"/>
        <v>497.84269099902531</v>
      </c>
      <c r="AM32" s="62">
        <f t="shared" si="5"/>
        <v>789.95380211013639</v>
      </c>
      <c r="AN32" s="62">
        <f ca="1">AVERAGE(OFFSET($AM$3,0,0,'Données projet'!$E$10+1,1))-AVERAGE(OFFSET($H$3,0,0,'Données projet'!$E$10+1,1))</f>
        <v>675.00969717491046</v>
      </c>
      <c r="AO32" s="62">
        <f t="shared" si="36"/>
        <v>572.99694897193285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15.025247249365192</v>
      </c>
      <c r="AW32" s="23">
        <f>EXP(-LN(2)/2)*AW31+(1-EXP(-LN(2)/2))/(LN(2)/2)*AQ32*AT32*VLOOKUP('Données projet'!$B$10,Paramètres!$A$1:$I$89,3,0)*0.475*44/12</f>
        <v>4.5385612693861237</v>
      </c>
      <c r="AX32" s="23">
        <f t="shared" si="6"/>
        <v>19.563808518751316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439.19854273764042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338</v>
      </c>
      <c r="AG33" s="13">
        <f>VLOOKUP(A33,'Données projet'!$A$61:$I$81,9,0)</f>
        <v>24.8</v>
      </c>
      <c r="AH33" s="13">
        <f t="array" ref="AH33">INDEX(AG:AG,MIN(IF(ISNUMBER(AG33:AG229),ROW(AG33:AG229),"")))</f>
        <v>24.8</v>
      </c>
      <c r="AI33" s="14">
        <f>IF('Données projet'!$A$62&gt;35,AI32+AH33-AQ32,IF(A33&lt;'Données projet'!$A$62,$AF$205^A33,IF(A33='Données projet'!$A$62,'Données projet'!$B$62,AI32+AH33-AQ32)))</f>
        <v>337.99999999999994</v>
      </c>
      <c r="AJ33" s="14">
        <f>AI33*VLOOKUP('Données projet'!$B$10,Paramètres!$A$1:$I$89,3,0)*VLOOKUP('Données projet'!$B$10,Paramètres!$A$1:$I$89,5,0)</f>
        <v>247.82159999999993</v>
      </c>
      <c r="AK33" s="14">
        <f t="shared" si="35"/>
        <v>60.119231945607574</v>
      </c>
      <c r="AL33" s="22">
        <f t="shared" si="4"/>
        <v>536.33028230526634</v>
      </c>
      <c r="AM33" s="62">
        <f t="shared" si="5"/>
        <v>829.66361563859959</v>
      </c>
      <c r="AN33" s="62">
        <f ca="1">AVERAGE(OFFSET($AM$3,0,0,'Données projet'!$E$10+1,1))-AVERAGE(OFFSET($H$3,0,0,'Données projet'!$E$10+1,1))</f>
        <v>675.00969717491046</v>
      </c>
      <c r="AO33" s="62">
        <f t="shared" si="36"/>
        <v>572.99694897193285</v>
      </c>
      <c r="AP33" s="16">
        <f>IF(ISNA(VLOOKUP(A33,'Données projet'!$A$61:$I$81,3,0)),0,VLOOKUP(A33,'Données projet'!$A$61:$I$81,3,0))</f>
        <v>205</v>
      </c>
      <c r="AQ33" s="16">
        <f>IF(ISNA(VLOOKUP(A33,'Données projet'!$A$61:$I$81,4,0)),0,VLOOKUP(A33,'Données projet'!$A$61:$I$81,4,0))</f>
        <v>42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23.362712039887167</v>
      </c>
      <c r="AW33" s="23">
        <f>EXP(-LN(2)/2)*AW32+(1-EXP(-LN(2)/2))/(LN(2)/2)*AQ33*AT33*VLOOKUP('Données projet'!$B$10,Paramètres!$A$1:$I$89,3,0)*0.475*44/12</f>
        <v>14.83138553806322</v>
      </c>
      <c r="AX33" s="23">
        <f t="shared" si="6"/>
        <v>38.194097577950387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439.19854273764042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23.6</v>
      </c>
      <c r="AI34" s="14">
        <f>IF('Données projet'!$A$62&gt;35,AI33+AH34-AQ33,IF(A34&lt;'Données projet'!$A$62,$AF$205^A34,IF(A34='Données projet'!$A$62,'Données projet'!$B$62,AI33+AH34-AQ33)))</f>
        <v>319.59999999999997</v>
      </c>
      <c r="AJ34" s="14">
        <f>AI34*VLOOKUP('Données projet'!$B$10,Paramètres!$A$1:$I$89,3,0)*VLOOKUP('Données projet'!$B$10,Paramètres!$A$1:$I$89,5,0)</f>
        <v>234.33071999999999</v>
      </c>
      <c r="AK34" s="14">
        <f t="shared" si="35"/>
        <v>57.218065399995176</v>
      </c>
      <c r="AL34" s="22">
        <f t="shared" si="4"/>
        <v>507.78080123832484</v>
      </c>
      <c r="AM34" s="62">
        <f t="shared" si="5"/>
        <v>801.11413457165816</v>
      </c>
      <c r="AN34" s="62">
        <f ca="1">AVERAGE(OFFSET($AM$3,0,0,'Données projet'!$E$10+1,1))-AVERAGE(OFFSET($H$3,0,0,'Données projet'!$E$10+1,1))</f>
        <v>675.00969717491046</v>
      </c>
      <c r="AO34" s="62">
        <f t="shared" si="36"/>
        <v>572.99694897193285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22.723857450564822</v>
      </c>
      <c r="AW34" s="23">
        <f>EXP(-LN(2)/2)*AW33+(1-EXP(-LN(2)/2))/(LN(2)/2)*AQ34*AT34*VLOOKUP('Données projet'!$B$10,Paramètres!$A$1:$I$89,3,0)*0.475*44/12</f>
        <v>10.487373288356595</v>
      </c>
      <c r="AX34" s="23">
        <f t="shared" si="6"/>
        <v>33.211230738921415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439.19854273764042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23.6</v>
      </c>
      <c r="AI35" s="14">
        <f>IF('Données projet'!$A$62&gt;35,AI34+AH35-AQ34,IF(A35&lt;'Données projet'!$A$62,$AF$205^A35,IF(A35='Données projet'!$A$62,'Données projet'!$B$62,AI34+AH35-AQ34)))</f>
        <v>343.2</v>
      </c>
      <c r="AJ35" s="14">
        <f>AI35*VLOOKUP('Données projet'!$B$10,Paramètres!$A$1:$I$89,3,0)*VLOOKUP('Données projet'!$B$10,Paramètres!$A$1:$I$89,5,0)</f>
        <v>251.63423999999998</v>
      </c>
      <c r="AK35" s="14">
        <f t="shared" si="35"/>
        <v>60.935755936673303</v>
      </c>
      <c r="AL35" s="22">
        <f t="shared" si="4"/>
        <v>544.39274292303924</v>
      </c>
      <c r="AM35" s="62">
        <f t="shared" si="5"/>
        <v>837.72607625637261</v>
      </c>
      <c r="AN35" s="62">
        <f ca="1">AVERAGE(OFFSET($AM$3,0,0,'Données projet'!$E$10+1,1))-AVERAGE(OFFSET($H$3,0,0,'Données projet'!$E$10+1,1))</f>
        <v>675.00969717491046</v>
      </c>
      <c r="AO35" s="62">
        <f t="shared" si="36"/>
        <v>572.99694897193285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22.102472373583399</v>
      </c>
      <c r="AW35" s="23">
        <f>EXP(-LN(2)/2)*AW34+(1-EXP(-LN(2)/2))/(LN(2)/2)*AQ35*AT35*VLOOKUP('Données projet'!$B$10,Paramètres!$A$1:$I$89,3,0)*0.475*44/12</f>
        <v>7.4156927690316108</v>
      </c>
      <c r="AX35" s="23">
        <f t="shared" si="6"/>
        <v>29.518165142615011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439.19854273764042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23.6</v>
      </c>
      <c r="AI36" s="14">
        <f>IF('Données projet'!$A$62&gt;35,AI35+AH36-AQ35,IF(A36&lt;'Données projet'!$A$62,$AF$205^A36,IF(A36='Données projet'!$A$62,'Données projet'!$B$62,AI35+AH36-AQ35)))</f>
        <v>366.8</v>
      </c>
      <c r="AJ36" s="14">
        <f>AI36*VLOOKUP('Données projet'!$B$10,Paramètres!$A$1:$I$89,3,0)*VLOOKUP('Données projet'!$B$10,Paramètres!$A$1:$I$89,5,0)</f>
        <v>268.93775999999997</v>
      </c>
      <c r="AK36" s="14">
        <f t="shared" si="35"/>
        <v>64.623783456925594</v>
      </c>
      <c r="AL36" s="22">
        <f t="shared" si="4"/>
        <v>580.95302152081194</v>
      </c>
      <c r="AM36" s="62">
        <f t="shared" si="5"/>
        <v>874.2863548541452</v>
      </c>
      <c r="AN36" s="62">
        <f ca="1">AVERAGE(OFFSET($AM$3,0,0,'Données projet'!$E$10+1,1))-AVERAGE(OFFSET($H$3,0,0,'Données projet'!$E$10+1,1))</f>
        <v>675.00969717491046</v>
      </c>
      <c r="AO36" s="62">
        <f t="shared" si="36"/>
        <v>572.99694897193285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21.498079104209253</v>
      </c>
      <c r="AW36" s="23">
        <f>EXP(-LN(2)/2)*AW35+(1-EXP(-LN(2)/2))/(LN(2)/2)*AQ36*AT36*VLOOKUP('Données projet'!$B$10,Paramètres!$A$1:$I$89,3,0)*0.475*44/12</f>
        <v>5.2436866441782986</v>
      </c>
      <c r="AX36" s="23">
        <f t="shared" si="6"/>
        <v>26.74176574838755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439.19854273764042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23.6</v>
      </c>
      <c r="AI37" s="14">
        <f>IF('Données projet'!$A$62&gt;35,AI36+AH37-AQ36,IF(A37&lt;'Données projet'!$A$62,$AF$205^A37,IF(A37='Données projet'!$A$62,'Données projet'!$B$62,AI36+AH37-AQ36)))</f>
        <v>390.40000000000003</v>
      </c>
      <c r="AJ37" s="14">
        <f>AI37*VLOOKUP('Données projet'!$B$10,Paramètres!$A$1:$I$89,3,0)*VLOOKUP('Données projet'!$B$10,Paramètres!$A$1:$I$89,5,0)</f>
        <v>286.24128000000002</v>
      </c>
      <c r="AK37" s="14">
        <f t="shared" si="35"/>
        <v>68.284273706763841</v>
      </c>
      <c r="AL37" s="22">
        <f t="shared" si="4"/>
        <v>617.46533937261358</v>
      </c>
      <c r="AM37" s="62">
        <f t="shared" si="5"/>
        <v>910.79867270594696</v>
      </c>
      <c r="AN37" s="62">
        <f ca="1">AVERAGE(OFFSET($AM$3,0,0,'Données projet'!$E$10+1,1))-AVERAGE(OFFSET($H$3,0,0,'Données projet'!$E$10+1,1))</f>
        <v>675.00969717491046</v>
      </c>
      <c r="AO37" s="62">
        <f t="shared" si="36"/>
        <v>572.99694897193285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20.910213000569804</v>
      </c>
      <c r="AW37" s="23">
        <f>EXP(-LN(2)/2)*AW36+(1-EXP(-LN(2)/2))/(LN(2)/2)*AQ37*AT37*VLOOKUP('Données projet'!$B$10,Paramètres!$A$1:$I$89,3,0)*0.475*44/12</f>
        <v>3.7078463845158063</v>
      </c>
      <c r="AX37" s="23">
        <f t="shared" si="6"/>
        <v>24.618059385085612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439.19854273764042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414</v>
      </c>
      <c r="AG38" s="13">
        <f>VLOOKUP(A38,'Données projet'!$A$61:$I$81,9,0)</f>
        <v>23.6</v>
      </c>
      <c r="AH38" s="13">
        <f t="array" ref="AH38">INDEX(AG:AG,MIN(IF(ISNUMBER(AG38:AG234),ROW(AG38:AG234),"")))</f>
        <v>23.6</v>
      </c>
      <c r="AI38" s="14">
        <f>IF('Données projet'!$A$62&gt;35,AI37+AH38-AQ37,IF(A38&lt;'Données projet'!$A$62,$AF$205^A38,IF(A38='Données projet'!$A$62,'Données projet'!$B$62,AI37+AH38-AQ37)))</f>
        <v>414.00000000000006</v>
      </c>
      <c r="AJ38" s="14">
        <f>AI38*VLOOKUP('Données projet'!$B$10,Paramètres!$A$1:$I$89,3,0)*VLOOKUP('Données projet'!$B$10,Paramètres!$A$1:$I$89,5,0)</f>
        <v>303.54480000000001</v>
      </c>
      <c r="AK38" s="14">
        <f t="shared" si="35"/>
        <v>71.919080904752505</v>
      </c>
      <c r="AL38" s="22">
        <f t="shared" si="4"/>
        <v>653.93292590911062</v>
      </c>
      <c r="AM38" s="62">
        <f t="shared" si="5"/>
        <v>947.26625924244399</v>
      </c>
      <c r="AN38" s="62">
        <f ca="1">AVERAGE(OFFSET($AM$3,0,0,'Données projet'!$E$10+1,1))-AVERAGE(OFFSET($H$3,0,0,'Données projet'!$E$10+1,1))</f>
        <v>675.00969717491046</v>
      </c>
      <c r="AO38" s="62">
        <f t="shared" si="36"/>
        <v>572.99694897193285</v>
      </c>
      <c r="AP38" s="16">
        <f>IF(ISNA(VLOOKUP(A38,'Données projet'!$A$61:$I$81,3,0)),0,VLOOKUP(A38,'Données projet'!$A$61:$I$81,3,0))</f>
        <v>239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20.338422126448911</v>
      </c>
      <c r="AW38" s="23">
        <f>EXP(-LN(2)/2)*AW37+(1-EXP(-LN(2)/2))/(LN(2)/2)*AQ38*AT38*VLOOKUP('Données projet'!$B$10,Paramètres!$A$1:$I$89,3,0)*0.475*44/12</f>
        <v>2.6218433220891497</v>
      </c>
      <c r="AX38" s="23">
        <f t="shared" si="6"/>
        <v>22.96026544853806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439.19854273764042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21.6</v>
      </c>
      <c r="AI39" s="14">
        <f>IF('Données projet'!$A$62&gt;35,AI38+AH39-AQ38,IF(A39&lt;'Données projet'!$A$62,$AF$205^A39,IF(A39='Données projet'!$A$62,'Données projet'!$B$62,AI38+AH39-AQ38)))</f>
        <v>393.60000000000008</v>
      </c>
      <c r="AJ39" s="14">
        <f>AI39*VLOOKUP('Données projet'!$B$10,Paramètres!$A$1:$I$89,3,0)*VLOOKUP('Données projet'!$B$10,Paramètres!$A$1:$I$89,5,0)</f>
        <v>288.58752000000004</v>
      </c>
      <c r="AK39" s="14">
        <f t="shared" si="35"/>
        <v>68.778595743102784</v>
      </c>
      <c r="AL39" s="22">
        <f t="shared" si="4"/>
        <v>622.41265158590397</v>
      </c>
      <c r="AM39" s="62">
        <f t="shared" si="5"/>
        <v>915.74598491923734</v>
      </c>
      <c r="AN39" s="62">
        <f ca="1">AVERAGE(OFFSET($AM$3,0,0,'Données projet'!$E$10+1,1))-AVERAGE(OFFSET($H$3,0,0,'Données projet'!$E$10+1,1))</f>
        <v>675.00969717491046</v>
      </c>
      <c r="AO39" s="62">
        <f t="shared" si="36"/>
        <v>572.99694897193285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19.782266903850029</v>
      </c>
      <c r="AW39" s="23">
        <f>EXP(-LN(2)/2)*AW38+(1-EXP(-LN(2)/2))/(LN(2)/2)*AQ39*AT39*VLOOKUP('Données projet'!$B$10,Paramètres!$A$1:$I$89,3,0)*0.475*44/12</f>
        <v>1.8539231922579034</v>
      </c>
      <c r="AX39" s="23">
        <f t="shared" si="6"/>
        <v>21.636190096107931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439.19854273764042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21.6</v>
      </c>
      <c r="AI40" s="14">
        <f>IF('Données projet'!$A$62&gt;35,AI39+AH40-AQ39,IF(A40&lt;'Données projet'!$A$62,$AF$205^A40,IF(A40='Données projet'!$A$62,'Données projet'!$B$62,AI39+AH40-AQ39)))</f>
        <v>415.2000000000001</v>
      </c>
      <c r="AJ40" s="14">
        <f>AI40*VLOOKUP('Données projet'!$B$10,Paramètres!$A$1:$I$89,3,0)*VLOOKUP('Données projet'!$B$10,Paramètres!$A$1:$I$89,5,0)</f>
        <v>304.42464000000007</v>
      </c>
      <c r="AK40" s="14">
        <f t="shared" si="35"/>
        <v>72.103246096672578</v>
      </c>
      <c r="AL40" s="22">
        <f t="shared" si="4"/>
        <v>655.78606828503825</v>
      </c>
      <c r="AM40" s="62">
        <f t="shared" si="5"/>
        <v>949.11940161837151</v>
      </c>
      <c r="AN40" s="62">
        <f ca="1">AVERAGE(OFFSET($AM$3,0,0,'Données projet'!$E$10+1,1))-AVERAGE(OFFSET($H$3,0,0,'Données projet'!$E$10+1,1))</f>
        <v>675.00969717491046</v>
      </c>
      <c r="AO40" s="62">
        <f t="shared" si="36"/>
        <v>572.99694897193285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19.241319775060045</v>
      </c>
      <c r="AW40" s="23">
        <f>EXP(-LN(2)/2)*AW39+(1-EXP(-LN(2)/2))/(LN(2)/2)*AQ40*AT40*VLOOKUP('Données projet'!$B$10,Paramètres!$A$1:$I$89,3,0)*0.475*44/12</f>
        <v>1.3109216610445751</v>
      </c>
      <c r="AX40" s="23">
        <f t="shared" si="6"/>
        <v>20.55224143610462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439.19854273764042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21.6</v>
      </c>
      <c r="AI41" s="14">
        <f>IF('Données projet'!$A$62&gt;35,AI40+AH41-AQ40,IF(A41&lt;'Données projet'!$A$62,$AF$205^A41,IF(A41='Données projet'!$A$62,'Données projet'!$B$62,AI40+AH41-AQ40)))</f>
        <v>436.80000000000013</v>
      </c>
      <c r="AJ41" s="14">
        <f>AI41*VLOOKUP('Données projet'!$B$10,Paramètres!$A$1:$I$89,3,0)*VLOOKUP('Données projet'!$B$10,Paramètres!$A$1:$I$89,5,0)</f>
        <v>320.26176000000009</v>
      </c>
      <c r="AK41" s="14">
        <f t="shared" si="35"/>
        <v>75.407815329361952</v>
      </c>
      <c r="AL41" s="22">
        <f t="shared" si="4"/>
        <v>689.12451036530547</v>
      </c>
      <c r="AM41" s="62">
        <f t="shared" si="5"/>
        <v>982.45784369863873</v>
      </c>
      <c r="AN41" s="62">
        <f ca="1">AVERAGE(OFFSET($AM$3,0,0,'Données projet'!$E$10+1,1))-AVERAGE(OFFSET($H$3,0,0,'Données projet'!$E$10+1,1))</f>
        <v>675.00969717491046</v>
      </c>
      <c r="AO41" s="62">
        <f t="shared" si="36"/>
        <v>572.99694897193285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18.715164873953999</v>
      </c>
      <c r="AW41" s="23">
        <f>EXP(-LN(2)/2)*AW40+(1-EXP(-LN(2)/2))/(LN(2)/2)*AQ41*AT41*VLOOKUP('Données projet'!$B$10,Paramètres!$A$1:$I$89,3,0)*0.475*44/12</f>
        <v>0.92696159612895179</v>
      </c>
      <c r="AX41" s="23">
        <f t="shared" si="6"/>
        <v>19.64212647008295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439.19854273764042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21.6</v>
      </c>
      <c r="AI42" s="14">
        <f>IF('Données projet'!$A$62&gt;35,AI41+AH42-AQ41,IF(A42&lt;'Données projet'!$A$62,$AF$205^A42,IF(A42='Données projet'!$A$62,'Données projet'!$B$62,AI41+AH42-AQ41)))</f>
        <v>458.40000000000015</v>
      </c>
      <c r="AJ42" s="14">
        <f>AI42*VLOOKUP('Données projet'!$B$10,Paramètres!$A$1:$I$89,3,0)*VLOOKUP('Données projet'!$B$10,Paramètres!$A$1:$I$89,5,0)</f>
        <v>336.09888000000012</v>
      </c>
      <c r="AK42" s="14">
        <f t="shared" si="35"/>
        <v>78.69340979022968</v>
      </c>
      <c r="AL42" s="22">
        <f t="shared" si="4"/>
        <v>722.4299047179835</v>
      </c>
      <c r="AM42" s="62">
        <f t="shared" si="5"/>
        <v>1015.7632380513169</v>
      </c>
      <c r="AN42" s="62">
        <f ca="1">AVERAGE(OFFSET($AM$3,0,0,'Données projet'!$E$10+1,1))-AVERAGE(OFFSET($H$3,0,0,'Données projet'!$E$10+1,1))</f>
        <v>675.00969717491046</v>
      </c>
      <c r="AO42" s="62">
        <f t="shared" si="36"/>
        <v>572.99694897193285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18.20339770628798</v>
      </c>
      <c r="AW42" s="23">
        <f>EXP(-LN(2)/2)*AW41+(1-EXP(-LN(2)/2))/(LN(2)/2)*AQ42*AT42*VLOOKUP('Données projet'!$B$10,Paramètres!$A$1:$I$89,3,0)*0.475*44/12</f>
        <v>0.65546083052228765</v>
      </c>
      <c r="AX42" s="23">
        <f t="shared" si="6"/>
        <v>18.858858536810267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439.19854273764042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480</v>
      </c>
      <c r="AG43" s="13">
        <f>VLOOKUP(A43,'Données projet'!$A$61:$I$81,9,0)</f>
        <v>21.6</v>
      </c>
      <c r="AH43" s="13">
        <f t="array" ref="AH43">INDEX(AG:AG,MIN(IF(ISNUMBER(AG43:AG239),ROW(AG43:AG239),"")))</f>
        <v>21.6</v>
      </c>
      <c r="AI43" s="14">
        <f>IF('Données projet'!$A$62&gt;35,AI42+AH43-AQ42,IF(A43&lt;'Données projet'!$A$62,$AF$205^A43,IF(A43='Données projet'!$A$62,'Données projet'!$B$62,AI42+AH43-AQ42)))</f>
        <v>480.00000000000017</v>
      </c>
      <c r="AJ43" s="14">
        <f>AI43*VLOOKUP('Données projet'!$B$10,Paramètres!$A$1:$I$89,3,0)*VLOOKUP('Données projet'!$B$10,Paramètres!$A$1:$I$89,5,0)</f>
        <v>351.93600000000015</v>
      </c>
      <c r="AK43" s="14">
        <f t="shared" si="35"/>
        <v>81.961025673167214</v>
      </c>
      <c r="AL43" s="22">
        <f t="shared" si="4"/>
        <v>755.70398638076642</v>
      </c>
      <c r="AM43" s="62">
        <f t="shared" si="5"/>
        <v>1049.0373197140998</v>
      </c>
      <c r="AN43" s="62">
        <f ca="1">AVERAGE(OFFSET($AM$3,0,0,'Données projet'!$E$10+1,1))-AVERAGE(OFFSET($H$3,0,0,'Données projet'!$E$10+1,1))</f>
        <v>675.00969717491046</v>
      </c>
      <c r="AO43" s="62">
        <f t="shared" si="36"/>
        <v>572.99694897193285</v>
      </c>
      <c r="AP43" s="16">
        <f>IF(ISNA(VLOOKUP(A43,'Données projet'!$A$61:$I$81,3,0)),0,VLOOKUP(A43,'Données projet'!$A$61:$I$81,3,0))</f>
        <v>263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17.705624838734455</v>
      </c>
      <c r="AW43" s="23">
        <f>EXP(-LN(2)/2)*AW42+(1-EXP(-LN(2)/2))/(LN(2)/2)*AQ43*AT43*VLOOKUP('Données projet'!$B$10,Paramètres!$A$1:$I$89,3,0)*0.475*44/12</f>
        <v>0.46348079806447601</v>
      </c>
      <c r="AX43" s="23">
        <f t="shared" si="6"/>
        <v>18.169105636798932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439.19854273764042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19.399999999999999</v>
      </c>
      <c r="AI44" s="14">
        <f>IF('Données projet'!$A$62&gt;35,AI43+AH44-AQ43,IF(A44&lt;'Données projet'!$A$62,$AF$205^A44,IF(A44='Données projet'!$A$62,'Données projet'!$B$62,AI43+AH44-AQ43)))</f>
        <v>459.40000000000015</v>
      </c>
      <c r="AJ44" s="14">
        <f>AI44*VLOOKUP('Données projet'!$B$10,Paramètres!$A$1:$I$89,3,0)*VLOOKUP('Données projet'!$B$10,Paramètres!$A$1:$I$89,5,0)</f>
        <v>336.83208000000013</v>
      </c>
      <c r="AK44" s="14">
        <f t="shared" si="35"/>
        <v>78.845077931249421</v>
      </c>
      <c r="AL44" s="22">
        <f t="shared" si="4"/>
        <v>723.97105006359288</v>
      </c>
      <c r="AM44" s="62">
        <f t="shared" si="5"/>
        <v>1017.3043833969261</v>
      </c>
      <c r="AN44" s="62">
        <f ca="1">AVERAGE(OFFSET($AM$3,0,0,'Données projet'!$E$10+1,1))-AVERAGE(OFFSET($H$3,0,0,'Données projet'!$E$10+1,1))</f>
        <v>675.00969717491046</v>
      </c>
      <c r="AO44" s="62">
        <f t="shared" si="36"/>
        <v>572.99694897193285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17.221463596420918</v>
      </c>
      <c r="AW44" s="23">
        <f>EXP(-LN(2)/2)*AW43+(1-EXP(-LN(2)/2))/(LN(2)/2)*AQ44*AT44*VLOOKUP('Données projet'!$B$10,Paramètres!$A$1:$I$89,3,0)*0.475*44/12</f>
        <v>0.32773041526114388</v>
      </c>
      <c r="AX44" s="23">
        <f t="shared" si="6"/>
        <v>17.549194011682062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439.19854273764042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19.399999999999999</v>
      </c>
      <c r="AI45" s="14">
        <f>IF('Données projet'!$A$62&gt;35,AI44+AH45-AQ44,IF(A45&lt;'Données projet'!$A$62,$AF$205^A45,IF(A45='Données projet'!$A$62,'Données projet'!$B$62,AI44+AH45-AQ44)))</f>
        <v>478.80000000000013</v>
      </c>
      <c r="AJ45" s="14">
        <f>AI45*VLOOKUP('Données projet'!$B$10,Paramètres!$A$1:$I$89,3,0)*VLOOKUP('Données projet'!$B$10,Paramètres!$A$1:$I$89,5,0)</f>
        <v>351.05616000000009</v>
      </c>
      <c r="AK45" s="14">
        <f t="shared" si="35"/>
        <v>81.779947399862635</v>
      </c>
      <c r="AL45" s="22">
        <f t="shared" si="4"/>
        <v>753.85622038809424</v>
      </c>
      <c r="AM45" s="62">
        <f t="shared" si="5"/>
        <v>1047.1895537214275</v>
      </c>
      <c r="AN45" s="62">
        <f ca="1">AVERAGE(OFFSET($AM$3,0,0,'Données projet'!$E$10+1,1))-AVERAGE(OFFSET($H$3,0,0,'Données projet'!$E$10+1,1))</f>
        <v>675.00969717491046</v>
      </c>
      <c r="AO45" s="62">
        <f t="shared" si="36"/>
        <v>572.99694897193285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16.750541768739378</v>
      </c>
      <c r="AW45" s="23">
        <f>EXP(-LN(2)/2)*AW44+(1-EXP(-LN(2)/2))/(LN(2)/2)*AQ45*AT45*VLOOKUP('Données projet'!$B$10,Paramètres!$A$1:$I$89,3,0)*0.475*44/12</f>
        <v>0.23174039903223803</v>
      </c>
      <c r="AX45" s="23">
        <f t="shared" si="6"/>
        <v>16.982282167771615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439.19854273764042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19.399999999999999</v>
      </c>
      <c r="AI46" s="14">
        <f>IF('Données projet'!$A$62&gt;35,AI45+AH46-AQ45,IF(A46&lt;'Données projet'!$A$62,$AF$205^A46,IF(A46='Données projet'!$A$62,'Données projet'!$B$62,AI45+AH46-AQ45)))</f>
        <v>498.2000000000001</v>
      </c>
      <c r="AJ46" s="14">
        <f>AI46*VLOOKUP('Données projet'!$B$10,Paramètres!$A$1:$I$89,3,0)*VLOOKUP('Données projet'!$B$10,Paramètres!$A$1:$I$89,5,0)</f>
        <v>365.28024000000005</v>
      </c>
      <c r="AK46" s="14">
        <f t="shared" si="35"/>
        <v>84.701003768659135</v>
      </c>
      <c r="AL46" s="22">
        <f t="shared" si="4"/>
        <v>783.71733289708129</v>
      </c>
      <c r="AM46" s="62">
        <f t="shared" si="5"/>
        <v>1077.0506662304147</v>
      </c>
      <c r="AN46" s="62">
        <f ca="1">AVERAGE(OFFSET($AM$3,0,0,'Données projet'!$E$10+1,1))-AVERAGE(OFFSET($H$3,0,0,'Données projet'!$E$10+1,1))</f>
        <v>675.00969717491046</v>
      </c>
      <c r="AO46" s="62">
        <f t="shared" si="36"/>
        <v>572.99694897193285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16.292497323200493</v>
      </c>
      <c r="AW46" s="23">
        <f>EXP(-LN(2)/2)*AW45+(1-EXP(-LN(2)/2))/(LN(2)/2)*AQ46*AT46*VLOOKUP('Données projet'!$B$10,Paramètres!$A$1:$I$89,3,0)*0.475*44/12</f>
        <v>0.16386520763057197</v>
      </c>
      <c r="AX46" s="23">
        <f t="shared" si="6"/>
        <v>16.456362530831065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439.19854273764042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19.399999999999999</v>
      </c>
      <c r="AI47" s="14">
        <f>IF('Données projet'!$A$62&gt;35,AI46+AH47-AQ46,IF(A47&lt;'Données projet'!$A$62,$AF$205^A47,IF(A47='Données projet'!$A$62,'Données projet'!$B$62,AI46+AH47-AQ46)))</f>
        <v>517.60000000000014</v>
      </c>
      <c r="AJ47" s="14">
        <f>AI47*VLOOKUP('Données projet'!$B$10,Paramètres!$A$1:$I$89,3,0)*VLOOKUP('Données projet'!$B$10,Paramètres!$A$1:$I$89,5,0)</f>
        <v>379.50432000000006</v>
      </c>
      <c r="AK47" s="14">
        <f t="shared" si="35"/>
        <v>87.608846481770726</v>
      </c>
      <c r="AL47" s="22">
        <f t="shared" si="4"/>
        <v>813.55543162241747</v>
      </c>
      <c r="AM47" s="62">
        <f t="shared" si="5"/>
        <v>1106.8887649557507</v>
      </c>
      <c r="AN47" s="62">
        <f ca="1">AVERAGE(OFFSET($AM$3,0,0,'Données projet'!$E$10+1,1))-AVERAGE(OFFSET($H$3,0,0,'Données projet'!$E$10+1,1))</f>
        <v>675.00969717491046</v>
      </c>
      <c r="AO47" s="62">
        <f t="shared" si="36"/>
        <v>572.99694897193285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15.846978127112378</v>
      </c>
      <c r="AW47" s="23">
        <f>EXP(-LN(2)/2)*AW46+(1-EXP(-LN(2)/2))/(LN(2)/2)*AQ47*AT47*VLOOKUP('Données projet'!$B$10,Paramètres!$A$1:$I$89,3,0)*0.475*44/12</f>
        <v>0.11587019951611904</v>
      </c>
      <c r="AX47" s="23">
        <f t="shared" si="6"/>
        <v>15.962848326628496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439.19854273764042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537</v>
      </c>
      <c r="AG48" s="13">
        <f>VLOOKUP(A48,'Données projet'!$A$61:$I$81,9,0)</f>
        <v>19.399999999999999</v>
      </c>
      <c r="AH48" s="13">
        <f t="array" ref="AH48">INDEX(AG:AG,MIN(IF(ISNUMBER(AG48:AG244),ROW(AG48:AG244),"")))</f>
        <v>19.399999999999999</v>
      </c>
      <c r="AI48" s="14">
        <f>IF('Données projet'!$A$62&gt;35,AI47+AH48-AQ47,IF(A48&lt;'Données projet'!$A$62,$AF$205^A48,IF(A48='Données projet'!$A$62,'Données projet'!$B$62,AI47+AH48-AQ47)))</f>
        <v>537.00000000000011</v>
      </c>
      <c r="AJ48" s="14">
        <f>AI48*VLOOKUP('Données projet'!$B$10,Paramètres!$A$1:$I$89,3,0)*VLOOKUP('Données projet'!$B$10,Paramètres!$A$1:$I$89,5,0)</f>
        <v>393.72840000000008</v>
      </c>
      <c r="AK48" s="14">
        <f t="shared" si="35"/>
        <v>90.504027502577912</v>
      </c>
      <c r="AL48" s="22">
        <f t="shared" si="4"/>
        <v>843.37147790032338</v>
      </c>
      <c r="AM48" s="62">
        <f t="shared" si="5"/>
        <v>1136.7048112336568</v>
      </c>
      <c r="AN48" s="62">
        <f ca="1">AVERAGE(OFFSET($AM$3,0,0,'Données projet'!$E$10+1,1))-AVERAGE(OFFSET($H$3,0,0,'Données projet'!$E$10+1,1))</f>
        <v>675.00969717491046</v>
      </c>
      <c r="AO48" s="62">
        <f t="shared" si="36"/>
        <v>572.99694897193285</v>
      </c>
      <c r="AP48" s="16">
        <f>IF(ISNA(VLOOKUP(A48,'Données projet'!$A$61:$I$81,3,0)),0,VLOOKUP(A48,'Données projet'!$A$61:$I$81,3,0))</f>
        <v>280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15.413641676870128</v>
      </c>
      <c r="AW48" s="23">
        <f>EXP(-LN(2)/2)*AW47+(1-EXP(-LN(2)/2))/(LN(2)/2)*AQ48*AT48*VLOOKUP('Données projet'!$B$10,Paramètres!$A$1:$I$89,3,0)*0.475*44/12</f>
        <v>8.1932603815285998E-2</v>
      </c>
      <c r="AX48" s="23">
        <f t="shared" si="6"/>
        <v>15.495574280685414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439.19854273764042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</v>
      </c>
      <c r="AI49" s="14">
        <f>IF('Données projet'!$A$62&gt;35,AI48+AH49-AQ48,IF(A49&lt;'Données projet'!$A$62,$AF$205^A49,IF(A49='Données projet'!$A$62,'Données projet'!$B$62,AI48+AH49-AQ48)))</f>
        <v>526.00000000000011</v>
      </c>
      <c r="AJ49" s="14">
        <f>AI49*VLOOKUP('Données projet'!$B$10,Paramètres!$A$1:$I$89,3,0)*VLOOKUP('Données projet'!$B$10,Paramètres!$A$1:$I$89,5,0)</f>
        <v>385.66320000000007</v>
      </c>
      <c r="AK49" s="14">
        <f t="shared" si="35"/>
        <v>88.86395349296626</v>
      </c>
      <c r="AL49" s="22">
        <f t="shared" si="4"/>
        <v>826.46812566691642</v>
      </c>
      <c r="AM49" s="62">
        <f t="shared" si="5"/>
        <v>1119.8014590002497</v>
      </c>
      <c r="AN49" s="62">
        <f ca="1">AVERAGE(OFFSET($AM$3,0,0,'Données projet'!$E$10+1,1))-AVERAGE(OFFSET($H$3,0,0,'Données projet'!$E$10+1,1))</f>
        <v>675.00969717491046</v>
      </c>
      <c r="AO49" s="62">
        <f t="shared" si="36"/>
        <v>572.99694897193285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14.992154834647927</v>
      </c>
      <c r="AW49" s="23">
        <f>EXP(-LN(2)/2)*AW48+(1-EXP(-LN(2)/2))/(LN(2)/2)*AQ49*AT49*VLOOKUP('Données projet'!$B$10,Paramètres!$A$1:$I$89,3,0)*0.475*44/12</f>
        <v>5.7935099758059529E-2</v>
      </c>
      <c r="AX49" s="23">
        <f t="shared" si="6"/>
        <v>15.050089934405987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439.19854273764042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</v>
      </c>
      <c r="AI50" s="14">
        <f>IF('Données projet'!$A$62&gt;35,AI49+AH50-AQ49,IF(A50&lt;'Données projet'!$A$62,$AF$205^A50,IF(A50='Données projet'!$A$62,'Données projet'!$B$62,AI49+AH50-AQ49)))</f>
        <v>541.00000000000011</v>
      </c>
      <c r="AJ50" s="14">
        <f>AI50*VLOOKUP('Données projet'!$B$10,Paramètres!$A$1:$I$89,3,0)*VLOOKUP('Données projet'!$B$10,Paramètres!$A$1:$I$89,5,0)</f>
        <v>396.66120000000006</v>
      </c>
      <c r="AK50" s="14">
        <f t="shared" si="35"/>
        <v>91.099444904009161</v>
      </c>
      <c r="AL50" s="22">
        <f t="shared" si="4"/>
        <v>849.5164565411493</v>
      </c>
      <c r="AM50" s="62">
        <f t="shared" si="5"/>
        <v>1142.8497898744827</v>
      </c>
      <c r="AN50" s="62">
        <f ca="1">AVERAGE(OFFSET($AM$3,0,0,'Données projet'!$E$10+1,1))-AVERAGE(OFFSET($H$3,0,0,'Données projet'!$E$10+1,1))</f>
        <v>675.00969717491046</v>
      </c>
      <c r="AO50" s="62">
        <f t="shared" si="36"/>
        <v>572.99694897193285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14.582193572291322</v>
      </c>
      <c r="AW50" s="23">
        <f>EXP(-LN(2)/2)*AW49+(1-EXP(-LN(2)/2))/(LN(2)/2)*AQ50*AT50*VLOOKUP('Données projet'!$B$10,Paramètres!$A$1:$I$89,3,0)*0.475*44/12</f>
        <v>4.0966301907643006E-2</v>
      </c>
      <c r="AX50" s="23">
        <f t="shared" si="6"/>
        <v>14.623159874198965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439.19854273764042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15</v>
      </c>
      <c r="AI51" s="14">
        <f>IF('Données projet'!$A$62&gt;35,AI50+AH51-AQ50,IF(A51&lt;'Données projet'!$A$62,$AF$205^A51,IF(A51='Données projet'!$A$62,'Données projet'!$B$62,AI50+AH51-AQ50)))</f>
        <v>556.00000000000011</v>
      </c>
      <c r="AJ51" s="14">
        <f>AI51*VLOOKUP('Données projet'!$B$10,Paramètres!$A$1:$I$89,3,0)*VLOOKUP('Données projet'!$B$10,Paramètres!$A$1:$I$89,5,0)</f>
        <v>407.65920000000011</v>
      </c>
      <c r="AK51" s="14">
        <f t="shared" si="35"/>
        <v>93.327732241146009</v>
      </c>
      <c r="AL51" s="22">
        <f t="shared" si="4"/>
        <v>872.55224031999614</v>
      </c>
      <c r="AM51" s="62">
        <f t="shared" si="5"/>
        <v>1165.8855736533294</v>
      </c>
      <c r="AN51" s="62">
        <f ca="1">AVERAGE(OFFSET($AM$3,0,0,'Données projet'!$E$10+1,1))-AVERAGE(OFFSET($H$3,0,0,'Données projet'!$E$10+1,1))</f>
        <v>675.00969717491046</v>
      </c>
      <c r="AO51" s="62">
        <f t="shared" si="36"/>
        <v>572.99694897193285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14.183442722212783</v>
      </c>
      <c r="AW51" s="23">
        <f>EXP(-LN(2)/2)*AW50+(1-EXP(-LN(2)/2))/(LN(2)/2)*AQ51*AT51*VLOOKUP('Données projet'!$B$10,Paramètres!$A$1:$I$89,3,0)*0.475*44/12</f>
        <v>2.8967549879029768E-2</v>
      </c>
      <c r="AX51" s="23">
        <f t="shared" si="6"/>
        <v>14.212410272091812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439.19854273764042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</v>
      </c>
      <c r="AI52" s="14">
        <f>IF('Données projet'!$A$62&gt;35,AI51+AH52-AQ51,IF(A52&lt;'Données projet'!$A$62,$AF$205^A52,IF(A52='Données projet'!$A$62,'Données projet'!$B$62,AI51+AH52-AQ51)))</f>
        <v>571.00000000000011</v>
      </c>
      <c r="AJ52" s="14">
        <f>AI52*VLOOKUP('Données projet'!$B$10,Paramètres!$A$1:$I$89,3,0)*VLOOKUP('Données projet'!$B$10,Paramètres!$A$1:$I$89,5,0)</f>
        <v>418.6572000000001</v>
      </c>
      <c r="AK52" s="14">
        <f t="shared" si="35"/>
        <v>95.549032194651417</v>
      </c>
      <c r="AL52" s="22">
        <f t="shared" si="4"/>
        <v>895.57585440568471</v>
      </c>
      <c r="AM52" s="62">
        <f t="shared" si="5"/>
        <v>1188.9091877390181</v>
      </c>
      <c r="AN52" s="62">
        <f ca="1">AVERAGE(OFFSET($AM$3,0,0,'Données projet'!$E$10+1,1))-AVERAGE(OFFSET($H$3,0,0,'Données projet'!$E$10+1,1))</f>
        <v>675.00969717491046</v>
      </c>
      <c r="AO52" s="62">
        <f t="shared" si="36"/>
        <v>572.99694897193285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13.795595735099038</v>
      </c>
      <c r="AW52" s="23">
        <f>EXP(-LN(2)/2)*AW51+(1-EXP(-LN(2)/2))/(LN(2)/2)*AQ52*AT52*VLOOKUP('Données projet'!$B$10,Paramètres!$A$1:$I$89,3,0)*0.475*44/12</f>
        <v>2.0483150953821503E-2</v>
      </c>
      <c r="AX52" s="23">
        <f t="shared" si="6"/>
        <v>13.81607888605286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439.19854273764042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586</v>
      </c>
      <c r="AG53" s="13">
        <f>VLOOKUP(A53,'Données projet'!$A$61:$I$81,9,0)</f>
        <v>15</v>
      </c>
      <c r="AH53" s="13">
        <f t="array" ref="AH53">INDEX(AG:AG,MIN(IF(ISNUMBER(AG53:AG249),ROW(AG53:AG249),"")))</f>
        <v>15</v>
      </c>
      <c r="AI53" s="14">
        <f>IF('Données projet'!$A$62&gt;35,AI52+AH53-AQ52,IF(A53&lt;'Données projet'!$A$62,$AF$205^A53,IF(A53='Données projet'!$A$62,'Données projet'!$B$62,AI52+AH53-AQ52)))</f>
        <v>586.00000000000011</v>
      </c>
      <c r="AJ53" s="14">
        <f>AI53*VLOOKUP('Données projet'!$B$10,Paramètres!$A$1:$I$89,3,0)*VLOOKUP('Données projet'!$B$10,Paramètres!$A$1:$I$89,5,0)</f>
        <v>429.65520000000004</v>
      </c>
      <c r="AK53" s="14">
        <f t="shared" si="35"/>
        <v>97.763549421650538</v>
      </c>
      <c r="AL53" s="22">
        <f t="shared" si="4"/>
        <v>918.58765524270802</v>
      </c>
      <c r="AM53" s="62">
        <f t="shared" si="5"/>
        <v>1211.9209885760413</v>
      </c>
      <c r="AN53" s="62">
        <f ca="1">AVERAGE(OFFSET($AM$3,0,0,'Données projet'!$E$10+1,1))-AVERAGE(OFFSET($H$3,0,0,'Données projet'!$E$10+1,1))</f>
        <v>675.00969717491046</v>
      </c>
      <c r="AO53" s="62">
        <f t="shared" si="36"/>
        <v>572.99694897193285</v>
      </c>
      <c r="AP53" s="16">
        <f>IF(ISNA(VLOOKUP(A53,'Données projet'!$A$61:$I$81,3,0)),0,VLOOKUP(A53,'Données projet'!$A$61:$I$81,3,0))</f>
        <v>303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13.418354444243905</v>
      </c>
      <c r="AW53" s="23">
        <f>EXP(-LN(2)/2)*AW52+(1-EXP(-LN(2)/2))/(LN(2)/2)*AQ53*AT53*VLOOKUP('Données projet'!$B$10,Paramètres!$A$1:$I$89,3,0)*0.475*44/12</f>
        <v>1.4483774939514884E-2</v>
      </c>
      <c r="AX53" s="23">
        <f t="shared" si="6"/>
        <v>13.43283821918342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439.19854273764042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12.6</v>
      </c>
      <c r="AI54" s="14">
        <f>IF('Données projet'!$A$62&gt;35,AI53+AH54-AQ53,IF(A54&lt;'Données projet'!$A$62,$AF$205^A54,IF(A54='Données projet'!$A$62,'Données projet'!$B$62,AI53+AH54-AQ53)))</f>
        <v>577.60000000000014</v>
      </c>
      <c r="AJ54" s="14">
        <f>AI54*VLOOKUP('Données projet'!$B$10,Paramètres!$A$1:$I$89,3,0)*VLOOKUP('Données projet'!$B$10,Paramètres!$A$1:$I$89,5,0)</f>
        <v>423.49632000000008</v>
      </c>
      <c r="AK54" s="14">
        <f t="shared" si="35"/>
        <v>96.524243713440171</v>
      </c>
      <c r="AL54" s="22">
        <f t="shared" si="4"/>
        <v>905.70248180090823</v>
      </c>
      <c r="AM54" s="62">
        <f t="shared" si="5"/>
        <v>1199.0358151342416</v>
      </c>
      <c r="AN54" s="62">
        <f ca="1">AVERAGE(OFFSET($AM$3,0,0,'Données projet'!$E$10+1,1))-AVERAGE(OFFSET($H$3,0,0,'Données projet'!$E$10+1,1))</f>
        <v>675.00969717491046</v>
      </c>
      <c r="AO54" s="62">
        <f t="shared" si="36"/>
        <v>572.99694897193285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13.051428836325464</v>
      </c>
      <c r="AW54" s="23">
        <f>EXP(-LN(2)/2)*AW53+(1-EXP(-LN(2)/2))/(LN(2)/2)*AQ54*AT54*VLOOKUP('Données projet'!$B$10,Paramètres!$A$1:$I$89,3,0)*0.475*44/12</f>
        <v>1.0241575476910751E-2</v>
      </c>
      <c r="AX54" s="23">
        <f t="shared" si="6"/>
        <v>13.061670411802375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439.19854273764042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12.6</v>
      </c>
      <c r="AI55" s="14">
        <f>IF('Données projet'!$A$62&gt;35,AI54+AH55-AQ54,IF(A55&lt;'Données projet'!$A$62,$AF$205^A55,IF(A55='Données projet'!$A$62,'Données projet'!$B$62,AI54+AH55-AQ54)))</f>
        <v>590.20000000000016</v>
      </c>
      <c r="AJ55" s="14">
        <f>AI55*VLOOKUP('Données projet'!$B$10,Paramètres!$A$1:$I$89,3,0)*VLOOKUP('Données projet'!$B$10,Paramètres!$A$1:$I$89,5,0)</f>
        <v>432.73464000000013</v>
      </c>
      <c r="AK55" s="14">
        <f t="shared" si="35"/>
        <v>98.382425402284056</v>
      </c>
      <c r="AL55" s="22">
        <f t="shared" si="4"/>
        <v>925.02888890897827</v>
      </c>
      <c r="AM55" s="62">
        <f t="shared" si="5"/>
        <v>1218.3622222423116</v>
      </c>
      <c r="AN55" s="62">
        <f ca="1">AVERAGE(OFFSET($AM$3,0,0,'Données projet'!$E$10+1,1))-AVERAGE(OFFSET($H$3,0,0,'Données projet'!$E$10+1,1))</f>
        <v>675.00969717491046</v>
      </c>
      <c r="AO55" s="62">
        <f t="shared" si="36"/>
        <v>572.99694897193285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12.69453682845133</v>
      </c>
      <c r="AW55" s="23">
        <f>EXP(-LN(2)/2)*AW54+(1-EXP(-LN(2)/2))/(LN(2)/2)*AQ55*AT55*VLOOKUP('Données projet'!$B$10,Paramètres!$A$1:$I$89,3,0)*0.475*44/12</f>
        <v>7.241887469757442E-3</v>
      </c>
      <c r="AX55" s="23">
        <f t="shared" si="6"/>
        <v>12.701778715921087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439.19854273764042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12.6</v>
      </c>
      <c r="AI56" s="14">
        <f>IF('Données projet'!$A$62&gt;35,AI55+AH56-AQ55,IF(A56&lt;'Données projet'!$A$62,$AF$205^A56,IF(A56='Données projet'!$A$62,'Données projet'!$B$62,AI55+AH56-AQ55)))</f>
        <v>602.80000000000018</v>
      </c>
      <c r="AJ56" s="14">
        <f>AI56*VLOOKUP('Données projet'!$B$10,Paramètres!$A$1:$I$89,3,0)*VLOOKUP('Données projet'!$B$10,Paramètres!$A$1:$I$89,5,0)</f>
        <v>441.97296000000017</v>
      </c>
      <c r="AK56" s="14">
        <f t="shared" si="35"/>
        <v>100.23599489389228</v>
      </c>
      <c r="AL56" s="22">
        <f t="shared" si="4"/>
        <v>944.34726310686267</v>
      </c>
      <c r="AM56" s="62">
        <f t="shared" si="5"/>
        <v>1237.680596440196</v>
      </c>
      <c r="AN56" s="62">
        <f ca="1">AVERAGE(OFFSET($AM$3,0,0,'Données projet'!$E$10+1,1))-AVERAGE(OFFSET($H$3,0,0,'Données projet'!$E$10+1,1))</f>
        <v>675.00969717491046</v>
      </c>
      <c r="AO56" s="62">
        <f t="shared" si="36"/>
        <v>572.99694897193285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12.34740405130065</v>
      </c>
      <c r="AW56" s="23">
        <f>EXP(-LN(2)/2)*AW55+(1-EXP(-LN(2)/2))/(LN(2)/2)*AQ56*AT56*VLOOKUP('Données projet'!$B$10,Paramètres!$A$1:$I$89,3,0)*0.475*44/12</f>
        <v>5.1207877384553757E-3</v>
      </c>
      <c r="AX56" s="23">
        <f t="shared" si="6"/>
        <v>12.352524839039106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439.19854273764042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12.6</v>
      </c>
      <c r="AI57" s="14">
        <f>IF('Données projet'!$A$62&gt;35,AI56+AH57-AQ56,IF(A57&lt;'Données projet'!$A$62,$AF$205^A57,IF(A57='Données projet'!$A$62,'Données projet'!$B$62,AI56+AH57-AQ56)))</f>
        <v>615.4000000000002</v>
      </c>
      <c r="AJ57" s="14">
        <f>AI57*VLOOKUP('Données projet'!$B$10,Paramètres!$A$1:$I$89,3,0)*VLOOKUP('Données projet'!$B$10,Paramètres!$A$1:$I$89,5,0)</f>
        <v>451.2112800000001</v>
      </c>
      <c r="AK57" s="14">
        <f t="shared" si="35"/>
        <v>102.08505970117993</v>
      </c>
      <c r="AL57" s="22">
        <f t="shared" si="4"/>
        <v>963.65779164622188</v>
      </c>
      <c r="AM57" s="62">
        <f t="shared" si="5"/>
        <v>1256.9911249795553</v>
      </c>
      <c r="AN57" s="62">
        <f ca="1">AVERAGE(OFFSET($AM$3,0,0,'Données projet'!$E$10+1,1))-AVERAGE(OFFSET($H$3,0,0,'Données projet'!$E$10+1,1))</f>
        <v>675.00969717491046</v>
      </c>
      <c r="AO57" s="62">
        <f t="shared" si="36"/>
        <v>572.99694897193285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12.009763638196075</v>
      </c>
      <c r="AW57" s="23">
        <f>EXP(-LN(2)/2)*AW56+(1-EXP(-LN(2)/2))/(LN(2)/2)*AQ57*AT57*VLOOKUP('Données projet'!$B$10,Paramètres!$A$1:$I$89,3,0)*0.475*44/12</f>
        <v>3.620943734878721E-3</v>
      </c>
      <c r="AX57" s="23">
        <f t="shared" si="6"/>
        <v>12.013384581930953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439.19854273764042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628</v>
      </c>
      <c r="AG58" s="13">
        <f>VLOOKUP(A58,'Données projet'!$A$61:$I$81,9,0)</f>
        <v>12.6</v>
      </c>
      <c r="AH58" s="13">
        <f t="array" ref="AH58">INDEX(AG:AG,MIN(IF(ISNUMBER(AG58:AG254),ROW(AG58:AG254),"")))</f>
        <v>12.6</v>
      </c>
      <c r="AI58" s="14">
        <f>IF('Données projet'!$A$62&gt;35,AI57+AH58-AQ57,IF(A58&lt;'Données projet'!$A$62,$AF$205^A58,IF(A58='Données projet'!$A$62,'Données projet'!$B$62,AI57+AH58-AQ57)))</f>
        <v>628.00000000000023</v>
      </c>
      <c r="AJ58" s="14">
        <f>AI58*VLOOKUP('Données projet'!$B$10,Paramètres!$A$1:$I$89,3,0)*VLOOKUP('Données projet'!$B$10,Paramètres!$A$1:$I$89,5,0)</f>
        <v>460.44960000000015</v>
      </c>
      <c r="AK58" s="14">
        <f t="shared" si="35"/>
        <v>103.92972268286125</v>
      </c>
      <c r="AL58" s="22">
        <f t="shared" si="4"/>
        <v>982.9606536726501</v>
      </c>
      <c r="AM58" s="62">
        <f t="shared" si="5"/>
        <v>1276.2939870059834</v>
      </c>
      <c r="AN58" s="62">
        <f ca="1">AVERAGE(OFFSET($AM$3,0,0,'Données projet'!$E$10+1,1))-AVERAGE(OFFSET($H$3,0,0,'Données projet'!$E$10+1,1))</f>
        <v>675.00969717491046</v>
      </c>
      <c r="AO58" s="62">
        <f t="shared" si="36"/>
        <v>572.99694897193285</v>
      </c>
      <c r="AP58" s="16">
        <f>IF(ISNA(VLOOKUP(A58,'Données projet'!$A$61:$I$81,3,0)),0,VLOOKUP(A58,'Données projet'!$A$61:$I$81,3,0))</f>
        <v>324</v>
      </c>
      <c r="AQ58" s="16">
        <f>IF(ISNA(VLOOKUP(A58,'Données projet'!$A$61:$I$81,4,0)),0,VLOOKUP(A58,'Données projet'!$A$61:$I$81,4,0))</f>
        <v>18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11.681356019943582</v>
      </c>
      <c r="AW58" s="23">
        <f>EXP(-LN(2)/2)*AW57+(1-EXP(-LN(2)/2))/(LN(2)/2)*AQ58*AT58*VLOOKUP('Données projet'!$B$10,Paramètres!$A$1:$I$89,3,0)*0.475*44/12</f>
        <v>2.5603938692276879E-3</v>
      </c>
      <c r="AX58" s="23">
        <f t="shared" si="6"/>
        <v>11.68391641381281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439.19854273764042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11</v>
      </c>
      <c r="AI59" s="14">
        <f>IF('Données projet'!$A$62&gt;35,AI58+AH59-AQ58,IF(A59&lt;'Données projet'!$A$62,$AF$205^A59,IF(A59='Données projet'!$A$62,'Données projet'!$B$62,AI58+AH59-AQ58)))</f>
        <v>621.00000000000023</v>
      </c>
      <c r="AJ59" s="14">
        <f>AI59*VLOOKUP('Données projet'!$B$10,Paramètres!$A$1:$I$89,3,0)*VLOOKUP('Données projet'!$B$10,Paramètres!$A$1:$I$89,5,0)</f>
        <v>455.31720000000018</v>
      </c>
      <c r="AK59" s="14">
        <f t="shared" si="35"/>
        <v>102.90544739800977</v>
      </c>
      <c r="AL59" s="22">
        <f t="shared" si="4"/>
        <v>972.2377775515339</v>
      </c>
      <c r="AM59" s="62">
        <f t="shared" si="5"/>
        <v>1265.5711108848673</v>
      </c>
      <c r="AN59" s="62">
        <f ca="1">AVERAGE(OFFSET($AM$3,0,0,'Données projet'!$E$10+1,1))-AVERAGE(OFFSET($H$3,0,0,'Données projet'!$E$10+1,1))</f>
        <v>675.00969717491046</v>
      </c>
      <c r="AO59" s="62">
        <f t="shared" si="36"/>
        <v>572.99694897193285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11.361928725282409</v>
      </c>
      <c r="AW59" s="23">
        <f>EXP(-LN(2)/2)*AW58+(1-EXP(-LN(2)/2))/(LN(2)/2)*AQ59*AT59*VLOOKUP('Données projet'!$B$10,Paramètres!$A$1:$I$89,3,0)*0.475*44/12</f>
        <v>1.8104718674393605E-3</v>
      </c>
      <c r="AX59" s="23">
        <f t="shared" si="6"/>
        <v>11.363739197149849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439.19854273764042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11</v>
      </c>
      <c r="AI60" s="14">
        <f>IF('Données projet'!$A$62&gt;35,AI59+AH60-AQ59,IF(A60&lt;'Données projet'!$A$62,$AF$205^A60,IF(A60='Données projet'!$A$62,'Données projet'!$B$62,AI59+AH60-AQ59)))</f>
        <v>632.00000000000023</v>
      </c>
      <c r="AJ60" s="14">
        <f>AI60*VLOOKUP('Données projet'!$B$10,Paramètres!$A$1:$I$89,3,0)*VLOOKUP('Données projet'!$B$10,Paramètres!$A$1:$I$89,5,0)</f>
        <v>463.38240000000013</v>
      </c>
      <c r="AK60" s="14">
        <f t="shared" si="35"/>
        <v>104.51442549233988</v>
      </c>
      <c r="AL60" s="22">
        <f t="shared" si="4"/>
        <v>989.08697106582531</v>
      </c>
      <c r="AM60" s="62">
        <f t="shared" si="5"/>
        <v>1282.4203043991586</v>
      </c>
      <c r="AN60" s="62">
        <f ca="1">AVERAGE(OFFSET($AM$3,0,0,'Données projet'!$E$10+1,1))-AVERAGE(OFFSET($H$3,0,0,'Données projet'!$E$10+1,1))</f>
        <v>675.00969717491046</v>
      </c>
      <c r="AO60" s="62">
        <f t="shared" si="36"/>
        <v>572.99694897193285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11.051236186791698</v>
      </c>
      <c r="AW60" s="23">
        <f>EXP(-LN(2)/2)*AW59+(1-EXP(-LN(2)/2))/(LN(2)/2)*AQ60*AT60*VLOOKUP('Données projet'!$B$10,Paramètres!$A$1:$I$89,3,0)*0.475*44/12</f>
        <v>1.2801969346138439E-3</v>
      </c>
      <c r="AX60" s="23">
        <f t="shared" si="6"/>
        <v>11.052516383726312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439.19854273764042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11</v>
      </c>
      <c r="AI61" s="14">
        <f>IF('Données projet'!$A$62&gt;35,AI60+AH61-AQ60,IF(A61&lt;'Données projet'!$A$62,$AF$205^A61,IF(A61='Données projet'!$A$62,'Données projet'!$B$62,AI60+AH61-AQ60)))</f>
        <v>643.00000000000023</v>
      </c>
      <c r="AJ61" s="14">
        <f>AI61*VLOOKUP('Données projet'!$B$10,Paramètres!$A$1:$I$89,3,0)*VLOOKUP('Données projet'!$B$10,Paramètres!$A$1:$I$89,5,0)</f>
        <v>471.44760000000014</v>
      </c>
      <c r="AK61" s="14">
        <f t="shared" si="35"/>
        <v>106.12014700446248</v>
      </c>
      <c r="AL61" s="22">
        <f t="shared" si="4"/>
        <v>1005.930492699439</v>
      </c>
      <c r="AM61" s="62">
        <f t="shared" si="5"/>
        <v>1299.2638260327724</v>
      </c>
      <c r="AN61" s="62">
        <f ca="1">AVERAGE(OFFSET($AM$3,0,0,'Données projet'!$E$10+1,1))-AVERAGE(OFFSET($H$3,0,0,'Données projet'!$E$10+1,1))</f>
        <v>675.00969717491046</v>
      </c>
      <c r="AO61" s="62">
        <f t="shared" si="36"/>
        <v>572.99694897193285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10.749039552104627</v>
      </c>
      <c r="AW61" s="23">
        <f>EXP(-LN(2)/2)*AW60+(1-EXP(-LN(2)/2))/(LN(2)/2)*AQ61*AT61*VLOOKUP('Données projet'!$B$10,Paramètres!$A$1:$I$89,3,0)*0.475*44/12</f>
        <v>9.0523593371968024E-4</v>
      </c>
      <c r="AX61" s="23">
        <f t="shared" si="6"/>
        <v>10.749944788038347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439.19854273764042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11</v>
      </c>
      <c r="AI62" s="14">
        <f>IF('Données projet'!$A$62&gt;35,AI61+AH62-AQ61,IF(A62&lt;'Données projet'!$A$62,$AF$205^A62,IF(A62='Données projet'!$A$62,'Données projet'!$B$62,AI61+AH62-AQ61)))</f>
        <v>654.00000000000023</v>
      </c>
      <c r="AJ62" s="14">
        <f>AI62*VLOOKUP('Données projet'!$B$10,Paramètres!$A$1:$I$89,3,0)*VLOOKUP('Données projet'!$B$10,Paramètres!$A$1:$I$89,5,0)</f>
        <v>479.5128000000002</v>
      </c>
      <c r="AK62" s="14">
        <f t="shared" si="35"/>
        <v>107.7226740747642</v>
      </c>
      <c r="AL62" s="22">
        <f t="shared" si="4"/>
        <v>1022.7684506802146</v>
      </c>
      <c r="AM62" s="62">
        <f t="shared" si="5"/>
        <v>1316.101784013548</v>
      </c>
      <c r="AN62" s="62">
        <f ca="1">AVERAGE(OFFSET($AM$3,0,0,'Données projet'!$E$10+1,1))-AVERAGE(OFFSET($H$3,0,0,'Données projet'!$E$10+1,1))</f>
        <v>675.00969717491046</v>
      </c>
      <c r="AO62" s="62">
        <f t="shared" si="36"/>
        <v>572.99694897193285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10.455106500284902</v>
      </c>
      <c r="AW62" s="23">
        <f>EXP(-LN(2)/2)*AW61+(1-EXP(-LN(2)/2))/(LN(2)/2)*AQ62*AT62*VLOOKUP('Données projet'!$B$10,Paramètres!$A$1:$I$89,3,0)*0.475*44/12</f>
        <v>6.4009846730692197E-4</v>
      </c>
      <c r="AX62" s="23">
        <f t="shared" si="6"/>
        <v>10.455746598752208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439.19854273764042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665</v>
      </c>
      <c r="AG63" s="13">
        <f>VLOOKUP(A63,'Données projet'!$A$61:$I$81,9,0)</f>
        <v>11</v>
      </c>
      <c r="AH63" s="13">
        <f t="array" ref="AH63">INDEX(AG:AG,MIN(IF(ISNUMBER(AG63:AG259),ROW(AG63:AG259),"")))</f>
        <v>11</v>
      </c>
      <c r="AI63" s="14">
        <f>IF('Données projet'!$A$62&gt;35,AI62+AH63-AQ62,IF(A63&lt;'Données projet'!$A$62,$AF$205^A63,IF(A63='Données projet'!$A$62,'Données projet'!$B$62,AI62+AH63-AQ62)))</f>
        <v>665.00000000000023</v>
      </c>
      <c r="AJ63" s="14">
        <f>AI63*VLOOKUP('Données projet'!$B$10,Paramètres!$A$1:$I$89,3,0)*VLOOKUP('Données projet'!$B$10,Paramètres!$A$1:$I$89,5,0)</f>
        <v>487.57800000000015</v>
      </c>
      <c r="AK63" s="14">
        <f t="shared" si="35"/>
        <v>109.32206663347657</v>
      </c>
      <c r="AL63" s="22">
        <f t="shared" si="4"/>
        <v>1039.6009493866386</v>
      </c>
      <c r="AM63" s="62">
        <f t="shared" si="5"/>
        <v>1332.9342827199719</v>
      </c>
      <c r="AN63" s="62">
        <f ca="1">AVERAGE(OFFSET($AM$3,0,0,'Données projet'!$E$10+1,1))-AVERAGE(OFFSET($H$3,0,0,'Données projet'!$E$10+1,1))</f>
        <v>675.00969717491046</v>
      </c>
      <c r="AO63" s="62">
        <f t="shared" si="36"/>
        <v>572.99694897193285</v>
      </c>
      <c r="AP63" s="16">
        <f>IF(ISNA(VLOOKUP(A63,'Données projet'!$A$61:$I$81,3,0)),0,VLOOKUP(A63,'Données projet'!$A$61:$I$81,3,0))</f>
        <v>343</v>
      </c>
      <c r="AQ63" s="16">
        <f>IF(ISNA(VLOOKUP(A63,'Données projet'!$A$61:$I$81,4,0)),0,VLOOKUP(A63,'Données projet'!$A$61:$I$81,4,0))</f>
        <v>17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10.169211063224456</v>
      </c>
      <c r="AW63" s="23">
        <f>EXP(-LN(2)/2)*AW62+(1-EXP(-LN(2)/2))/(LN(2)/2)*AQ63*AT63*VLOOKUP('Données projet'!$B$10,Paramètres!$A$1:$I$89,3,0)*0.475*44/12</f>
        <v>4.5261796685984012E-4</v>
      </c>
      <c r="AX63" s="23">
        <f t="shared" si="6"/>
        <v>10.169663681191315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439.19854273764042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9.4</v>
      </c>
      <c r="AI64" s="14">
        <f>IF('Données projet'!$A$62&gt;35,AI63+AH64-AQ63,IF(A64&lt;'Données projet'!$A$62,$AF$205^A64,IF(A64='Données projet'!$A$62,'Données projet'!$B$62,AI63+AH64-AQ63)))</f>
        <v>657.4000000000002</v>
      </c>
      <c r="AJ64" s="14">
        <f>AI64*VLOOKUP('Données projet'!$B$10,Paramètres!$A$1:$I$89,3,0)*VLOOKUP('Données projet'!$B$10,Paramètres!$A$1:$I$89,5,0)</f>
        <v>482.0056800000001</v>
      </c>
      <c r="AK64" s="14">
        <f t="shared" si="35"/>
        <v>108.21736373305278</v>
      </c>
      <c r="AL64" s="22">
        <f t="shared" si="4"/>
        <v>1027.9718011684006</v>
      </c>
      <c r="AM64" s="62">
        <f t="shared" si="5"/>
        <v>1321.3051345017338</v>
      </c>
      <c r="AN64" s="62">
        <f ca="1">AVERAGE(OFFSET($AM$3,0,0,'Données projet'!$E$10+1,1))-AVERAGE(OFFSET($H$3,0,0,'Données projet'!$E$10+1,1))</f>
        <v>675.00969717491046</v>
      </c>
      <c r="AO64" s="62">
        <f t="shared" si="36"/>
        <v>572.99694897193285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9.8911334519250147</v>
      </c>
      <c r="AW64" s="23">
        <f>EXP(-LN(2)/2)*AW63+(1-EXP(-LN(2)/2))/(LN(2)/2)*AQ64*AT64*VLOOKUP('Données projet'!$B$10,Paramètres!$A$1:$I$89,3,0)*0.475*44/12</f>
        <v>3.2004923365346098E-4</v>
      </c>
      <c r="AX64" s="23">
        <f t="shared" si="6"/>
        <v>9.8914535011586686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439.19854273764042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9.4</v>
      </c>
      <c r="AI65" s="14">
        <f>IF('Données projet'!$A$62&gt;35,AI64+AH65-AQ64,IF(A65&lt;'Données projet'!$A$62,$AF$205^A65,IF(A65='Données projet'!$A$62,'Données projet'!$B$62,AI64+AH65-AQ64)))</f>
        <v>666.80000000000018</v>
      </c>
      <c r="AJ65" s="14">
        <f>AI65*VLOOKUP('Données projet'!$B$10,Paramètres!$A$1:$I$89,3,0)*VLOOKUP('Données projet'!$B$10,Paramètres!$A$1:$I$89,5,0)</f>
        <v>488.89776000000012</v>
      </c>
      <c r="AK65" s="14">
        <f t="shared" si="35"/>
        <v>109.58349098981343</v>
      </c>
      <c r="AL65" s="22">
        <f t="shared" si="4"/>
        <v>1042.3548454739253</v>
      </c>
      <c r="AM65" s="62">
        <f t="shared" si="5"/>
        <v>1335.6881788072585</v>
      </c>
      <c r="AN65" s="62">
        <f ca="1">AVERAGE(OFFSET($AM$3,0,0,'Données projet'!$E$10+1,1))-AVERAGE(OFFSET($H$3,0,0,'Données projet'!$E$10+1,1))</f>
        <v>675.00969717491046</v>
      </c>
      <c r="AO65" s="62">
        <f t="shared" si="36"/>
        <v>572.99694897193285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9.6206598875300227</v>
      </c>
      <c r="AW65" s="23">
        <f>EXP(-LN(2)/2)*AW64+(1-EXP(-LN(2)/2))/(LN(2)/2)*AQ65*AT65*VLOOKUP('Données projet'!$B$10,Paramètres!$A$1:$I$89,3,0)*0.475*44/12</f>
        <v>2.2630898342992006E-4</v>
      </c>
      <c r="AX65" s="23">
        <f t="shared" si="6"/>
        <v>9.6208861965134531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439.19854273764042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9.4</v>
      </c>
      <c r="AI66" s="14">
        <f>IF('Données projet'!$A$62&gt;35,AI65+AH66-AQ65,IF(A66&lt;'Données projet'!$A$62,$AF$205^A66,IF(A66='Données projet'!$A$62,'Données projet'!$B$62,AI65+AH66-AQ65)))</f>
        <v>676.20000000000016</v>
      </c>
      <c r="AJ66" s="14">
        <f>AI66*VLOOKUP('Données projet'!$B$10,Paramètres!$A$1:$I$89,3,0)*VLOOKUP('Données projet'!$B$10,Paramètres!$A$1:$I$89,5,0)</f>
        <v>495.78984000000014</v>
      </c>
      <c r="AK66" s="14">
        <f t="shared" si="35"/>
        <v>110.94737831197203</v>
      </c>
      <c r="AL66" s="22">
        <f t="shared" si="4"/>
        <v>1056.7339885600179</v>
      </c>
      <c r="AM66" s="62">
        <f t="shared" si="5"/>
        <v>1350.0673218933512</v>
      </c>
      <c r="AN66" s="62">
        <f ca="1">AVERAGE(OFFSET($AM$3,0,0,'Données projet'!$E$10+1,1))-AVERAGE(OFFSET($H$3,0,0,'Données projet'!$E$10+1,1))</f>
        <v>675.00969717491046</v>
      </c>
      <c r="AO66" s="62">
        <f t="shared" si="36"/>
        <v>572.99694897193285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9.3575824369769993</v>
      </c>
      <c r="AW66" s="23">
        <f>EXP(-LN(2)/2)*AW65+(1-EXP(-LN(2)/2))/(LN(2)/2)*AQ66*AT66*VLOOKUP('Données projet'!$B$10,Paramètres!$A$1:$I$89,3,0)*0.475*44/12</f>
        <v>1.6002461682673049E-4</v>
      </c>
      <c r="AX66" s="23">
        <f t="shared" si="6"/>
        <v>9.3577424615938263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439.19854273764042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9.4</v>
      </c>
      <c r="AI67" s="14">
        <f>IF('Données projet'!$A$62&gt;35,AI66+AH67-AQ66,IF(A67&lt;'Données projet'!$A$62,$AF$205^A67,IF(A67='Données projet'!$A$62,'Données projet'!$B$62,AI66+AH67-AQ66)))</f>
        <v>685.60000000000014</v>
      </c>
      <c r="AJ67" s="14">
        <f>AI67*VLOOKUP('Données projet'!$B$10,Paramètres!$A$1:$I$89,3,0)*VLOOKUP('Données projet'!$B$10,Paramètres!$A$1:$I$89,5,0)</f>
        <v>502.68192000000005</v>
      </c>
      <c r="AK67" s="14">
        <f t="shared" si="35"/>
        <v>112.30906043591882</v>
      </c>
      <c r="AL67" s="22">
        <f t="shared" si="4"/>
        <v>1071.1092909258921</v>
      </c>
      <c r="AM67" s="62">
        <f t="shared" si="5"/>
        <v>1364.4426242592253</v>
      </c>
      <c r="AN67" s="62">
        <f ca="1">AVERAGE(OFFSET($AM$3,0,0,'Données projet'!$E$10+1,1))-AVERAGE(OFFSET($H$3,0,0,'Données projet'!$E$10+1,1))</f>
        <v>675.00969717491046</v>
      </c>
      <c r="AO67" s="62">
        <f t="shared" si="36"/>
        <v>572.99694897193285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9.10169885314399</v>
      </c>
      <c r="AW67" s="23">
        <f>EXP(-LN(2)/2)*AW66+(1-EXP(-LN(2)/2))/(LN(2)/2)*AQ67*AT67*VLOOKUP('Données projet'!$B$10,Paramètres!$A$1:$I$89,3,0)*0.475*44/12</f>
        <v>1.1315449171496003E-4</v>
      </c>
      <c r="AX67" s="23">
        <f t="shared" si="6"/>
        <v>9.1018120076357043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439.19854273764042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695</v>
      </c>
      <c r="AG68" s="13">
        <f>VLOOKUP(A68,'Données projet'!$A$61:$I$81,9,0)</f>
        <v>9.4</v>
      </c>
      <c r="AH68" s="13">
        <f t="array" ref="AH68">INDEX(AG:AG,MIN(IF(ISNUMBER(AG68:AG264),ROW(AG68:AG264),"")))</f>
        <v>9.4</v>
      </c>
      <c r="AI68" s="14">
        <f>IF('Données projet'!$A$62&gt;35,AI67+AH68-AQ67,IF(A68&lt;'Données projet'!$A$62,$AF$205^A68,IF(A68='Données projet'!$A$62,'Données projet'!$B$62,AI67+AH68-AQ67)))</f>
        <v>695.00000000000011</v>
      </c>
      <c r="AJ68" s="14">
        <f>AI68*VLOOKUP('Données projet'!$B$10,Paramètres!$A$1:$I$89,3,0)*VLOOKUP('Données projet'!$B$10,Paramètres!$A$1:$I$89,5,0)</f>
        <v>509.57400000000007</v>
      </c>
      <c r="AK68" s="14">
        <f t="shared" si="35"/>
        <v>113.66857109080283</v>
      </c>
      <c r="AL68" s="22">
        <f t="shared" ref="AL68:AL131" si="58">(AJ68+AK68)*0.475*44/12</f>
        <v>1085.4808113164818</v>
      </c>
      <c r="AM68" s="62">
        <f t="shared" ref="AM68:AM131" si="59">AL68+(AD68+AE68)*44/12</f>
        <v>1378.814144649815</v>
      </c>
      <c r="AN68" s="62">
        <f ca="1">AVERAGE(OFFSET($AM$3,0,0,'Données projet'!$E$10+1,1))-AVERAGE(OFFSET($H$3,0,0,'Données projet'!$E$10+1,1))</f>
        <v>675.00969717491046</v>
      </c>
      <c r="AO68" s="62">
        <f t="shared" si="36"/>
        <v>572.99694897193285</v>
      </c>
      <c r="AP68" s="16">
        <f>IF(ISNA(VLOOKUP(A68,'Données projet'!$A$61:$I$81,3,0)),0,VLOOKUP(A68,'Données projet'!$A$61:$I$81,3,0))</f>
        <v>356</v>
      </c>
      <c r="AQ68" s="16">
        <f>IF(ISNA(VLOOKUP(A68,'Données projet'!$A$61:$I$81,4,0)),0,VLOOKUP(A68,'Données projet'!$A$61:$I$81,4,0))</f>
        <v>16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8.8528124193672273</v>
      </c>
      <c r="AW68" s="23">
        <f>EXP(-LN(2)/2)*AW67+(1-EXP(-LN(2)/2))/(LN(2)/2)*AQ68*AT68*VLOOKUP('Données projet'!$B$10,Paramètres!$A$1:$I$89,3,0)*0.475*44/12</f>
        <v>8.0012308413365246E-5</v>
      </c>
      <c r="AX68" s="23">
        <f t="shared" ref="AX68:AX131" si="60">SUM(AU68:AW68)</f>
        <v>8.8528924316756399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439.19854273764042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8.4</v>
      </c>
      <c r="AI69" s="14">
        <f>IF('Données projet'!$A$62&gt;35,AI68+AH69-AQ68,IF(A69&lt;'Données projet'!$A$62,$AF$205^A69,IF(A69='Données projet'!$A$62,'Données projet'!$B$62,AI68+AH69-AQ68)))</f>
        <v>687.40000000000009</v>
      </c>
      <c r="AJ69" s="14">
        <f>AI69*VLOOKUP('Données projet'!$B$10,Paramètres!$A$1:$I$89,3,0)*VLOOKUP('Données projet'!$B$10,Paramètres!$A$1:$I$89,5,0)</f>
        <v>504.00168000000008</v>
      </c>
      <c r="AK69" s="14">
        <f t="shared" ref="AK69:AK132" si="89">EXP(-1.0587+0.8836*LN(AJ69)+0.284)</f>
        <v>112.56955933766953</v>
      </c>
      <c r="AL69" s="22">
        <f t="shared" si="58"/>
        <v>1073.8615751797745</v>
      </c>
      <c r="AM69" s="62">
        <f t="shared" si="59"/>
        <v>1367.1949085131077</v>
      </c>
      <c r="AN69" s="62">
        <f ca="1">AVERAGE(OFFSET($AM$3,0,0,'Données projet'!$E$10+1,1))-AVERAGE(OFFSET($H$3,0,0,'Données projet'!$E$10+1,1))</f>
        <v>675.00969717491046</v>
      </c>
      <c r="AO69" s="62">
        <f t="shared" ref="AO69:AO132" si="90">$AO$3</f>
        <v>572.99694897193285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8.610731798210459</v>
      </c>
      <c r="AW69" s="23">
        <f>EXP(-LN(2)/2)*AW68+(1-EXP(-LN(2)/2))/(LN(2)/2)*AQ69*AT69*VLOOKUP('Données projet'!$B$10,Paramètres!$A$1:$I$89,3,0)*0.475*44/12</f>
        <v>5.6577245857480015E-5</v>
      </c>
      <c r="AX69" s="23">
        <f t="shared" si="60"/>
        <v>8.6107883754563161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439.19854273764042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8.4</v>
      </c>
      <c r="AI70" s="14">
        <f>IF('Données projet'!$A$62&gt;35,AI69+AH70-AQ69,IF(A70&lt;'Données projet'!$A$62,$AF$205^A70,IF(A70='Données projet'!$A$62,'Données projet'!$B$62,AI69+AH70-AQ69)))</f>
        <v>695.80000000000007</v>
      </c>
      <c r="AJ70" s="14">
        <f>AI70*VLOOKUP('Données projet'!$B$10,Paramètres!$A$1:$I$89,3,0)*VLOOKUP('Données projet'!$B$10,Paramètres!$A$1:$I$89,5,0)</f>
        <v>510.16056000000003</v>
      </c>
      <c r="AK70" s="14">
        <f t="shared" si="89"/>
        <v>113.78417491664814</v>
      </c>
      <c r="AL70" s="22">
        <f t="shared" si="58"/>
        <v>1086.7037466464953</v>
      </c>
      <c r="AM70" s="62">
        <f t="shared" si="59"/>
        <v>1380.0370799798286</v>
      </c>
      <c r="AN70" s="62">
        <f ca="1">AVERAGE(OFFSET($AM$3,0,0,'Données projet'!$E$10+1,1))-AVERAGE(OFFSET($H$3,0,0,'Données projet'!$E$10+1,1))</f>
        <v>675.00969717491046</v>
      </c>
      <c r="AO70" s="62">
        <f t="shared" si="90"/>
        <v>572.99694897193285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8.375270884369689</v>
      </c>
      <c r="AW70" s="23">
        <f>EXP(-LN(2)/2)*AW69+(1-EXP(-LN(2)/2))/(LN(2)/2)*AQ70*AT70*VLOOKUP('Données projet'!$B$10,Paramètres!$A$1:$I$89,3,0)*0.475*44/12</f>
        <v>4.0006154206682623E-5</v>
      </c>
      <c r="AX70" s="23">
        <f t="shared" si="60"/>
        <v>8.3753108905238953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439.19854273764042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8.4</v>
      </c>
      <c r="AI71" s="14">
        <f>IF('Données projet'!$A$62&gt;35,AI70+AH71-AQ70,IF(A71&lt;'Données projet'!$A$62,$AF$205^A71,IF(A71='Données projet'!$A$62,'Données projet'!$B$62,AI70+AH71-AQ70)))</f>
        <v>704.2</v>
      </c>
      <c r="AJ71" s="14">
        <f>AI71*VLOOKUP('Données projet'!$B$10,Paramètres!$A$1:$I$89,3,0)*VLOOKUP('Données projet'!$B$10,Paramètres!$A$1:$I$89,5,0)</f>
        <v>516.31943999999999</v>
      </c>
      <c r="AK71" s="14">
        <f t="shared" si="89"/>
        <v>114.9970848345509</v>
      </c>
      <c r="AL71" s="22">
        <f t="shared" si="58"/>
        <v>1099.5429474201762</v>
      </c>
      <c r="AM71" s="62">
        <f t="shared" si="59"/>
        <v>1392.8762807535095</v>
      </c>
      <c r="AN71" s="62">
        <f ca="1">AVERAGE(OFFSET($AM$3,0,0,'Données projet'!$E$10+1,1))-AVERAGE(OFFSET($H$3,0,0,'Données projet'!$E$10+1,1))</f>
        <v>675.00969717491046</v>
      </c>
      <c r="AO71" s="62">
        <f t="shared" si="90"/>
        <v>572.99694897193285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8.1462486616002465</v>
      </c>
      <c r="AW71" s="23">
        <f>EXP(-LN(2)/2)*AW70+(1-EXP(-LN(2)/2))/(LN(2)/2)*AQ71*AT71*VLOOKUP('Données projet'!$B$10,Paramètres!$A$1:$I$89,3,0)*0.475*44/12</f>
        <v>2.8288622928740008E-5</v>
      </c>
      <c r="AX71" s="23">
        <f t="shared" si="60"/>
        <v>8.1462769502231751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439.19854273764042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8.4</v>
      </c>
      <c r="AI72" s="14">
        <f>IF('Données projet'!$A$62&gt;35,AI71+AH72-AQ71,IF(A72&lt;'Données projet'!$A$62,$AF$205^A72,IF(A72='Données projet'!$A$62,'Données projet'!$B$62,AI71+AH72-AQ71)))</f>
        <v>712.6</v>
      </c>
      <c r="AJ72" s="14">
        <f>AI72*VLOOKUP('Données projet'!$B$10,Paramètres!$A$1:$I$89,3,0)*VLOOKUP('Données projet'!$B$10,Paramètres!$A$1:$I$89,5,0)</f>
        <v>522.47831999999994</v>
      </c>
      <c r="AK72" s="14">
        <f t="shared" si="89"/>
        <v>116.20831179081411</v>
      </c>
      <c r="AL72" s="22">
        <f t="shared" si="58"/>
        <v>1112.3792170356678</v>
      </c>
      <c r="AM72" s="62">
        <f t="shared" si="59"/>
        <v>1405.7125503690011</v>
      </c>
      <c r="AN72" s="62">
        <f ca="1">AVERAGE(OFFSET($AM$3,0,0,'Données projet'!$E$10+1,1))-AVERAGE(OFFSET($H$3,0,0,'Données projet'!$E$10+1,1))</f>
        <v>675.00969717491046</v>
      </c>
      <c r="AO72" s="62">
        <f t="shared" si="90"/>
        <v>572.99694897193285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7.9234890635561888</v>
      </c>
      <c r="AW72" s="23">
        <f>EXP(-LN(2)/2)*AW71+(1-EXP(-LN(2)/2))/(LN(2)/2)*AQ72*AT72*VLOOKUP('Données projet'!$B$10,Paramètres!$A$1:$I$89,3,0)*0.475*44/12</f>
        <v>2.0003077103341312E-5</v>
      </c>
      <c r="AX72" s="23">
        <f t="shared" si="60"/>
        <v>7.9235090666332919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439.19854273764042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721</v>
      </c>
      <c r="AG73" s="13">
        <f>VLOOKUP(A73,'Données projet'!$A$61:$I$81,9,0)</f>
        <v>8.4</v>
      </c>
      <c r="AH73" s="13">
        <f t="array" ref="AH73">INDEX(AG:AG,MIN(IF(ISNUMBER(AG73:AG269),ROW(AG73:AG269),"")))</f>
        <v>8.4</v>
      </c>
      <c r="AI73" s="14">
        <f>IF('Données projet'!$A$62&gt;35,AI72+AH73-AQ72,IF(A73&lt;'Données projet'!$A$62,$AF$205^A73,IF(A73='Données projet'!$A$62,'Données projet'!$B$62,AI72+AH73-AQ72)))</f>
        <v>721</v>
      </c>
      <c r="AJ73" s="14">
        <f>AI73*VLOOKUP('Données projet'!$B$10,Paramètres!$A$1:$I$89,3,0)*VLOOKUP('Données projet'!$B$10,Paramètres!$A$1:$I$89,5,0)</f>
        <v>528.63720000000001</v>
      </c>
      <c r="AK73" s="14">
        <f t="shared" si="89"/>
        <v>117.41787791892403</v>
      </c>
      <c r="AL73" s="22">
        <f t="shared" si="58"/>
        <v>1125.2125940421261</v>
      </c>
      <c r="AM73" s="62">
        <f t="shared" si="59"/>
        <v>1418.5459273754593</v>
      </c>
      <c r="AN73" s="62">
        <f ca="1">AVERAGE(OFFSET($AM$3,0,0,'Données projet'!$E$10+1,1))-AVERAGE(OFFSET($H$3,0,0,'Données projet'!$E$10+1,1))</f>
        <v>675.00969717491046</v>
      </c>
      <c r="AO73" s="62">
        <f t="shared" si="90"/>
        <v>572.99694897193285</v>
      </c>
      <c r="AP73" s="16">
        <f>IF(ISNA(VLOOKUP(A73,'Données projet'!$A$61:$I$81,3,0)),0,VLOOKUP(A73,'Données projet'!$A$61:$I$81,3,0))</f>
        <v>366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7.706820838435064</v>
      </c>
      <c r="AW73" s="23">
        <f>EXP(-LN(2)/2)*AW72+(1-EXP(-LN(2)/2))/(LN(2)/2)*AQ73*AT73*VLOOKUP('Données projet'!$B$10,Paramètres!$A$1:$I$89,3,0)*0.475*44/12</f>
        <v>1.4144311464370004E-5</v>
      </c>
      <c r="AX73" s="23">
        <f t="shared" si="60"/>
        <v>7.7068349827465283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439.19854273764042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7.8</v>
      </c>
      <c r="AI74" s="14">
        <f>IF('Données projet'!$A$62&gt;35,AI73+AH74-AQ73,IF(A74&lt;'Données projet'!$A$62,$AF$205^A74,IF(A74='Données projet'!$A$62,'Données projet'!$B$62,AI73+AH74-AQ73)))</f>
        <v>713.8</v>
      </c>
      <c r="AJ74" s="14">
        <f>AI74*VLOOKUP('Données projet'!$B$10,Paramètres!$A$1:$I$89,3,0)*VLOOKUP('Données projet'!$B$10,Paramètres!$A$1:$I$89,5,0)</f>
        <v>523.35815999999988</v>
      </c>
      <c r="AK74" s="14">
        <f t="shared" si="89"/>
        <v>116.38120812600383</v>
      </c>
      <c r="AL74" s="22">
        <f t="shared" si="58"/>
        <v>1114.2127328194563</v>
      </c>
      <c r="AM74" s="62">
        <f t="shared" si="59"/>
        <v>1407.5460661527895</v>
      </c>
      <c r="AN74" s="62">
        <f ca="1">AVERAGE(OFFSET($AM$3,0,0,'Données projet'!$E$10+1,1))-AVERAGE(OFFSET($H$3,0,0,'Données projet'!$E$10+1,1))</f>
        <v>675.00969717491046</v>
      </c>
      <c r="AO74" s="62">
        <f t="shared" si="90"/>
        <v>572.99694897193285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7.4960774173239635</v>
      </c>
      <c r="AW74" s="23">
        <f>EXP(-LN(2)/2)*AW73+(1-EXP(-LN(2)/2))/(LN(2)/2)*AQ74*AT74*VLOOKUP('Données projet'!$B$10,Paramètres!$A$1:$I$89,3,0)*0.475*44/12</f>
        <v>1.0001538551670656E-5</v>
      </c>
      <c r="AX74" s="23">
        <f t="shared" si="60"/>
        <v>7.4960874188625155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439.19854273764042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7.8</v>
      </c>
      <c r="AI75" s="14">
        <f>IF('Données projet'!$A$62&gt;35,AI74+AH75-AQ74,IF(A75&lt;'Données projet'!$A$62,$AF$205^A75,IF(A75='Données projet'!$A$62,'Données projet'!$B$62,AI74+AH75-AQ74)))</f>
        <v>721.59999999999991</v>
      </c>
      <c r="AJ75" s="14">
        <f>AI75*VLOOKUP('Données projet'!$B$10,Paramètres!$A$1:$I$89,3,0)*VLOOKUP('Données projet'!$B$10,Paramètres!$A$1:$I$89,5,0)</f>
        <v>529.07711999999992</v>
      </c>
      <c r="AK75" s="14">
        <f t="shared" si="89"/>
        <v>117.50421252106051</v>
      </c>
      <c r="AL75" s="22">
        <f t="shared" si="58"/>
        <v>1126.1291541408468</v>
      </c>
      <c r="AM75" s="62">
        <f t="shared" si="59"/>
        <v>1419.4624874741801</v>
      </c>
      <c r="AN75" s="62">
        <f ca="1">AVERAGE(OFFSET($AM$3,0,0,'Données projet'!$E$10+1,1))-AVERAGE(OFFSET($H$3,0,0,'Données projet'!$E$10+1,1))</f>
        <v>675.00969717491046</v>
      </c>
      <c r="AO75" s="62">
        <f t="shared" si="90"/>
        <v>572.99694897193285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7.291096786145661</v>
      </c>
      <c r="AW75" s="23">
        <f>EXP(-LN(2)/2)*AW74+(1-EXP(-LN(2)/2))/(LN(2)/2)*AQ75*AT75*VLOOKUP('Données projet'!$B$10,Paramètres!$A$1:$I$89,3,0)*0.475*44/12</f>
        <v>7.0721557321850019E-6</v>
      </c>
      <c r="AX75" s="23">
        <f t="shared" si="60"/>
        <v>7.2911038583013932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439.19854273764042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7.8</v>
      </c>
      <c r="AI76" s="14">
        <f>IF('Données projet'!$A$62&gt;35,AI75+AH76-AQ75,IF(A76&lt;'Données projet'!$A$62,$AF$205^A76,IF(A76='Données projet'!$A$62,'Données projet'!$B$62,AI75+AH76-AQ75)))</f>
        <v>729.39999999999986</v>
      </c>
      <c r="AJ76" s="14">
        <f>AI76*VLOOKUP('Données projet'!$B$10,Paramètres!$A$1:$I$89,3,0)*VLOOKUP('Données projet'!$B$10,Paramètres!$A$1:$I$89,5,0)</f>
        <v>534.79607999999996</v>
      </c>
      <c r="AK76" s="14">
        <f t="shared" si="89"/>
        <v>118.62580480695247</v>
      </c>
      <c r="AL76" s="22">
        <f t="shared" si="58"/>
        <v>1138.0431160387755</v>
      </c>
      <c r="AM76" s="62">
        <f t="shared" si="59"/>
        <v>1431.3764493721087</v>
      </c>
      <c r="AN76" s="62">
        <f ca="1">AVERAGE(OFFSET($AM$3,0,0,'Données projet'!$E$10+1,1))-AVERAGE(OFFSET($H$3,0,0,'Données projet'!$E$10+1,1))</f>
        <v>675.00969717491046</v>
      </c>
      <c r="AO76" s="62">
        <f t="shared" si="90"/>
        <v>572.99694897193285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7.0917213611063916</v>
      </c>
      <c r="AW76" s="23">
        <f>EXP(-LN(2)/2)*AW75+(1-EXP(-LN(2)/2))/(LN(2)/2)*AQ76*AT76*VLOOKUP('Données projet'!$B$10,Paramètres!$A$1:$I$89,3,0)*0.475*44/12</f>
        <v>5.0007692758353279E-6</v>
      </c>
      <c r="AX76" s="23">
        <f t="shared" si="60"/>
        <v>7.0917263618756676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439.19854273764042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7.8</v>
      </c>
      <c r="AI77" s="14">
        <f>IF('Données projet'!$A$62&gt;35,AI76+AH77-AQ76,IF(A77&lt;'Données projet'!$A$62,$AF$205^A77,IF(A77='Données projet'!$A$62,'Données projet'!$B$62,AI76+AH77-AQ76)))</f>
        <v>737.19999999999982</v>
      </c>
      <c r="AJ77" s="14">
        <f>AI77*VLOOKUP('Données projet'!$B$10,Paramètres!$A$1:$I$89,3,0)*VLOOKUP('Données projet'!$B$10,Paramètres!$A$1:$I$89,5,0)</f>
        <v>540.51503999999977</v>
      </c>
      <c r="AK77" s="14">
        <f t="shared" si="89"/>
        <v>119.74600183225954</v>
      </c>
      <c r="AL77" s="22">
        <f t="shared" si="58"/>
        <v>1149.9546478578516</v>
      </c>
      <c r="AM77" s="62">
        <f t="shared" si="59"/>
        <v>1443.2879811911848</v>
      </c>
      <c r="AN77" s="62">
        <f ca="1">AVERAGE(OFFSET($AM$3,0,0,'Données projet'!$E$10+1,1))-AVERAGE(OFFSET($H$3,0,0,'Données projet'!$E$10+1,1))</f>
        <v>675.00969717491046</v>
      </c>
      <c r="AO77" s="62">
        <f t="shared" si="90"/>
        <v>572.99694897193285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6.8977978675495191</v>
      </c>
      <c r="AW77" s="23">
        <f>EXP(-LN(2)/2)*AW76+(1-EXP(-LN(2)/2))/(LN(2)/2)*AQ77*AT77*VLOOKUP('Données projet'!$B$10,Paramètres!$A$1:$I$89,3,0)*0.475*44/12</f>
        <v>3.536077866092501E-6</v>
      </c>
      <c r="AX77" s="23">
        <f t="shared" si="60"/>
        <v>6.8978014036273851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439.19854273764042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745</v>
      </c>
      <c r="AG78" s="13">
        <f>VLOOKUP(A78,'Données projet'!$A$61:$I$81,9,0)</f>
        <v>7.8</v>
      </c>
      <c r="AH78" s="13">
        <f t="array" ref="AH78">INDEX(AG:AG,MIN(IF(ISNUMBER(AG78:AG274),ROW(AG78:AG274),"")))</f>
        <v>7.8</v>
      </c>
      <c r="AI78" s="14">
        <f>IF('Données projet'!$A$62&gt;35,AI77+AH78-AQ77,IF(A78&lt;'Données projet'!$A$62,$AF$205^A78,IF(A78='Données projet'!$A$62,'Données projet'!$B$62,AI77+AH78-AQ77)))</f>
        <v>744.99999999999977</v>
      </c>
      <c r="AJ78" s="14">
        <f>AI78*VLOOKUP('Données projet'!$B$10,Paramètres!$A$1:$I$89,3,0)*VLOOKUP('Données projet'!$B$10,Paramètres!$A$1:$I$89,5,0)</f>
        <v>546.23399999999981</v>
      </c>
      <c r="AK78" s="14">
        <f t="shared" si="89"/>
        <v>120.86482006848799</v>
      </c>
      <c r="AL78" s="22">
        <f t="shared" si="58"/>
        <v>1161.8637782859496</v>
      </c>
      <c r="AM78" s="62">
        <f t="shared" si="59"/>
        <v>1455.1971116192829</v>
      </c>
      <c r="AN78" s="62">
        <f ca="1">AVERAGE(OFFSET($AM$3,0,0,'Données projet'!$E$10+1,1))-AVERAGE(OFFSET($H$3,0,0,'Données projet'!$E$10+1,1))</f>
        <v>675.00969717491046</v>
      </c>
      <c r="AO78" s="62">
        <f t="shared" si="90"/>
        <v>572.99694897193285</v>
      </c>
      <c r="AP78" s="16">
        <f>IF(ISNA(VLOOKUP(A78,'Données projet'!$A$61:$I$81,3,0)),0,VLOOKUP(A78,'Données projet'!$A$61:$I$81,3,0))</f>
        <v>375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6.7091772221219523</v>
      </c>
      <c r="AW78" s="23">
        <f>EXP(-LN(2)/2)*AW77+(1-EXP(-LN(2)/2))/(LN(2)/2)*AQ78*AT78*VLOOKUP('Données projet'!$B$10,Paramètres!$A$1:$I$89,3,0)*0.475*44/12</f>
        <v>2.5003846379176639E-6</v>
      </c>
      <c r="AX78" s="23">
        <f t="shared" si="60"/>
        <v>6.7091797225065903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439.19854273764042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</v>
      </c>
      <c r="AI79" s="14">
        <f>IF('Données projet'!$A$62&gt;35,AI78+AH79-AQ78,IF(A79&lt;'Données projet'!$A$62,$AF$205^A79,IF(A79='Données projet'!$A$62,'Données projet'!$B$62,AI78+AH79-AQ78)))</f>
        <v>737.99999999999977</v>
      </c>
      <c r="AJ79" s="14">
        <f>AI79*VLOOKUP('Données projet'!$B$10,Paramètres!$A$1:$I$89,3,0)*VLOOKUP('Données projet'!$B$10,Paramètres!$A$1:$I$89,5,0)</f>
        <v>541.10159999999985</v>
      </c>
      <c r="AK79" s="14">
        <f t="shared" si="89"/>
        <v>119.86081560039077</v>
      </c>
      <c r="AL79" s="22">
        <f t="shared" si="58"/>
        <v>1151.1762071706803</v>
      </c>
      <c r="AM79" s="62">
        <f t="shared" si="59"/>
        <v>1444.5095405040136</v>
      </c>
      <c r="AN79" s="62">
        <f ca="1">AVERAGE(OFFSET($AM$3,0,0,'Données projet'!$E$10+1,1))-AVERAGE(OFFSET($H$3,0,0,'Données projet'!$E$10+1,1))</f>
        <v>675.00969717491046</v>
      </c>
      <c r="AO79" s="62">
        <f t="shared" si="90"/>
        <v>572.99694897193285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6.5257144181627318</v>
      </c>
      <c r="AW79" s="23">
        <f>EXP(-LN(2)/2)*AW78+(1-EXP(-LN(2)/2))/(LN(2)/2)*AQ79*AT79*VLOOKUP('Données projet'!$B$10,Paramètres!$A$1:$I$89,3,0)*0.475*44/12</f>
        <v>1.7680389330462505E-6</v>
      </c>
      <c r="AX79" s="23">
        <f t="shared" si="60"/>
        <v>6.5257161862016648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439.19854273764042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</v>
      </c>
      <c r="AI80" s="14">
        <f>IF('Données projet'!$A$62&gt;35,AI79+AH80-AQ79,IF(A80&lt;'Données projet'!$A$62,$AF$205^A80,IF(A80='Données projet'!$A$62,'Données projet'!$B$62,AI79+AH80-AQ79)))</f>
        <v>744.99999999999977</v>
      </c>
      <c r="AJ80" s="14">
        <f>AI80*VLOOKUP('Données projet'!$B$10,Paramètres!$A$1:$I$89,3,0)*VLOOKUP('Données projet'!$B$10,Paramètres!$A$1:$I$89,5,0)</f>
        <v>546.23399999999981</v>
      </c>
      <c r="AK80" s="14">
        <f t="shared" si="89"/>
        <v>120.86482006848799</v>
      </c>
      <c r="AL80" s="22">
        <f t="shared" si="58"/>
        <v>1161.8637782859496</v>
      </c>
      <c r="AM80" s="62">
        <f t="shared" si="59"/>
        <v>1455.1971116192829</v>
      </c>
      <c r="AN80" s="62">
        <f ca="1">AVERAGE(OFFSET($AM$3,0,0,'Données projet'!$E$10+1,1))-AVERAGE(OFFSET($H$3,0,0,'Données projet'!$E$10+1,1))</f>
        <v>675.00969717491046</v>
      </c>
      <c r="AO80" s="62">
        <f t="shared" si="90"/>
        <v>572.99694897193285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6.347268414225665</v>
      </c>
      <c r="AW80" s="23">
        <f>EXP(-LN(2)/2)*AW79+(1-EXP(-LN(2)/2))/(LN(2)/2)*AQ80*AT80*VLOOKUP('Données projet'!$B$10,Paramètres!$A$1:$I$89,3,0)*0.475*44/12</f>
        <v>1.250192318958832E-6</v>
      </c>
      <c r="AX80" s="23">
        <f t="shared" si="60"/>
        <v>6.3472696644179836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439.19854273764042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</v>
      </c>
      <c r="AI81" s="14">
        <f>IF('Données projet'!$A$62&gt;35,AI80+AH81-AQ80,IF(A81&lt;'Données projet'!$A$62,$AF$205^A81,IF(A81='Données projet'!$A$62,'Données projet'!$B$62,AI80+AH81-AQ80)))</f>
        <v>751.99999999999977</v>
      </c>
      <c r="AJ81" s="14">
        <f>AI81*VLOOKUP('Données projet'!$B$10,Paramètres!$A$1:$I$89,3,0)*VLOOKUP('Données projet'!$B$10,Paramètres!$A$1:$I$89,5,0)</f>
        <v>551.36639999999989</v>
      </c>
      <c r="AK81" s="14">
        <f t="shared" si="89"/>
        <v>121.86772704883531</v>
      </c>
      <c r="AL81" s="22">
        <f t="shared" si="58"/>
        <v>1172.5494379433878</v>
      </c>
      <c r="AM81" s="62">
        <f t="shared" si="59"/>
        <v>1465.8827712767211</v>
      </c>
      <c r="AN81" s="62">
        <f ca="1">AVERAGE(OFFSET($AM$3,0,0,'Données projet'!$E$10+1,1))-AVERAGE(OFFSET($H$3,0,0,'Données projet'!$E$10+1,1))</f>
        <v>675.00969717491046</v>
      </c>
      <c r="AO81" s="62">
        <f t="shared" si="90"/>
        <v>572.99694897193285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6.173702025650325</v>
      </c>
      <c r="AW81" s="23">
        <f>EXP(-LN(2)/2)*AW80+(1-EXP(-LN(2)/2))/(LN(2)/2)*AQ81*AT81*VLOOKUP('Données projet'!$B$10,Paramètres!$A$1:$I$89,3,0)*0.475*44/12</f>
        <v>8.8401946652312524E-7</v>
      </c>
      <c r="AX81" s="23">
        <f t="shared" si="60"/>
        <v>6.1737029096697915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439.19854273764042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</v>
      </c>
      <c r="AI82" s="14">
        <f>IF('Données projet'!$A$62&gt;35,AI81+AH82-AQ81,IF(A82&lt;'Données projet'!$A$62,$AF$205^A82,IF(A82='Données projet'!$A$62,'Données projet'!$B$62,AI81+AH82-AQ81)))</f>
        <v>758.99999999999977</v>
      </c>
      <c r="AJ82" s="14">
        <f>AI82*VLOOKUP('Données projet'!$B$10,Paramètres!$A$1:$I$89,3,0)*VLOOKUP('Données projet'!$B$10,Paramètres!$A$1:$I$89,5,0)</f>
        <v>556.49879999999973</v>
      </c>
      <c r="AK82" s="14">
        <f t="shared" si="89"/>
        <v>122.86954794070277</v>
      </c>
      <c r="AL82" s="22">
        <f t="shared" si="58"/>
        <v>1183.2332059967234</v>
      </c>
      <c r="AM82" s="62">
        <f t="shared" si="59"/>
        <v>1476.5665393300567</v>
      </c>
      <c r="AN82" s="62">
        <f ca="1">AVERAGE(OFFSET($AM$3,0,0,'Données projet'!$E$10+1,1))-AVERAGE(OFFSET($H$3,0,0,'Données projet'!$E$10+1,1))</f>
        <v>675.00969717491046</v>
      </c>
      <c r="AO82" s="62">
        <f t="shared" si="90"/>
        <v>572.99694897193285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6.0048818190980375</v>
      </c>
      <c r="AW82" s="23">
        <f>EXP(-LN(2)/2)*AW81+(1-EXP(-LN(2)/2))/(LN(2)/2)*AQ82*AT82*VLOOKUP('Données projet'!$B$10,Paramètres!$A$1:$I$89,3,0)*0.475*44/12</f>
        <v>6.2509615947941599E-7</v>
      </c>
      <c r="AX82" s="23">
        <f t="shared" si="60"/>
        <v>6.0048824441941973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439.19854273764042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766</v>
      </c>
      <c r="AG83" s="13">
        <f>VLOOKUP(A83,'Données projet'!$A$61:$I$81,9,0)</f>
        <v>7</v>
      </c>
      <c r="AH83" s="13">
        <f t="array" ref="AH83">INDEX(AG:AG,MIN(IF(ISNUMBER(AG83:AG279),ROW(AG83:AG279),"")))</f>
        <v>7</v>
      </c>
      <c r="AI83" s="14">
        <f>IF('Données projet'!$A$62&gt;35,AI82+AH83-AQ82,IF(A83&lt;'Données projet'!$A$62,$AF$205^A83,IF(A83='Données projet'!$A$62,'Données projet'!$B$62,AI82+AH83-AQ82)))</f>
        <v>765.99999999999977</v>
      </c>
      <c r="AJ83" s="14">
        <f>AI83*VLOOKUP('Données projet'!$B$10,Paramètres!$A$1:$I$89,3,0)*VLOOKUP('Données projet'!$B$10,Paramètres!$A$1:$I$89,5,0)</f>
        <v>561.63119999999981</v>
      </c>
      <c r="AK83" s="14">
        <f t="shared" si="89"/>
        <v>123.87029392097014</v>
      </c>
      <c r="AL83" s="22">
        <f t="shared" si="58"/>
        <v>1193.9151019123562</v>
      </c>
      <c r="AM83" s="62">
        <f t="shared" si="59"/>
        <v>1487.2484352456895</v>
      </c>
      <c r="AN83" s="62">
        <f ca="1">AVERAGE(OFFSET($AM$3,0,0,'Données projet'!$E$10+1,1))-AVERAGE(OFFSET($H$3,0,0,'Données projet'!$E$10+1,1))</f>
        <v>675.00969717491046</v>
      </c>
      <c r="AO83" s="62">
        <f t="shared" si="90"/>
        <v>572.99694897193285</v>
      </c>
      <c r="AP83" s="16">
        <f>IF(ISNA(VLOOKUP(A83,'Données projet'!$A$61:$I$81,3,0)),0,VLOOKUP(A83,'Données projet'!$A$61:$I$81,3,0))</f>
        <v>382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5.840678009971791</v>
      </c>
      <c r="AW83" s="23">
        <f>EXP(-LN(2)/2)*AW82+(1-EXP(-LN(2)/2))/(LN(2)/2)*AQ83*AT83*VLOOKUP('Données projet'!$B$10,Paramètres!$A$1:$I$89,3,0)*0.475*44/12</f>
        <v>4.4200973326156262E-7</v>
      </c>
      <c r="AX83" s="23">
        <f t="shared" si="60"/>
        <v>5.8406784519815247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439.19854273764042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752.99999999999977</v>
      </c>
      <c r="AJ84" s="14">
        <f>AI84*VLOOKUP('Données projet'!$B$10,Paramètres!$A$1:$I$89,3,0)*VLOOKUP('Données projet'!$B$10,Paramètres!$A$1:$I$89,5,0)</f>
        <v>552.09959999999978</v>
      </c>
      <c r="AK84" s="14">
        <f t="shared" si="89"/>
        <v>122.01091055125165</v>
      </c>
      <c r="AL84" s="22">
        <f t="shared" si="58"/>
        <v>1174.0758058767628</v>
      </c>
      <c r="AM84" s="62">
        <f t="shared" si="59"/>
        <v>1467.4091392100961</v>
      </c>
      <c r="AN84" s="62">
        <f ca="1">AVERAGE(OFFSET($AM$3,0,0,'Données projet'!$E$10+1,1))-AVERAGE(OFFSET($H$3,0,0,'Données projet'!$E$10+1,1))</f>
        <v>675.00969717491046</v>
      </c>
      <c r="AO84" s="62">
        <f t="shared" si="90"/>
        <v>572.99694897193285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5.6809643626412045</v>
      </c>
      <c r="AW84" s="23">
        <f>EXP(-LN(2)/2)*AW83+(1-EXP(-LN(2)/2))/(LN(2)/2)*AQ84*AT84*VLOOKUP('Données projet'!$B$10,Paramètres!$A$1:$I$89,3,0)*0.475*44/12</f>
        <v>3.1254807973970799E-7</v>
      </c>
      <c r="AX84" s="23">
        <f t="shared" si="60"/>
        <v>5.6809646751892844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439.19854273764042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752.99999999999977</v>
      </c>
      <c r="AJ85" s="14">
        <f>AI85*VLOOKUP('Données projet'!$B$10,Paramètres!$A$1:$I$89,3,0)*VLOOKUP('Données projet'!$B$10,Paramètres!$A$1:$I$89,5,0)</f>
        <v>552.09959999999978</v>
      </c>
      <c r="AK85" s="14">
        <f t="shared" si="89"/>
        <v>122.01091055125165</v>
      </c>
      <c r="AL85" s="22">
        <f t="shared" si="58"/>
        <v>1174.0758058767628</v>
      </c>
      <c r="AM85" s="62">
        <f t="shared" si="59"/>
        <v>1467.4091392100961</v>
      </c>
      <c r="AN85" s="62">
        <f ca="1">AVERAGE(OFFSET($AM$3,0,0,'Données projet'!$E$10+1,1))-AVERAGE(OFFSET($H$3,0,0,'Données projet'!$E$10+1,1))</f>
        <v>675.00969717491046</v>
      </c>
      <c r="AO85" s="62">
        <f t="shared" si="90"/>
        <v>572.99694897193285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5.525618093395849</v>
      </c>
      <c r="AW85" s="23">
        <f>EXP(-LN(2)/2)*AW84+(1-EXP(-LN(2)/2))/(LN(2)/2)*AQ85*AT85*VLOOKUP('Données projet'!$B$10,Paramètres!$A$1:$I$89,3,0)*0.475*44/12</f>
        <v>2.2100486663078131E-7</v>
      </c>
      <c r="AX85" s="23">
        <f t="shared" si="60"/>
        <v>5.5256183144007158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439.19854273764042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752.99999999999977</v>
      </c>
      <c r="AJ86" s="14">
        <f>AI86*VLOOKUP('Données projet'!$B$10,Paramètres!$A$1:$I$89,3,0)*VLOOKUP('Données projet'!$B$10,Paramètres!$A$1:$I$89,5,0)</f>
        <v>552.09959999999978</v>
      </c>
      <c r="AK86" s="14">
        <f t="shared" si="89"/>
        <v>122.01091055125165</v>
      </c>
      <c r="AL86" s="22">
        <f t="shared" si="58"/>
        <v>1174.0758058767628</v>
      </c>
      <c r="AM86" s="62">
        <f t="shared" si="59"/>
        <v>1467.4091392100961</v>
      </c>
      <c r="AN86" s="62">
        <f ca="1">AVERAGE(OFFSET($AM$3,0,0,'Données projet'!$E$10+1,1))-AVERAGE(OFFSET($H$3,0,0,'Données projet'!$E$10+1,1))</f>
        <v>675.00969717491046</v>
      </c>
      <c r="AO86" s="62">
        <f t="shared" si="90"/>
        <v>572.99694897193285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5.3745197760523133</v>
      </c>
      <c r="AW86" s="23">
        <f>EXP(-LN(2)/2)*AW85+(1-EXP(-LN(2)/2))/(LN(2)/2)*AQ86*AT86*VLOOKUP('Données projet'!$B$10,Paramètres!$A$1:$I$89,3,0)*0.475*44/12</f>
        <v>1.56274039869854E-7</v>
      </c>
      <c r="AX86" s="23">
        <f t="shared" si="60"/>
        <v>5.3745199323263533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439.19854273764042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752.99999999999977</v>
      </c>
      <c r="AJ87" s="14">
        <f>AI87*VLOOKUP('Données projet'!$B$10,Paramètres!$A$1:$I$89,3,0)*VLOOKUP('Données projet'!$B$10,Paramètres!$A$1:$I$89,5,0)</f>
        <v>552.09959999999978</v>
      </c>
      <c r="AK87" s="14">
        <f t="shared" si="89"/>
        <v>122.01091055125165</v>
      </c>
      <c r="AL87" s="22">
        <f t="shared" si="58"/>
        <v>1174.0758058767628</v>
      </c>
      <c r="AM87" s="62">
        <f t="shared" si="59"/>
        <v>1467.4091392100961</v>
      </c>
      <c r="AN87" s="62">
        <f ca="1">AVERAGE(OFFSET($AM$3,0,0,'Données projet'!$E$10+1,1))-AVERAGE(OFFSET($H$3,0,0,'Données projet'!$E$10+1,1))</f>
        <v>675.00969717491046</v>
      </c>
      <c r="AO87" s="62">
        <f t="shared" si="90"/>
        <v>572.99694897193285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5.2275532501424511</v>
      </c>
      <c r="AW87" s="23">
        <f>EXP(-LN(2)/2)*AW86+(1-EXP(-LN(2)/2))/(LN(2)/2)*AQ87*AT87*VLOOKUP('Données projet'!$B$10,Paramètres!$A$1:$I$89,3,0)*0.475*44/12</f>
        <v>1.1050243331539065E-7</v>
      </c>
      <c r="AX87" s="23">
        <f t="shared" si="60"/>
        <v>5.2275533606448841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439.19854273764042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752.99999999999977</v>
      </c>
      <c r="AJ88" s="14">
        <f>AI88*VLOOKUP('Données projet'!$B$10,Paramètres!$A$1:$I$89,3,0)*VLOOKUP('Données projet'!$B$10,Paramètres!$A$1:$I$89,5,0)</f>
        <v>552.09959999999978</v>
      </c>
      <c r="AK88" s="14">
        <f t="shared" si="89"/>
        <v>122.01091055125165</v>
      </c>
      <c r="AL88" s="22">
        <f t="shared" si="58"/>
        <v>1174.0758058767628</v>
      </c>
      <c r="AM88" s="62">
        <f t="shared" si="59"/>
        <v>1467.4091392100961</v>
      </c>
      <c r="AN88" s="62">
        <f ca="1">AVERAGE(OFFSET($AM$3,0,0,'Données projet'!$E$10+1,1))-AVERAGE(OFFSET($H$3,0,0,'Données projet'!$E$10+1,1))</f>
        <v>675.00969717491046</v>
      </c>
      <c r="AO88" s="62">
        <f t="shared" si="90"/>
        <v>572.99694897193285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5.0846055316122278</v>
      </c>
      <c r="AW88" s="23">
        <f>EXP(-LN(2)/2)*AW87+(1-EXP(-LN(2)/2))/(LN(2)/2)*AQ88*AT88*VLOOKUP('Données projet'!$B$10,Paramètres!$A$1:$I$89,3,0)*0.475*44/12</f>
        <v>7.8137019934926998E-8</v>
      </c>
      <c r="AX88" s="23">
        <f t="shared" si="60"/>
        <v>5.0846056097492474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439.19854273764042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752.99999999999977</v>
      </c>
      <c r="AJ89" s="14">
        <f>AI89*VLOOKUP('Données projet'!$B$10,Paramètres!$A$1:$I$89,3,0)*VLOOKUP('Données projet'!$B$10,Paramètres!$A$1:$I$89,5,0)</f>
        <v>552.09959999999978</v>
      </c>
      <c r="AK89" s="14">
        <f t="shared" si="89"/>
        <v>122.01091055125165</v>
      </c>
      <c r="AL89" s="22">
        <f t="shared" si="58"/>
        <v>1174.0758058767628</v>
      </c>
      <c r="AM89" s="62">
        <f t="shared" si="59"/>
        <v>1467.4091392100961</v>
      </c>
      <c r="AN89" s="62">
        <f ca="1">AVERAGE(OFFSET($AM$3,0,0,'Données projet'!$E$10+1,1))-AVERAGE(OFFSET($H$3,0,0,'Données projet'!$E$10+1,1))</f>
        <v>675.00969717491046</v>
      </c>
      <c r="AO89" s="62">
        <f t="shared" si="90"/>
        <v>572.99694897193285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4.9455667259625073</v>
      </c>
      <c r="AW89" s="23">
        <f>EXP(-LN(2)/2)*AW88+(1-EXP(-LN(2)/2))/(LN(2)/2)*AQ89*AT89*VLOOKUP('Données projet'!$B$10,Paramètres!$A$1:$I$89,3,0)*0.475*44/12</f>
        <v>5.5251216657695327E-8</v>
      </c>
      <c r="AX89" s="23">
        <f t="shared" si="60"/>
        <v>4.9455667812137243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439.19854273764042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752.99999999999977</v>
      </c>
      <c r="AJ90" s="14">
        <f>AI90*VLOOKUP('Données projet'!$B$10,Paramètres!$A$1:$I$89,3,0)*VLOOKUP('Données projet'!$B$10,Paramètres!$A$1:$I$89,5,0)</f>
        <v>552.09959999999978</v>
      </c>
      <c r="AK90" s="14">
        <f t="shared" si="89"/>
        <v>122.01091055125165</v>
      </c>
      <c r="AL90" s="22">
        <f t="shared" si="58"/>
        <v>1174.0758058767628</v>
      </c>
      <c r="AM90" s="62">
        <f t="shared" si="59"/>
        <v>1467.4091392100961</v>
      </c>
      <c r="AN90" s="62">
        <f ca="1">AVERAGE(OFFSET($AM$3,0,0,'Données projet'!$E$10+1,1))-AVERAGE(OFFSET($H$3,0,0,'Données projet'!$E$10+1,1))</f>
        <v>675.00969717491046</v>
      </c>
      <c r="AO90" s="62">
        <f t="shared" si="90"/>
        <v>572.99694897193285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4.8103299437650113</v>
      </c>
      <c r="AW90" s="23">
        <f>EXP(-LN(2)/2)*AW89+(1-EXP(-LN(2)/2))/(LN(2)/2)*AQ90*AT90*VLOOKUP('Données projet'!$B$10,Paramètres!$A$1:$I$89,3,0)*0.475*44/12</f>
        <v>3.9068509967463499E-8</v>
      </c>
      <c r="AX90" s="23">
        <f t="shared" si="60"/>
        <v>4.8103299828335215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439.19854273764042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752.99999999999977</v>
      </c>
      <c r="AJ91" s="14">
        <f>AI91*VLOOKUP('Données projet'!$B$10,Paramètres!$A$1:$I$89,3,0)*VLOOKUP('Données projet'!$B$10,Paramètres!$A$1:$I$89,5,0)</f>
        <v>552.09959999999978</v>
      </c>
      <c r="AK91" s="14">
        <f t="shared" si="89"/>
        <v>122.01091055125165</v>
      </c>
      <c r="AL91" s="22">
        <f t="shared" si="58"/>
        <v>1174.0758058767628</v>
      </c>
      <c r="AM91" s="62">
        <f t="shared" si="59"/>
        <v>1467.4091392100961</v>
      </c>
      <c r="AN91" s="62">
        <f ca="1">AVERAGE(OFFSET($AM$3,0,0,'Données projet'!$E$10+1,1))-AVERAGE(OFFSET($H$3,0,0,'Données projet'!$E$10+1,1))</f>
        <v>675.00969717491046</v>
      </c>
      <c r="AO91" s="62">
        <f t="shared" si="90"/>
        <v>572.99694897193285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4.6787912184884997</v>
      </c>
      <c r="AW91" s="23">
        <f>EXP(-LN(2)/2)*AW90+(1-EXP(-LN(2)/2))/(LN(2)/2)*AQ91*AT91*VLOOKUP('Données projet'!$B$10,Paramètres!$A$1:$I$89,3,0)*0.475*44/12</f>
        <v>2.7625608328847664E-8</v>
      </c>
      <c r="AX91" s="23">
        <f t="shared" si="60"/>
        <v>4.6787912461141081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439.19854273764042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752.99999999999977</v>
      </c>
      <c r="AJ92" s="14">
        <f>AI92*VLOOKUP('Données projet'!$B$10,Paramètres!$A$1:$I$89,3,0)*VLOOKUP('Données projet'!$B$10,Paramètres!$A$1:$I$89,5,0)</f>
        <v>552.09959999999978</v>
      </c>
      <c r="AK92" s="14">
        <f t="shared" si="89"/>
        <v>122.01091055125165</v>
      </c>
      <c r="AL92" s="22">
        <f t="shared" si="58"/>
        <v>1174.0758058767628</v>
      </c>
      <c r="AM92" s="62">
        <f t="shared" si="59"/>
        <v>1467.4091392100961</v>
      </c>
      <c r="AN92" s="62">
        <f ca="1">AVERAGE(OFFSET($AM$3,0,0,'Données projet'!$E$10+1,1))-AVERAGE(OFFSET($H$3,0,0,'Données projet'!$E$10+1,1))</f>
        <v>675.00969717491046</v>
      </c>
      <c r="AO92" s="62">
        <f t="shared" si="90"/>
        <v>572.99694897193285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4.550849426571995</v>
      </c>
      <c r="AW92" s="23">
        <f>EXP(-LN(2)/2)*AW91+(1-EXP(-LN(2)/2))/(LN(2)/2)*AQ92*AT92*VLOOKUP('Données projet'!$B$10,Paramètres!$A$1:$I$89,3,0)*0.475*44/12</f>
        <v>1.953425498373175E-8</v>
      </c>
      <c r="AX92" s="23">
        <f t="shared" si="60"/>
        <v>4.5508494461062501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439.19854273764042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752.99999999999977</v>
      </c>
      <c r="AJ93" s="14">
        <f>AI93*VLOOKUP('Données projet'!$B$10,Paramètres!$A$1:$I$89,3,0)*VLOOKUP('Données projet'!$B$10,Paramètres!$A$1:$I$89,5,0)</f>
        <v>552.09959999999978</v>
      </c>
      <c r="AK93" s="14">
        <f t="shared" si="89"/>
        <v>122.01091055125165</v>
      </c>
      <c r="AL93" s="22">
        <f t="shared" si="58"/>
        <v>1174.0758058767628</v>
      </c>
      <c r="AM93" s="62">
        <f t="shared" si="59"/>
        <v>1467.4091392100961</v>
      </c>
      <c r="AN93" s="62">
        <f ca="1">AVERAGE(OFFSET($AM$3,0,0,'Données projet'!$E$10+1,1))-AVERAGE(OFFSET($H$3,0,0,'Données projet'!$E$10+1,1))</f>
        <v>675.00969717491046</v>
      </c>
      <c r="AO93" s="62">
        <f t="shared" si="90"/>
        <v>572.99694897193285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4.4264062096836136</v>
      </c>
      <c r="AW93" s="23">
        <f>EXP(-LN(2)/2)*AW92+(1-EXP(-LN(2)/2))/(LN(2)/2)*AQ93*AT93*VLOOKUP('Données projet'!$B$10,Paramètres!$A$1:$I$89,3,0)*0.475*44/12</f>
        <v>1.3812804164423832E-8</v>
      </c>
      <c r="AX93" s="23">
        <f t="shared" si="60"/>
        <v>4.4264062234964179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439.19854273764042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752.99999999999977</v>
      </c>
      <c r="AJ94" s="14">
        <f>AI94*VLOOKUP('Données projet'!$B$10,Paramètres!$A$1:$I$89,3,0)*VLOOKUP('Données projet'!$B$10,Paramètres!$A$1:$I$89,5,0)</f>
        <v>552.09959999999978</v>
      </c>
      <c r="AK94" s="14">
        <f t="shared" si="89"/>
        <v>122.01091055125165</v>
      </c>
      <c r="AL94" s="22">
        <f t="shared" si="58"/>
        <v>1174.0758058767628</v>
      </c>
      <c r="AM94" s="62">
        <f t="shared" si="59"/>
        <v>1467.4091392100961</v>
      </c>
      <c r="AN94" s="62">
        <f ca="1">AVERAGE(OFFSET($AM$3,0,0,'Données projet'!$E$10+1,1))-AVERAGE(OFFSET($H$3,0,0,'Données projet'!$E$10+1,1))</f>
        <v>675.00969717491046</v>
      </c>
      <c r="AO94" s="62">
        <f t="shared" si="90"/>
        <v>572.99694897193285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4.3053658991052295</v>
      </c>
      <c r="AW94" s="23">
        <f>EXP(-LN(2)/2)*AW93+(1-EXP(-LN(2)/2))/(LN(2)/2)*AQ94*AT94*VLOOKUP('Données projet'!$B$10,Paramètres!$A$1:$I$89,3,0)*0.475*44/12</f>
        <v>9.7671274918658748E-9</v>
      </c>
      <c r="AX94" s="23">
        <f t="shared" si="60"/>
        <v>4.305365908872357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439.19854273764042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752.99999999999977</v>
      </c>
      <c r="AJ95" s="14">
        <f>AI95*VLOOKUP('Données projet'!$B$10,Paramètres!$A$1:$I$89,3,0)*VLOOKUP('Données projet'!$B$10,Paramètres!$A$1:$I$89,5,0)</f>
        <v>552.09959999999978</v>
      </c>
      <c r="AK95" s="14">
        <f t="shared" si="89"/>
        <v>122.01091055125165</v>
      </c>
      <c r="AL95" s="22">
        <f t="shared" si="58"/>
        <v>1174.0758058767628</v>
      </c>
      <c r="AM95" s="62">
        <f t="shared" si="59"/>
        <v>1467.4091392100961</v>
      </c>
      <c r="AN95" s="62">
        <f ca="1">AVERAGE(OFFSET($AM$3,0,0,'Données projet'!$E$10+1,1))-AVERAGE(OFFSET($H$3,0,0,'Données projet'!$E$10+1,1))</f>
        <v>675.00969717491046</v>
      </c>
      <c r="AO95" s="62">
        <f t="shared" si="90"/>
        <v>572.99694897193285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4.1876354421848445</v>
      </c>
      <c r="AW95" s="23">
        <f>EXP(-LN(2)/2)*AW94+(1-EXP(-LN(2)/2))/(LN(2)/2)*AQ95*AT95*VLOOKUP('Données projet'!$B$10,Paramètres!$A$1:$I$89,3,0)*0.475*44/12</f>
        <v>6.9064020822119159E-9</v>
      </c>
      <c r="AX95" s="23">
        <f t="shared" si="60"/>
        <v>4.1876354490912462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439.19854273764042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752.99999999999977</v>
      </c>
      <c r="AJ96" s="14">
        <f>AI96*VLOOKUP('Données projet'!$B$10,Paramètres!$A$1:$I$89,3,0)*VLOOKUP('Données projet'!$B$10,Paramètres!$A$1:$I$89,5,0)</f>
        <v>552.09959999999978</v>
      </c>
      <c r="AK96" s="14">
        <f t="shared" si="89"/>
        <v>122.01091055125165</v>
      </c>
      <c r="AL96" s="22">
        <f t="shared" si="58"/>
        <v>1174.0758058767628</v>
      </c>
      <c r="AM96" s="62">
        <f t="shared" si="59"/>
        <v>1467.4091392100961</v>
      </c>
      <c r="AN96" s="62">
        <f ca="1">AVERAGE(OFFSET($AM$3,0,0,'Données projet'!$E$10+1,1))-AVERAGE(OFFSET($H$3,0,0,'Données projet'!$E$10+1,1))</f>
        <v>675.00969717491046</v>
      </c>
      <c r="AO96" s="62">
        <f t="shared" si="90"/>
        <v>572.99694897193285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4.0731243308001233</v>
      </c>
      <c r="AW96" s="23">
        <f>EXP(-LN(2)/2)*AW95+(1-EXP(-LN(2)/2))/(LN(2)/2)*AQ96*AT96*VLOOKUP('Données projet'!$B$10,Paramètres!$A$1:$I$89,3,0)*0.475*44/12</f>
        <v>4.8835637459329374E-9</v>
      </c>
      <c r="AX96" s="23">
        <f t="shared" si="60"/>
        <v>4.073124335683687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439.19854273764042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752.99999999999977</v>
      </c>
      <c r="AJ97" s="14">
        <f>AI97*VLOOKUP('Données projet'!$B$10,Paramètres!$A$1:$I$89,3,0)*VLOOKUP('Données projet'!$B$10,Paramètres!$A$1:$I$89,5,0)</f>
        <v>552.09959999999978</v>
      </c>
      <c r="AK97" s="14">
        <f t="shared" si="89"/>
        <v>122.01091055125165</v>
      </c>
      <c r="AL97" s="22">
        <f t="shared" si="58"/>
        <v>1174.0758058767628</v>
      </c>
      <c r="AM97" s="62">
        <f t="shared" si="59"/>
        <v>1467.4091392100961</v>
      </c>
      <c r="AN97" s="62">
        <f ca="1">AVERAGE(OFFSET($AM$3,0,0,'Données projet'!$E$10+1,1))-AVERAGE(OFFSET($H$3,0,0,'Données projet'!$E$10+1,1))</f>
        <v>675.00969717491046</v>
      </c>
      <c r="AO97" s="62">
        <f t="shared" si="90"/>
        <v>572.99694897193285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3.9617445317780944</v>
      </c>
      <c r="AW97" s="23">
        <f>EXP(-LN(2)/2)*AW96+(1-EXP(-LN(2)/2))/(LN(2)/2)*AQ97*AT97*VLOOKUP('Données projet'!$B$10,Paramètres!$A$1:$I$89,3,0)*0.475*44/12</f>
        <v>3.453201041105958E-9</v>
      </c>
      <c r="AX97" s="23">
        <f t="shared" si="60"/>
        <v>3.9617445352312952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439.19854273764042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752.99999999999977</v>
      </c>
      <c r="AJ98" s="14">
        <f>AI98*VLOOKUP('Données projet'!$B$10,Paramètres!$A$1:$I$89,3,0)*VLOOKUP('Données projet'!$B$10,Paramètres!$A$1:$I$89,5,0)</f>
        <v>552.09959999999978</v>
      </c>
      <c r="AK98" s="14">
        <f t="shared" si="89"/>
        <v>122.01091055125165</v>
      </c>
      <c r="AL98" s="22">
        <f t="shared" si="58"/>
        <v>1174.0758058767628</v>
      </c>
      <c r="AM98" s="62">
        <f t="shared" si="59"/>
        <v>1467.4091392100961</v>
      </c>
      <c r="AN98" s="62">
        <f ca="1">AVERAGE(OFFSET($AM$3,0,0,'Données projet'!$E$10+1,1))-AVERAGE(OFFSET($H$3,0,0,'Données projet'!$E$10+1,1))</f>
        <v>675.00969717491046</v>
      </c>
      <c r="AO98" s="62">
        <f t="shared" si="90"/>
        <v>572.99694897193285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3.853410419217532</v>
      </c>
      <c r="AW98" s="23">
        <f>EXP(-LN(2)/2)*AW97+(1-EXP(-LN(2)/2))/(LN(2)/2)*AQ98*AT98*VLOOKUP('Données projet'!$B$10,Paramètres!$A$1:$I$89,3,0)*0.475*44/12</f>
        <v>2.4417818729664687E-9</v>
      </c>
      <c r="AX98" s="23">
        <f t="shared" si="60"/>
        <v>3.8534104216593139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439.19854273764042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752.99999999999977</v>
      </c>
      <c r="AJ99" s="14">
        <f>AI99*VLOOKUP('Données projet'!$B$10,Paramètres!$A$1:$I$89,3,0)*VLOOKUP('Données projet'!$B$10,Paramètres!$A$1:$I$89,5,0)</f>
        <v>552.09959999999978</v>
      </c>
      <c r="AK99" s="14">
        <f t="shared" si="89"/>
        <v>122.01091055125165</v>
      </c>
      <c r="AL99" s="22">
        <f t="shared" si="58"/>
        <v>1174.0758058767628</v>
      </c>
      <c r="AM99" s="62">
        <f t="shared" si="59"/>
        <v>1467.4091392100961</v>
      </c>
      <c r="AN99" s="62">
        <f ca="1">AVERAGE(OFFSET($AM$3,0,0,'Données projet'!$E$10+1,1))-AVERAGE(OFFSET($H$3,0,0,'Données projet'!$E$10+1,1))</f>
        <v>675.00969717491046</v>
      </c>
      <c r="AO99" s="62">
        <f t="shared" si="90"/>
        <v>572.99694897193285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3.7480387086619817</v>
      </c>
      <c r="AW99" s="23">
        <f>EXP(-LN(2)/2)*AW98+(1-EXP(-LN(2)/2))/(LN(2)/2)*AQ99*AT99*VLOOKUP('Données projet'!$B$10,Paramètres!$A$1:$I$89,3,0)*0.475*44/12</f>
        <v>1.726600520552979E-9</v>
      </c>
      <c r="AX99" s="23">
        <f t="shared" si="60"/>
        <v>3.7480387103885824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439.19854273764042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752.99999999999977</v>
      </c>
      <c r="AJ100" s="14">
        <f>AI100*VLOOKUP('Données projet'!$B$10,Paramètres!$A$1:$I$89,3,0)*VLOOKUP('Données projet'!$B$10,Paramètres!$A$1:$I$89,5,0)</f>
        <v>552.09959999999978</v>
      </c>
      <c r="AK100" s="14">
        <f t="shared" si="89"/>
        <v>122.01091055125165</v>
      </c>
      <c r="AL100" s="22">
        <f t="shared" si="58"/>
        <v>1174.0758058767628</v>
      </c>
      <c r="AM100" s="62">
        <f t="shared" si="59"/>
        <v>1467.4091392100961</v>
      </c>
      <c r="AN100" s="62">
        <f ca="1">AVERAGE(OFFSET($AM$3,0,0,'Données projet'!$E$10+1,1))-AVERAGE(OFFSET($H$3,0,0,'Données projet'!$E$10+1,1))</f>
        <v>675.00969717491046</v>
      </c>
      <c r="AO100" s="62">
        <f t="shared" si="90"/>
        <v>572.99694897193285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3.6455483930728305</v>
      </c>
      <c r="AW100" s="23">
        <f>EXP(-LN(2)/2)*AW99+(1-EXP(-LN(2)/2))/(LN(2)/2)*AQ100*AT100*VLOOKUP('Données projet'!$B$10,Paramètres!$A$1:$I$89,3,0)*0.475*44/12</f>
        <v>1.2208909364832343E-9</v>
      </c>
      <c r="AX100" s="23">
        <f t="shared" si="60"/>
        <v>3.6455483942937215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439.19854273764042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752.99999999999977</v>
      </c>
      <c r="AJ101" s="14">
        <f>AI101*VLOOKUP('Données projet'!$B$10,Paramètres!$A$1:$I$89,3,0)*VLOOKUP('Données projet'!$B$10,Paramètres!$A$1:$I$89,5,0)</f>
        <v>552.09959999999978</v>
      </c>
      <c r="AK101" s="14">
        <f t="shared" si="89"/>
        <v>122.01091055125165</v>
      </c>
      <c r="AL101" s="22">
        <f t="shared" si="58"/>
        <v>1174.0758058767628</v>
      </c>
      <c r="AM101" s="62">
        <f t="shared" si="59"/>
        <v>1467.4091392100961</v>
      </c>
      <c r="AN101" s="62">
        <f ca="1">AVERAGE(OFFSET($AM$3,0,0,'Données projet'!$E$10+1,1))-AVERAGE(OFFSET($H$3,0,0,'Données projet'!$E$10+1,1))</f>
        <v>675.00969717491046</v>
      </c>
      <c r="AO101" s="62">
        <f t="shared" si="90"/>
        <v>572.99694897193285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3.5458606805531958</v>
      </c>
      <c r="AW101" s="23">
        <f>EXP(-LN(2)/2)*AW100+(1-EXP(-LN(2)/2))/(LN(2)/2)*AQ101*AT101*VLOOKUP('Données projet'!$B$10,Paramètres!$A$1:$I$89,3,0)*0.475*44/12</f>
        <v>8.6330026027648949E-10</v>
      </c>
      <c r="AX101" s="23">
        <f t="shared" si="60"/>
        <v>3.5458606814164959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439.19854273764042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752.99999999999977</v>
      </c>
      <c r="AJ102" s="14">
        <f>AI102*VLOOKUP('Données projet'!$B$10,Paramètres!$A$1:$I$89,3,0)*VLOOKUP('Données projet'!$B$10,Paramètres!$A$1:$I$89,5,0)</f>
        <v>552.09959999999978</v>
      </c>
      <c r="AK102" s="14">
        <f t="shared" si="89"/>
        <v>122.01091055125165</v>
      </c>
      <c r="AL102" s="22">
        <f t="shared" si="58"/>
        <v>1174.0758058767628</v>
      </c>
      <c r="AM102" s="62">
        <f t="shared" si="59"/>
        <v>1467.4091392100961</v>
      </c>
      <c r="AN102" s="62">
        <f ca="1">AVERAGE(OFFSET($AM$3,0,0,'Données projet'!$E$10+1,1))-AVERAGE(OFFSET($H$3,0,0,'Données projet'!$E$10+1,1))</f>
        <v>675.00969717491046</v>
      </c>
      <c r="AO102" s="62">
        <f t="shared" si="90"/>
        <v>572.99694897193285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3.4488989337747595</v>
      </c>
      <c r="AW102" s="23">
        <f>EXP(-LN(2)/2)*AW101+(1-EXP(-LN(2)/2))/(LN(2)/2)*AQ102*AT102*VLOOKUP('Données projet'!$B$10,Paramètres!$A$1:$I$89,3,0)*0.475*44/12</f>
        <v>6.1044546824161717E-10</v>
      </c>
      <c r="AX102" s="23">
        <f t="shared" si="60"/>
        <v>3.448898934385205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439.19854273764042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752.99999999999977</v>
      </c>
      <c r="AJ103" s="14">
        <f>AI103*VLOOKUP('Données projet'!$B$10,Paramètres!$A$1:$I$89,3,0)*VLOOKUP('Données projet'!$B$10,Paramètres!$A$1:$I$89,5,0)</f>
        <v>552.09959999999978</v>
      </c>
      <c r="AK103" s="14">
        <f t="shared" si="89"/>
        <v>122.01091055125165</v>
      </c>
      <c r="AL103" s="22">
        <f t="shared" si="58"/>
        <v>1174.0758058767628</v>
      </c>
      <c r="AM103" s="62">
        <f t="shared" si="59"/>
        <v>1467.4091392100961</v>
      </c>
      <c r="AN103" s="62">
        <f ca="1">AVERAGE(OFFSET($AM$3,0,0,'Données projet'!$E$10+1,1))-AVERAGE(OFFSET($H$3,0,0,'Données projet'!$E$10+1,1))</f>
        <v>675.00969717491046</v>
      </c>
      <c r="AO103" s="62">
        <f t="shared" si="90"/>
        <v>572.99694897193285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3.3545886110609762</v>
      </c>
      <c r="AW103" s="23">
        <f>EXP(-LN(2)/2)*AW102+(1-EXP(-LN(2)/2))/(LN(2)/2)*AQ103*AT103*VLOOKUP('Données projet'!$B$10,Paramètres!$A$1:$I$89,3,0)*0.475*44/12</f>
        <v>4.3165013013824475E-10</v>
      </c>
      <c r="AX103" s="23">
        <f t="shared" si="60"/>
        <v>3.3545886114926264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439.19854273764042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752.99999999999977</v>
      </c>
      <c r="AJ104" s="14">
        <f>AI104*VLOOKUP('Données projet'!$B$10,Paramètres!$A$1:$I$89,3,0)*VLOOKUP('Données projet'!$B$10,Paramètres!$A$1:$I$89,5,0)</f>
        <v>552.09959999999978</v>
      </c>
      <c r="AK104" s="14">
        <f t="shared" si="89"/>
        <v>122.01091055125165</v>
      </c>
      <c r="AL104" s="22">
        <f t="shared" si="58"/>
        <v>1174.0758058767628</v>
      </c>
      <c r="AM104" s="62">
        <f t="shared" si="59"/>
        <v>1467.4091392100961</v>
      </c>
      <c r="AN104" s="62">
        <f ca="1">AVERAGE(OFFSET($AM$3,0,0,'Données projet'!$E$10+1,1))-AVERAGE(OFFSET($H$3,0,0,'Données projet'!$E$10+1,1))</f>
        <v>675.00969717491046</v>
      </c>
      <c r="AO104" s="62">
        <f t="shared" si="90"/>
        <v>572.99694897193285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3.2628572090813659</v>
      </c>
      <c r="AW104" s="23">
        <f>EXP(-LN(2)/2)*AW103+(1-EXP(-LN(2)/2))/(LN(2)/2)*AQ104*AT104*VLOOKUP('Données projet'!$B$10,Paramètres!$A$1:$I$89,3,0)*0.475*44/12</f>
        <v>3.0522273412080859E-10</v>
      </c>
      <c r="AX104" s="23">
        <f t="shared" si="60"/>
        <v>3.2628572093865884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439.19854273764042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752.99999999999977</v>
      </c>
      <c r="AJ105" s="14">
        <f>AI105*VLOOKUP('Données projet'!$B$10,Paramètres!$A$1:$I$89,3,0)*VLOOKUP('Données projet'!$B$10,Paramètres!$A$1:$I$89,5,0)</f>
        <v>552.09959999999978</v>
      </c>
      <c r="AK105" s="14">
        <f t="shared" si="89"/>
        <v>122.01091055125165</v>
      </c>
      <c r="AL105" s="22">
        <f t="shared" si="58"/>
        <v>1174.0758058767628</v>
      </c>
      <c r="AM105" s="62">
        <f t="shared" si="59"/>
        <v>1467.4091392100961</v>
      </c>
      <c r="AN105" s="62">
        <f ca="1">AVERAGE(OFFSET($AM$3,0,0,'Données projet'!$E$10+1,1))-AVERAGE(OFFSET($H$3,0,0,'Données projet'!$E$10+1,1))</f>
        <v>675.00969717491046</v>
      </c>
      <c r="AO105" s="62">
        <f t="shared" si="90"/>
        <v>572.99694897193285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3.1736342071128325</v>
      </c>
      <c r="AW105" s="23">
        <f>EXP(-LN(2)/2)*AW104+(1-EXP(-LN(2)/2))/(LN(2)/2)*AQ105*AT105*VLOOKUP('Données projet'!$B$10,Paramètres!$A$1:$I$89,3,0)*0.475*44/12</f>
        <v>2.1582506506912237E-10</v>
      </c>
      <c r="AX105" s="23">
        <f t="shared" si="60"/>
        <v>3.1736342073286576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439.19854273764042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752.99999999999977</v>
      </c>
      <c r="AJ106" s="14">
        <f>AI106*VLOOKUP('Données projet'!$B$10,Paramètres!$A$1:$I$89,3,0)*VLOOKUP('Données projet'!$B$10,Paramètres!$A$1:$I$89,5,0)</f>
        <v>552.09959999999978</v>
      </c>
      <c r="AK106" s="14">
        <f t="shared" si="89"/>
        <v>122.01091055125165</v>
      </c>
      <c r="AL106" s="22">
        <f t="shared" si="58"/>
        <v>1174.0758058767628</v>
      </c>
      <c r="AM106" s="62">
        <f t="shared" si="59"/>
        <v>1467.4091392100961</v>
      </c>
      <c r="AN106" s="62">
        <f ca="1">AVERAGE(OFFSET($AM$3,0,0,'Données projet'!$E$10+1,1))-AVERAGE(OFFSET($H$3,0,0,'Données projet'!$E$10+1,1))</f>
        <v>675.00969717491046</v>
      </c>
      <c r="AO106" s="62">
        <f t="shared" si="90"/>
        <v>572.99694897193285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3.0868510128251625</v>
      </c>
      <c r="AW106" s="23">
        <f>EXP(-LN(2)/2)*AW105+(1-EXP(-LN(2)/2))/(LN(2)/2)*AQ106*AT106*VLOOKUP('Données projet'!$B$10,Paramètres!$A$1:$I$89,3,0)*0.475*44/12</f>
        <v>1.5261136706040429E-10</v>
      </c>
      <c r="AX106" s="23">
        <f t="shared" si="60"/>
        <v>3.0868510129777738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439.19854273764042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752.99999999999977</v>
      </c>
      <c r="AJ107" s="14">
        <f>AI107*VLOOKUP('Données projet'!$B$10,Paramètres!$A$1:$I$89,3,0)*VLOOKUP('Données projet'!$B$10,Paramètres!$A$1:$I$89,5,0)</f>
        <v>552.09959999999978</v>
      </c>
      <c r="AK107" s="14">
        <f t="shared" si="89"/>
        <v>122.01091055125165</v>
      </c>
      <c r="AL107" s="22">
        <f t="shared" si="58"/>
        <v>1174.0758058767628</v>
      </c>
      <c r="AM107" s="62">
        <f t="shared" si="59"/>
        <v>1467.4091392100961</v>
      </c>
      <c r="AN107" s="62">
        <f ca="1">AVERAGE(OFFSET($AM$3,0,0,'Données projet'!$E$10+1,1))-AVERAGE(OFFSET($H$3,0,0,'Données projet'!$E$10+1,1))</f>
        <v>675.00969717491046</v>
      </c>
      <c r="AO107" s="62">
        <f t="shared" si="90"/>
        <v>572.99694897193285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3.0024409095490188</v>
      </c>
      <c r="AW107" s="23">
        <f>EXP(-LN(2)/2)*AW106+(1-EXP(-LN(2)/2))/(LN(2)/2)*AQ107*AT107*VLOOKUP('Données projet'!$B$10,Paramètres!$A$1:$I$89,3,0)*0.475*44/12</f>
        <v>1.0791253253456119E-10</v>
      </c>
      <c r="AX107" s="23">
        <f t="shared" si="60"/>
        <v>3.0024409096569311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439.19854273764042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752.99999999999977</v>
      </c>
      <c r="AJ108" s="14">
        <f>AI108*VLOOKUP('Données projet'!$B$10,Paramètres!$A$1:$I$89,3,0)*VLOOKUP('Données projet'!$B$10,Paramètres!$A$1:$I$89,5,0)</f>
        <v>552.09959999999978</v>
      </c>
      <c r="AK108" s="14">
        <f t="shared" si="89"/>
        <v>122.01091055125165</v>
      </c>
      <c r="AL108" s="22">
        <f t="shared" si="58"/>
        <v>1174.0758058767628</v>
      </c>
      <c r="AM108" s="62">
        <f t="shared" si="59"/>
        <v>1467.4091392100961</v>
      </c>
      <c r="AN108" s="62">
        <f ca="1">AVERAGE(OFFSET($AM$3,0,0,'Données projet'!$E$10+1,1))-AVERAGE(OFFSET($H$3,0,0,'Données projet'!$E$10+1,1))</f>
        <v>675.00969717491046</v>
      </c>
      <c r="AO108" s="62">
        <f t="shared" si="90"/>
        <v>572.99694897193285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2.9203390049858955</v>
      </c>
      <c r="AW108" s="23">
        <f>EXP(-LN(2)/2)*AW107+(1-EXP(-LN(2)/2))/(LN(2)/2)*AQ108*AT108*VLOOKUP('Données projet'!$B$10,Paramètres!$A$1:$I$89,3,0)*0.475*44/12</f>
        <v>7.6305683530202147E-11</v>
      </c>
      <c r="AX108" s="23">
        <f t="shared" si="60"/>
        <v>2.9203390050622011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439.19854273764042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752.99999999999977</v>
      </c>
      <c r="AJ109" s="14">
        <f>AI109*VLOOKUP('Données projet'!$B$10,Paramètres!$A$1:$I$89,3,0)*VLOOKUP('Données projet'!$B$10,Paramètres!$A$1:$I$89,5,0)</f>
        <v>552.09959999999978</v>
      </c>
      <c r="AK109" s="14">
        <f t="shared" si="89"/>
        <v>122.01091055125165</v>
      </c>
      <c r="AL109" s="22">
        <f t="shared" si="58"/>
        <v>1174.0758058767628</v>
      </c>
      <c r="AM109" s="62">
        <f t="shared" si="59"/>
        <v>1467.4091392100961</v>
      </c>
      <c r="AN109" s="62">
        <f ca="1">AVERAGE(OFFSET($AM$3,0,0,'Données projet'!$E$10+1,1))-AVERAGE(OFFSET($H$3,0,0,'Données projet'!$E$10+1,1))</f>
        <v>675.00969717491046</v>
      </c>
      <c r="AO109" s="62">
        <f t="shared" si="90"/>
        <v>572.99694897193285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2.8404821813206023</v>
      </c>
      <c r="AW109" s="23">
        <f>EXP(-LN(2)/2)*AW108+(1-EXP(-LN(2)/2))/(LN(2)/2)*AQ109*AT109*VLOOKUP('Données projet'!$B$10,Paramètres!$A$1:$I$89,3,0)*0.475*44/12</f>
        <v>5.3956266267280593E-11</v>
      </c>
      <c r="AX109" s="23">
        <f t="shared" si="60"/>
        <v>2.8404821813745587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439.19854273764042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752.99999999999977</v>
      </c>
      <c r="AJ110" s="14">
        <f>AI110*VLOOKUP('Données projet'!$B$10,Paramètres!$A$1:$I$89,3,0)*VLOOKUP('Données projet'!$B$10,Paramètres!$A$1:$I$89,5,0)</f>
        <v>552.09959999999978</v>
      </c>
      <c r="AK110" s="14">
        <f t="shared" si="89"/>
        <v>122.01091055125165</v>
      </c>
      <c r="AL110" s="22">
        <f t="shared" si="58"/>
        <v>1174.0758058767628</v>
      </c>
      <c r="AM110" s="62">
        <f t="shared" si="59"/>
        <v>1467.4091392100961</v>
      </c>
      <c r="AN110" s="62">
        <f ca="1">AVERAGE(OFFSET($AM$3,0,0,'Données projet'!$E$10+1,1))-AVERAGE(OFFSET($H$3,0,0,'Données projet'!$E$10+1,1))</f>
        <v>675.00969717491046</v>
      </c>
      <c r="AO110" s="62">
        <f t="shared" si="90"/>
        <v>572.99694897193285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2.7628090466979245</v>
      </c>
      <c r="AW110" s="23">
        <f>EXP(-LN(2)/2)*AW109+(1-EXP(-LN(2)/2))/(LN(2)/2)*AQ110*AT110*VLOOKUP('Données projet'!$B$10,Paramètres!$A$1:$I$89,3,0)*0.475*44/12</f>
        <v>3.8152841765101073E-11</v>
      </c>
      <c r="AX110" s="23">
        <f t="shared" si="60"/>
        <v>2.7628090467360775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439.19854273764042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752.99999999999977</v>
      </c>
      <c r="AJ111" s="14">
        <f>AI111*VLOOKUP('Données projet'!$B$10,Paramètres!$A$1:$I$89,3,0)*VLOOKUP('Données projet'!$B$10,Paramètres!$A$1:$I$89,5,0)</f>
        <v>552.09959999999978</v>
      </c>
      <c r="AK111" s="14">
        <f t="shared" si="89"/>
        <v>122.01091055125165</v>
      </c>
      <c r="AL111" s="22">
        <f t="shared" si="58"/>
        <v>1174.0758058767628</v>
      </c>
      <c r="AM111" s="62">
        <f t="shared" si="59"/>
        <v>1467.4091392100961</v>
      </c>
      <c r="AN111" s="62">
        <f ca="1">AVERAGE(OFFSET($AM$3,0,0,'Données projet'!$E$10+1,1))-AVERAGE(OFFSET($H$3,0,0,'Données projet'!$E$10+1,1))</f>
        <v>675.00969717491046</v>
      </c>
      <c r="AO111" s="62">
        <f t="shared" si="90"/>
        <v>572.99694897193285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2.6872598880261567</v>
      </c>
      <c r="AW111" s="23">
        <f>EXP(-LN(2)/2)*AW110+(1-EXP(-LN(2)/2))/(LN(2)/2)*AQ111*AT111*VLOOKUP('Données projet'!$B$10,Paramètres!$A$1:$I$89,3,0)*0.475*44/12</f>
        <v>2.6978133133640297E-11</v>
      </c>
      <c r="AX111" s="23">
        <f t="shared" si="60"/>
        <v>2.6872598880531346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439.19854273764042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752.99999999999977</v>
      </c>
      <c r="AJ112" s="14">
        <f>AI112*VLOOKUP('Données projet'!$B$10,Paramètres!$A$1:$I$89,3,0)*VLOOKUP('Données projet'!$B$10,Paramètres!$A$1:$I$89,5,0)</f>
        <v>552.09959999999978</v>
      </c>
      <c r="AK112" s="14">
        <f t="shared" si="89"/>
        <v>122.01091055125165</v>
      </c>
      <c r="AL112" s="22">
        <f t="shared" si="58"/>
        <v>1174.0758058767628</v>
      </c>
      <c r="AM112" s="62">
        <f t="shared" si="59"/>
        <v>1467.4091392100961</v>
      </c>
      <c r="AN112" s="62">
        <f ca="1">AVERAGE(OFFSET($AM$3,0,0,'Données projet'!$E$10+1,1))-AVERAGE(OFFSET($H$3,0,0,'Données projet'!$E$10+1,1))</f>
        <v>675.00969717491046</v>
      </c>
      <c r="AO112" s="62">
        <f t="shared" si="90"/>
        <v>572.99694897193285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2.6137766250712255</v>
      </c>
      <c r="AW112" s="23">
        <f>EXP(-LN(2)/2)*AW111+(1-EXP(-LN(2)/2))/(LN(2)/2)*AQ112*AT112*VLOOKUP('Données projet'!$B$10,Paramètres!$A$1:$I$89,3,0)*0.475*44/12</f>
        <v>1.9076420882550537E-11</v>
      </c>
      <c r="AX112" s="23">
        <f t="shared" si="60"/>
        <v>2.6137766250903018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439.19854273764042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752.99999999999977</v>
      </c>
      <c r="AJ113" s="14">
        <f>AI113*VLOOKUP('Données projet'!$B$10,Paramètres!$A$1:$I$89,3,0)*VLOOKUP('Données projet'!$B$10,Paramètres!$A$1:$I$89,5,0)</f>
        <v>552.09959999999978</v>
      </c>
      <c r="AK113" s="14">
        <f t="shared" si="89"/>
        <v>122.01091055125165</v>
      </c>
      <c r="AL113" s="22">
        <f t="shared" si="58"/>
        <v>1174.0758058767628</v>
      </c>
      <c r="AM113" s="62">
        <f t="shared" si="59"/>
        <v>1467.4091392100961</v>
      </c>
      <c r="AN113" s="62">
        <f ca="1">AVERAGE(OFFSET($AM$3,0,0,'Données projet'!$E$10+1,1))-AVERAGE(OFFSET($H$3,0,0,'Données projet'!$E$10+1,1))</f>
        <v>675.00969717491046</v>
      </c>
      <c r="AO113" s="62">
        <f t="shared" si="90"/>
        <v>572.99694897193285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2.5423027658061139</v>
      </c>
      <c r="AW113" s="23">
        <f>EXP(-LN(2)/2)*AW112+(1-EXP(-LN(2)/2))/(LN(2)/2)*AQ113*AT113*VLOOKUP('Données projet'!$B$10,Paramètres!$A$1:$I$89,3,0)*0.475*44/12</f>
        <v>1.3489066566820148E-11</v>
      </c>
      <c r="AX113" s="23">
        <f t="shared" si="60"/>
        <v>2.5423027658196031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4.8</v>
      </c>
      <c r="N114" s="14">
        <f>IF('Données projet'!$A$36&gt;35,N113+M114-V113,IF(A114&lt;'Données projet'!$A$36,$K$205^A114,IF(A114='Données projet'!$A$36,'Données projet'!$B$36,N113+M114-V113)))</f>
        <v>311.7999999999999</v>
      </c>
      <c r="O114" s="14">
        <f>N114*VLOOKUP('Données projet'!$B$9,Paramètres!$A$1:$I$89,3,0)*VLOOKUP('Données projet'!$B$9,Paramètres!$A$1:$I$89,5,0)</f>
        <v>282.1166399999999</v>
      </c>
      <c r="P114" s="14">
        <f t="shared" si="87"/>
        <v>67.414119514142243</v>
      </c>
      <c r="Q114" s="22">
        <f t="shared" si="107"/>
        <v>608.76607282046416</v>
      </c>
      <c r="R114" s="62">
        <f t="shared" si="55"/>
        <v>902.09940615379742</v>
      </c>
      <c r="S114" s="62">
        <f ca="1">AVERAGE(OFFSET($R$3,0,0,'Données projet'!$E$9+1,1))-AVERAGE(OFFSET($H$3,0,0,'Données projet'!$E$9+1,1))</f>
        <v>439.19854273764042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752.99999999999977</v>
      </c>
      <c r="AJ114" s="14">
        <f>AI114*VLOOKUP('Données projet'!$B$10,Paramètres!$A$1:$I$89,3,0)*VLOOKUP('Données projet'!$B$10,Paramètres!$A$1:$I$89,5,0)</f>
        <v>552.09959999999978</v>
      </c>
      <c r="AK114" s="14">
        <f t="shared" si="89"/>
        <v>122.01091055125165</v>
      </c>
      <c r="AL114" s="22">
        <f t="shared" si="58"/>
        <v>1174.0758058767628</v>
      </c>
      <c r="AM114" s="62">
        <f t="shared" si="59"/>
        <v>1467.4091392100961</v>
      </c>
      <c r="AN114" s="62">
        <f ca="1">AVERAGE(OFFSET($AM$3,0,0,'Données projet'!$E$10+1,1))-AVERAGE(OFFSET($H$3,0,0,'Données projet'!$E$10+1,1))</f>
        <v>675.00969717491046</v>
      </c>
      <c r="AO114" s="62">
        <f t="shared" si="90"/>
        <v>572.99694897193285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2.4727833629812537</v>
      </c>
      <c r="AW114" s="23">
        <f>EXP(-LN(2)/2)*AW113+(1-EXP(-LN(2)/2))/(LN(2)/2)*AQ114*AT114*VLOOKUP('Données projet'!$B$10,Paramètres!$A$1:$I$89,3,0)*0.475*44/12</f>
        <v>9.5382104412752683E-12</v>
      </c>
      <c r="AX114" s="23">
        <f t="shared" si="60"/>
        <v>2.4727833629907918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4.8</v>
      </c>
      <c r="N115" s="14">
        <f>IF('Données projet'!$A$36&gt;35,N114+M115-V114,IF(A115&lt;'Données projet'!$A$36,$K$205^A115,IF(A115='Données projet'!$A$36,'Données projet'!$B$36,N114+M115-V114)))</f>
        <v>316.59999999999991</v>
      </c>
      <c r="O115" s="14">
        <f>N115*VLOOKUP('Données projet'!$B$9,Paramètres!$A$1:$I$89,3,0)*VLOOKUP('Données projet'!$B$9,Paramètres!$A$1:$I$89,5,0)</f>
        <v>286.45967999999988</v>
      </c>
      <c r="P115" s="14">
        <f t="shared" si="87"/>
        <v>68.330307577101138</v>
      </c>
      <c r="Q115" s="22">
        <f t="shared" si="107"/>
        <v>617.92589503011754</v>
      </c>
      <c r="R115" s="62">
        <f t="shared" si="55"/>
        <v>911.2592283634508</v>
      </c>
      <c r="S115" s="62">
        <f ca="1">AVERAGE(OFFSET($R$3,0,0,'Données projet'!$E$9+1,1))-AVERAGE(OFFSET($H$3,0,0,'Données projet'!$E$9+1,1))</f>
        <v>439.19854273764042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752.99999999999977</v>
      </c>
      <c r="AJ115" s="14">
        <f>AI115*VLOOKUP('Données projet'!$B$10,Paramètres!$A$1:$I$89,3,0)*VLOOKUP('Données projet'!$B$10,Paramètres!$A$1:$I$89,5,0)</f>
        <v>552.09959999999978</v>
      </c>
      <c r="AK115" s="14">
        <f t="shared" si="89"/>
        <v>122.01091055125165</v>
      </c>
      <c r="AL115" s="22">
        <f t="shared" si="58"/>
        <v>1174.0758058767628</v>
      </c>
      <c r="AM115" s="62">
        <f t="shared" si="59"/>
        <v>1467.4091392100961</v>
      </c>
      <c r="AN115" s="62">
        <f ca="1">AVERAGE(OFFSET($AM$3,0,0,'Données projet'!$E$10+1,1))-AVERAGE(OFFSET($H$3,0,0,'Données projet'!$E$10+1,1))</f>
        <v>675.00969717491046</v>
      </c>
      <c r="AO115" s="62">
        <f t="shared" si="90"/>
        <v>572.99694897193285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2.4051649718825057</v>
      </c>
      <c r="AW115" s="23">
        <f>EXP(-LN(2)/2)*AW114+(1-EXP(-LN(2)/2))/(LN(2)/2)*AQ115*AT115*VLOOKUP('Données projet'!$B$10,Paramètres!$A$1:$I$89,3,0)*0.475*44/12</f>
        <v>6.7445332834100741E-12</v>
      </c>
      <c r="AX115" s="23">
        <f t="shared" si="60"/>
        <v>2.40516497188925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4.8</v>
      </c>
      <c r="N116" s="14">
        <f>IF('Données projet'!$A$36&gt;35,N115+M116-V115,IF(A116&lt;'Données projet'!$A$36,$K$205^A116,IF(A116='Données projet'!$A$36,'Données projet'!$B$36,N115+M116-V115)))</f>
        <v>321.39999999999992</v>
      </c>
      <c r="O116" s="14">
        <f>N116*VLOOKUP('Données projet'!$B$9,Paramètres!$A$1:$I$89,3,0)*VLOOKUP('Données projet'!$B$9,Paramètres!$A$1:$I$89,5,0)</f>
        <v>290.80271999999991</v>
      </c>
      <c r="P116" s="14">
        <f t="shared" si="87"/>
        <v>69.244880157128961</v>
      </c>
      <c r="Q116" s="22">
        <f t="shared" si="107"/>
        <v>627.08290360699937</v>
      </c>
      <c r="R116" s="62">
        <f t="shared" si="55"/>
        <v>920.41623694033274</v>
      </c>
      <c r="S116" s="62">
        <f ca="1">AVERAGE(OFFSET($R$3,0,0,'Données projet'!$E$9+1,1))-AVERAGE(OFFSET($H$3,0,0,'Données projet'!$E$9+1,1))</f>
        <v>439.19854273764042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752.99999999999977</v>
      </c>
      <c r="AJ116" s="14">
        <f>AI116*VLOOKUP('Données projet'!$B$10,Paramètres!$A$1:$I$89,3,0)*VLOOKUP('Données projet'!$B$10,Paramètres!$A$1:$I$89,5,0)</f>
        <v>552.09959999999978</v>
      </c>
      <c r="AK116" s="14">
        <f t="shared" si="89"/>
        <v>122.01091055125165</v>
      </c>
      <c r="AL116" s="22">
        <f t="shared" si="58"/>
        <v>1174.0758058767628</v>
      </c>
      <c r="AM116" s="62">
        <f t="shared" si="59"/>
        <v>1467.4091392100961</v>
      </c>
      <c r="AN116" s="62">
        <f ca="1">AVERAGE(OFFSET($AM$3,0,0,'Données projet'!$E$10+1,1))-AVERAGE(OFFSET($H$3,0,0,'Données projet'!$E$10+1,1))</f>
        <v>675.00969717491046</v>
      </c>
      <c r="AO116" s="62">
        <f t="shared" si="90"/>
        <v>572.99694897193285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2.3393956092442498</v>
      </c>
      <c r="AW116" s="23">
        <f>EXP(-LN(2)/2)*AW115+(1-EXP(-LN(2)/2))/(LN(2)/2)*AQ116*AT116*VLOOKUP('Données projet'!$B$10,Paramètres!$A$1:$I$89,3,0)*0.475*44/12</f>
        <v>4.7691052206376342E-12</v>
      </c>
      <c r="AX116" s="23">
        <f t="shared" si="60"/>
        <v>2.3393956092490189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4.8</v>
      </c>
      <c r="N117" s="14">
        <f>IF('Données projet'!$A$36&gt;35,N116+M117-V116,IF(A117&lt;'Données projet'!$A$36,$K$205^A117,IF(A117='Données projet'!$A$36,'Données projet'!$B$36,N116+M117-V116)))</f>
        <v>326.19999999999993</v>
      </c>
      <c r="O117" s="14">
        <f>N117*VLOOKUP('Données projet'!$B$9,Paramètres!$A$1:$I$89,3,0)*VLOOKUP('Données projet'!$B$9,Paramètres!$A$1:$I$89,5,0)</f>
        <v>295.14575999999994</v>
      </c>
      <c r="P117" s="14">
        <f t="shared" si="87"/>
        <v>70.157864167878188</v>
      </c>
      <c r="Q117" s="22">
        <f t="shared" si="107"/>
        <v>636.237145425721</v>
      </c>
      <c r="R117" s="62">
        <f t="shared" si="55"/>
        <v>929.57047875905437</v>
      </c>
      <c r="S117" s="62">
        <f ca="1">AVERAGE(OFFSET($R$3,0,0,'Données projet'!$E$9+1,1))-AVERAGE(OFFSET($H$3,0,0,'Données projet'!$E$9+1,1))</f>
        <v>439.19854273764042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752.99999999999977</v>
      </c>
      <c r="AJ117" s="14">
        <f>AI117*VLOOKUP('Données projet'!$B$10,Paramètres!$A$1:$I$89,3,0)*VLOOKUP('Données projet'!$B$10,Paramètres!$A$1:$I$89,5,0)</f>
        <v>552.09959999999978</v>
      </c>
      <c r="AK117" s="14">
        <f t="shared" si="89"/>
        <v>122.01091055125165</v>
      </c>
      <c r="AL117" s="22">
        <f t="shared" si="58"/>
        <v>1174.0758058767628</v>
      </c>
      <c r="AM117" s="62">
        <f t="shared" si="59"/>
        <v>1467.4091392100961</v>
      </c>
      <c r="AN117" s="62">
        <f ca="1">AVERAGE(OFFSET($AM$3,0,0,'Données projet'!$E$10+1,1))-AVERAGE(OFFSET($H$3,0,0,'Données projet'!$E$10+1,1))</f>
        <v>675.00969717491046</v>
      </c>
      <c r="AO117" s="62">
        <f t="shared" si="90"/>
        <v>572.99694897193285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2.2754247132859975</v>
      </c>
      <c r="AW117" s="23">
        <f>EXP(-LN(2)/2)*AW116+(1-EXP(-LN(2)/2))/(LN(2)/2)*AQ117*AT117*VLOOKUP('Données projet'!$B$10,Paramètres!$A$1:$I$89,3,0)*0.475*44/12</f>
        <v>3.3722666417050371E-12</v>
      </c>
      <c r="AX117" s="23">
        <f t="shared" si="60"/>
        <v>2.2754247132893699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331</v>
      </c>
      <c r="L118" s="13">
        <f>VLOOKUP(A118,'Données projet'!$A$35:$I$55,9,0)</f>
        <v>4.8</v>
      </c>
      <c r="M118" s="13">
        <f t="array" ref="M118">INDEX(L:L,MIN(IF(ISNUMBER(L118:L314),ROW(L118:L314),"")))</f>
        <v>4.8</v>
      </c>
      <c r="N118" s="14">
        <f>IF('Données projet'!$A$36&gt;35,N117+M118-V117,IF(A118&lt;'Données projet'!$A$36,$K$205^A118,IF(A118='Données projet'!$A$36,'Données projet'!$B$36,N117+M118-V117)))</f>
        <v>330.99999999999994</v>
      </c>
      <c r="O118" s="14">
        <f>N118*VLOOKUP('Données projet'!$B$9,Paramètres!$A$1:$I$89,3,0)*VLOOKUP('Données projet'!$B$9,Paramètres!$A$1:$I$89,5,0)</f>
        <v>299.48879999999997</v>
      </c>
      <c r="P118" s="14">
        <f t="shared" si="87"/>
        <v>71.069285685467293</v>
      </c>
      <c r="Q118" s="22">
        <f t="shared" si="107"/>
        <v>645.38866590218879</v>
      </c>
      <c r="R118" s="62">
        <f t="shared" si="55"/>
        <v>938.72199923552216</v>
      </c>
      <c r="S118" s="62">
        <f ca="1">AVERAGE(OFFSET($R$3,0,0,'Données projet'!$E$9+1,1))-AVERAGE(OFFSET($H$3,0,0,'Données projet'!$E$9+1,1))</f>
        <v>439.19854273764042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752.99999999999977</v>
      </c>
      <c r="AJ118" s="14">
        <f>AI118*VLOOKUP('Données projet'!$B$10,Paramètres!$A$1:$I$89,3,0)*VLOOKUP('Données projet'!$B$10,Paramètres!$A$1:$I$89,5,0)</f>
        <v>552.09959999999978</v>
      </c>
      <c r="AK118" s="14">
        <f t="shared" si="89"/>
        <v>122.01091055125165</v>
      </c>
      <c r="AL118" s="22">
        <f t="shared" si="58"/>
        <v>1174.0758058767628</v>
      </c>
      <c r="AM118" s="62">
        <f t="shared" si="59"/>
        <v>1467.4091392100961</v>
      </c>
      <c r="AN118" s="62">
        <f ca="1">AVERAGE(OFFSET($AM$3,0,0,'Données projet'!$E$10+1,1))-AVERAGE(OFFSET($H$3,0,0,'Données projet'!$E$10+1,1))</f>
        <v>675.00969717491046</v>
      </c>
      <c r="AO118" s="62">
        <f t="shared" si="90"/>
        <v>572.99694897193285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2.2132031048418068</v>
      </c>
      <c r="AW118" s="23">
        <f>EXP(-LN(2)/2)*AW117+(1-EXP(-LN(2)/2))/(LN(2)/2)*AQ118*AT118*VLOOKUP('Données projet'!$B$10,Paramètres!$A$1:$I$89,3,0)*0.475*44/12</f>
        <v>2.3845526103188171E-12</v>
      </c>
      <c r="AX118" s="23">
        <f t="shared" si="60"/>
        <v>2.2132031048441916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439.19854273764042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752.99999999999977</v>
      </c>
      <c r="AJ119" s="14">
        <f>AI119*VLOOKUP('Données projet'!$B$10,Paramètres!$A$1:$I$89,3,0)*VLOOKUP('Données projet'!$B$10,Paramètres!$A$1:$I$89,5,0)</f>
        <v>552.09959999999978</v>
      </c>
      <c r="AK119" s="14">
        <f t="shared" si="89"/>
        <v>122.01091055125165</v>
      </c>
      <c r="AL119" s="22">
        <f t="shared" si="58"/>
        <v>1174.0758058767628</v>
      </c>
      <c r="AM119" s="62">
        <f t="shared" si="59"/>
        <v>1467.4091392100961</v>
      </c>
      <c r="AN119" s="62">
        <f ca="1">AVERAGE(OFFSET($AM$3,0,0,'Données projet'!$E$10+1,1))-AVERAGE(OFFSET($H$3,0,0,'Données projet'!$E$10+1,1))</f>
        <v>675.00969717491046</v>
      </c>
      <c r="AO119" s="62">
        <f t="shared" si="90"/>
        <v>572.99694897193285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2.1526829495526147</v>
      </c>
      <c r="AW119" s="23">
        <f>EXP(-LN(2)/2)*AW118+(1-EXP(-LN(2)/2))/(LN(2)/2)*AQ119*AT119*VLOOKUP('Données projet'!$B$10,Paramètres!$A$1:$I$89,3,0)*0.475*44/12</f>
        <v>1.6861333208525185E-12</v>
      </c>
      <c r="AX119" s="23">
        <f t="shared" si="60"/>
        <v>2.152682949554301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439.19854273764042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752.99999999999977</v>
      </c>
      <c r="AJ120" s="14">
        <f>AI120*VLOOKUP('Données projet'!$B$10,Paramètres!$A$1:$I$89,3,0)*VLOOKUP('Données projet'!$B$10,Paramètres!$A$1:$I$89,5,0)</f>
        <v>552.09959999999978</v>
      </c>
      <c r="AK120" s="14">
        <f t="shared" si="89"/>
        <v>122.01091055125165</v>
      </c>
      <c r="AL120" s="22">
        <f t="shared" si="58"/>
        <v>1174.0758058767628</v>
      </c>
      <c r="AM120" s="62">
        <f t="shared" si="59"/>
        <v>1467.4091392100961</v>
      </c>
      <c r="AN120" s="62">
        <f ca="1">AVERAGE(OFFSET($AM$3,0,0,'Données projet'!$E$10+1,1))-AVERAGE(OFFSET($H$3,0,0,'Données projet'!$E$10+1,1))</f>
        <v>675.00969717491046</v>
      </c>
      <c r="AO120" s="62">
        <f t="shared" si="90"/>
        <v>572.99694897193285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2.0938177210924223</v>
      </c>
      <c r="AW120" s="23">
        <f>EXP(-LN(2)/2)*AW119+(1-EXP(-LN(2)/2))/(LN(2)/2)*AQ120*AT120*VLOOKUP('Données projet'!$B$10,Paramètres!$A$1:$I$89,3,0)*0.475*44/12</f>
        <v>1.1922763051594085E-12</v>
      </c>
      <c r="AX120" s="23">
        <f t="shared" si="60"/>
        <v>2.0938177210936146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439.19854273764042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752.99999999999977</v>
      </c>
      <c r="AJ121" s="14">
        <f>AI121*VLOOKUP('Données projet'!$B$10,Paramètres!$A$1:$I$89,3,0)*VLOOKUP('Données projet'!$B$10,Paramètres!$A$1:$I$89,5,0)</f>
        <v>552.09959999999978</v>
      </c>
      <c r="AK121" s="14">
        <f t="shared" si="89"/>
        <v>122.01091055125165</v>
      </c>
      <c r="AL121" s="22">
        <f t="shared" si="58"/>
        <v>1174.0758058767628</v>
      </c>
      <c r="AM121" s="62">
        <f t="shared" si="59"/>
        <v>1467.4091392100961</v>
      </c>
      <c r="AN121" s="62">
        <f ca="1">AVERAGE(OFFSET($AM$3,0,0,'Données projet'!$E$10+1,1))-AVERAGE(OFFSET($H$3,0,0,'Données projet'!$E$10+1,1))</f>
        <v>675.00969717491046</v>
      </c>
      <c r="AO121" s="62">
        <f t="shared" si="90"/>
        <v>572.99694897193285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2.0365621654000616</v>
      </c>
      <c r="AW121" s="23">
        <f>EXP(-LN(2)/2)*AW120+(1-EXP(-LN(2)/2))/(LN(2)/2)*AQ121*AT121*VLOOKUP('Données projet'!$B$10,Paramètres!$A$1:$I$89,3,0)*0.475*44/12</f>
        <v>8.4306666042625927E-13</v>
      </c>
      <c r="AX121" s="23">
        <f t="shared" si="60"/>
        <v>2.0365621654009045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439.19854273764042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752.99999999999977</v>
      </c>
      <c r="AJ122" s="14">
        <f>AI122*VLOOKUP('Données projet'!$B$10,Paramètres!$A$1:$I$89,3,0)*VLOOKUP('Données projet'!$B$10,Paramètres!$A$1:$I$89,5,0)</f>
        <v>552.09959999999978</v>
      </c>
      <c r="AK122" s="14">
        <f t="shared" si="89"/>
        <v>122.01091055125165</v>
      </c>
      <c r="AL122" s="22">
        <f t="shared" si="58"/>
        <v>1174.0758058767628</v>
      </c>
      <c r="AM122" s="62">
        <f t="shared" si="59"/>
        <v>1467.4091392100961</v>
      </c>
      <c r="AN122" s="62">
        <f ca="1">AVERAGE(OFFSET($AM$3,0,0,'Données projet'!$E$10+1,1))-AVERAGE(OFFSET($H$3,0,0,'Données projet'!$E$10+1,1))</f>
        <v>675.00969717491046</v>
      </c>
      <c r="AO122" s="62">
        <f t="shared" si="90"/>
        <v>572.99694897193285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1.9808722658890472</v>
      </c>
      <c r="AW122" s="23">
        <f>EXP(-LN(2)/2)*AW121+(1-EXP(-LN(2)/2))/(LN(2)/2)*AQ122*AT122*VLOOKUP('Données projet'!$B$10,Paramètres!$A$1:$I$89,3,0)*0.475*44/12</f>
        <v>5.9613815257970427E-13</v>
      </c>
      <c r="AX122" s="23">
        <f t="shared" si="60"/>
        <v>1.9808722658896434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439.19854273764042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752.99999999999977</v>
      </c>
      <c r="AJ123" s="14">
        <f>AI123*VLOOKUP('Données projet'!$B$10,Paramètres!$A$1:$I$89,3,0)*VLOOKUP('Données projet'!$B$10,Paramètres!$A$1:$I$89,5,0)</f>
        <v>552.09959999999978</v>
      </c>
      <c r="AK123" s="14">
        <f t="shared" si="89"/>
        <v>122.01091055125165</v>
      </c>
      <c r="AL123" s="22">
        <f t="shared" si="58"/>
        <v>1174.0758058767628</v>
      </c>
      <c r="AM123" s="62">
        <f t="shared" si="59"/>
        <v>1467.4091392100961</v>
      </c>
      <c r="AN123" s="62">
        <f ca="1">AVERAGE(OFFSET($AM$3,0,0,'Données projet'!$E$10+1,1))-AVERAGE(OFFSET($H$3,0,0,'Données projet'!$E$10+1,1))</f>
        <v>675.00969717491046</v>
      </c>
      <c r="AO123" s="62">
        <f t="shared" si="90"/>
        <v>572.99694897193285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1.926705209608766</v>
      </c>
      <c r="AW123" s="23">
        <f>EXP(-LN(2)/2)*AW122+(1-EXP(-LN(2)/2))/(LN(2)/2)*AQ123*AT123*VLOOKUP('Données projet'!$B$10,Paramètres!$A$1:$I$89,3,0)*0.475*44/12</f>
        <v>4.2153333021312963E-13</v>
      </c>
      <c r="AX123" s="23">
        <f t="shared" si="60"/>
        <v>1.9267052096091875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439.19854273764042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752.99999999999977</v>
      </c>
      <c r="AJ124" s="14">
        <f>AI124*VLOOKUP('Données projet'!$B$10,Paramètres!$A$1:$I$89,3,0)*VLOOKUP('Données projet'!$B$10,Paramètres!$A$1:$I$89,5,0)</f>
        <v>552.09959999999978</v>
      </c>
      <c r="AK124" s="14">
        <f t="shared" si="89"/>
        <v>122.01091055125165</v>
      </c>
      <c r="AL124" s="22">
        <f t="shared" si="58"/>
        <v>1174.0758058767628</v>
      </c>
      <c r="AM124" s="62">
        <f t="shared" si="59"/>
        <v>1467.4091392100961</v>
      </c>
      <c r="AN124" s="62">
        <f ca="1">AVERAGE(OFFSET($AM$3,0,0,'Données projet'!$E$10+1,1))-AVERAGE(OFFSET($H$3,0,0,'Données projet'!$E$10+1,1))</f>
        <v>675.00969717491046</v>
      </c>
      <c r="AO124" s="62">
        <f t="shared" si="90"/>
        <v>572.99694897193285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1.8740193543309909</v>
      </c>
      <c r="AW124" s="23">
        <f>EXP(-LN(2)/2)*AW123+(1-EXP(-LN(2)/2))/(LN(2)/2)*AQ124*AT124*VLOOKUP('Données projet'!$B$10,Paramètres!$A$1:$I$89,3,0)*0.475*44/12</f>
        <v>2.9806907628985214E-13</v>
      </c>
      <c r="AX124" s="23">
        <f t="shared" si="60"/>
        <v>1.8740193543312889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439.19854273764042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752.99999999999977</v>
      </c>
      <c r="AJ125" s="14">
        <f>AI125*VLOOKUP('Données projet'!$B$10,Paramètres!$A$1:$I$89,3,0)*VLOOKUP('Données projet'!$B$10,Paramètres!$A$1:$I$89,5,0)</f>
        <v>552.09959999999978</v>
      </c>
      <c r="AK125" s="14">
        <f t="shared" si="89"/>
        <v>122.01091055125165</v>
      </c>
      <c r="AL125" s="22">
        <f t="shared" si="58"/>
        <v>1174.0758058767628</v>
      </c>
      <c r="AM125" s="62">
        <f t="shared" si="59"/>
        <v>1467.4091392100961</v>
      </c>
      <c r="AN125" s="62">
        <f ca="1">AVERAGE(OFFSET($AM$3,0,0,'Données projet'!$E$10+1,1))-AVERAGE(OFFSET($H$3,0,0,'Données projet'!$E$10+1,1))</f>
        <v>675.00969717491046</v>
      </c>
      <c r="AO125" s="62">
        <f t="shared" si="90"/>
        <v>572.99694897193285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1.8227741965364153</v>
      </c>
      <c r="AW125" s="23">
        <f>EXP(-LN(2)/2)*AW124+(1-EXP(-LN(2)/2))/(LN(2)/2)*AQ125*AT125*VLOOKUP('Données projet'!$B$10,Paramètres!$A$1:$I$89,3,0)*0.475*44/12</f>
        <v>2.1076666510656482E-13</v>
      </c>
      <c r="AX125" s="23">
        <f t="shared" si="60"/>
        <v>1.822774196536626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439.19854273764042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752.99999999999977</v>
      </c>
      <c r="AJ126" s="14">
        <f>AI126*VLOOKUP('Données projet'!$B$10,Paramètres!$A$1:$I$89,3,0)*VLOOKUP('Données projet'!$B$10,Paramètres!$A$1:$I$89,5,0)</f>
        <v>552.09959999999978</v>
      </c>
      <c r="AK126" s="14">
        <f t="shared" si="89"/>
        <v>122.01091055125165</v>
      </c>
      <c r="AL126" s="22">
        <f t="shared" si="58"/>
        <v>1174.0758058767628</v>
      </c>
      <c r="AM126" s="62">
        <f t="shared" si="59"/>
        <v>1467.4091392100961</v>
      </c>
      <c r="AN126" s="62">
        <f ca="1">AVERAGE(OFFSET($AM$3,0,0,'Données projet'!$E$10+1,1))-AVERAGE(OFFSET($H$3,0,0,'Données projet'!$E$10+1,1))</f>
        <v>675.00969717491046</v>
      </c>
      <c r="AO126" s="62">
        <f t="shared" si="90"/>
        <v>572.99694897193285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1.7729303402765979</v>
      </c>
      <c r="AW126" s="23">
        <f>EXP(-LN(2)/2)*AW125+(1-EXP(-LN(2)/2))/(LN(2)/2)*AQ126*AT126*VLOOKUP('Données projet'!$B$10,Paramètres!$A$1:$I$89,3,0)*0.475*44/12</f>
        <v>1.4903453814492607E-13</v>
      </c>
      <c r="AX126" s="23">
        <f t="shared" si="60"/>
        <v>1.7729303402767469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439.19854273764042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752.99999999999977</v>
      </c>
      <c r="AJ127" s="14">
        <f>AI127*VLOOKUP('Données projet'!$B$10,Paramètres!$A$1:$I$89,3,0)*VLOOKUP('Données projet'!$B$10,Paramètres!$A$1:$I$89,5,0)</f>
        <v>552.09959999999978</v>
      </c>
      <c r="AK127" s="14">
        <f t="shared" si="89"/>
        <v>122.01091055125165</v>
      </c>
      <c r="AL127" s="22">
        <f t="shared" si="58"/>
        <v>1174.0758058767628</v>
      </c>
      <c r="AM127" s="62">
        <f t="shared" si="59"/>
        <v>1467.4091392100961</v>
      </c>
      <c r="AN127" s="62">
        <f ca="1">AVERAGE(OFFSET($AM$3,0,0,'Données projet'!$E$10+1,1))-AVERAGE(OFFSET($H$3,0,0,'Données projet'!$E$10+1,1))</f>
        <v>675.00969717491046</v>
      </c>
      <c r="AO127" s="62">
        <f t="shared" si="90"/>
        <v>572.99694897193285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1.7244494668873798</v>
      </c>
      <c r="AW127" s="23">
        <f>EXP(-LN(2)/2)*AW126+(1-EXP(-LN(2)/2))/(LN(2)/2)*AQ127*AT127*VLOOKUP('Données projet'!$B$10,Paramètres!$A$1:$I$89,3,0)*0.475*44/12</f>
        <v>1.0538333255328241E-13</v>
      </c>
      <c r="AX127" s="23">
        <f t="shared" si="60"/>
        <v>1.7244494668874852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439.19854273764042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752.99999999999977</v>
      </c>
      <c r="AJ128" s="14">
        <f>AI128*VLOOKUP('Données projet'!$B$10,Paramètres!$A$1:$I$89,3,0)*VLOOKUP('Données projet'!$B$10,Paramètres!$A$1:$I$89,5,0)</f>
        <v>552.09959999999978</v>
      </c>
      <c r="AK128" s="14">
        <f t="shared" si="89"/>
        <v>122.01091055125165</v>
      </c>
      <c r="AL128" s="22">
        <f t="shared" si="58"/>
        <v>1174.0758058767628</v>
      </c>
      <c r="AM128" s="62">
        <f t="shared" si="59"/>
        <v>1467.4091392100961</v>
      </c>
      <c r="AN128" s="62">
        <f ca="1">AVERAGE(OFFSET($AM$3,0,0,'Données projet'!$E$10+1,1))-AVERAGE(OFFSET($H$3,0,0,'Données projet'!$E$10+1,1))</f>
        <v>675.00969717491046</v>
      </c>
      <c r="AO128" s="62">
        <f t="shared" si="90"/>
        <v>572.99694897193285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1.6772943055304881</v>
      </c>
      <c r="AW128" s="23">
        <f>EXP(-LN(2)/2)*AW127+(1-EXP(-LN(2)/2))/(LN(2)/2)*AQ128*AT128*VLOOKUP('Données projet'!$B$10,Paramètres!$A$1:$I$89,3,0)*0.475*44/12</f>
        <v>7.4517269072463034E-14</v>
      </c>
      <c r="AX128" s="23">
        <f t="shared" si="60"/>
        <v>1.6772943055305627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439.19854273764042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752.99999999999977</v>
      </c>
      <c r="AJ129" s="14">
        <f>AI129*VLOOKUP('Données projet'!$B$10,Paramètres!$A$1:$I$89,3,0)*VLOOKUP('Données projet'!$B$10,Paramètres!$A$1:$I$89,5,0)</f>
        <v>552.09959999999978</v>
      </c>
      <c r="AK129" s="14">
        <f t="shared" si="89"/>
        <v>122.01091055125165</v>
      </c>
      <c r="AL129" s="22">
        <f t="shared" si="58"/>
        <v>1174.0758058767628</v>
      </c>
      <c r="AM129" s="62">
        <f t="shared" si="59"/>
        <v>1467.4091392100961</v>
      </c>
      <c r="AN129" s="62">
        <f ca="1">AVERAGE(OFFSET($AM$3,0,0,'Données projet'!$E$10+1,1))-AVERAGE(OFFSET($H$3,0,0,'Données projet'!$E$10+1,1))</f>
        <v>675.00969717491046</v>
      </c>
      <c r="AO129" s="62">
        <f t="shared" si="90"/>
        <v>572.99694897193285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1.6314286045406829</v>
      </c>
      <c r="AW129" s="23">
        <f>EXP(-LN(2)/2)*AW128+(1-EXP(-LN(2)/2))/(LN(2)/2)*AQ129*AT129*VLOOKUP('Données projet'!$B$10,Paramètres!$A$1:$I$89,3,0)*0.475*44/12</f>
        <v>5.2691666276641204E-14</v>
      </c>
      <c r="AX129" s="23">
        <f t="shared" si="60"/>
        <v>1.6314286045407356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439.19854273764042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752.99999999999977</v>
      </c>
      <c r="AJ130" s="14">
        <f>AI130*VLOOKUP('Données projet'!$B$10,Paramètres!$A$1:$I$89,3,0)*VLOOKUP('Données projet'!$B$10,Paramètres!$A$1:$I$89,5,0)</f>
        <v>552.09959999999978</v>
      </c>
      <c r="AK130" s="14">
        <f t="shared" si="89"/>
        <v>122.01091055125165</v>
      </c>
      <c r="AL130" s="22">
        <f t="shared" si="58"/>
        <v>1174.0758058767628</v>
      </c>
      <c r="AM130" s="62">
        <f t="shared" si="59"/>
        <v>1467.4091392100961</v>
      </c>
      <c r="AN130" s="62">
        <f ca="1">AVERAGE(OFFSET($AM$3,0,0,'Données projet'!$E$10+1,1))-AVERAGE(OFFSET($H$3,0,0,'Données projet'!$E$10+1,1))</f>
        <v>675.00969717491046</v>
      </c>
      <c r="AO130" s="62">
        <f t="shared" si="90"/>
        <v>572.99694897193285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1.5868171035564163</v>
      </c>
      <c r="AW130" s="23">
        <f>EXP(-LN(2)/2)*AW129+(1-EXP(-LN(2)/2))/(LN(2)/2)*AQ130*AT130*VLOOKUP('Données projet'!$B$10,Paramètres!$A$1:$I$89,3,0)*0.475*44/12</f>
        <v>3.7258634536231517E-14</v>
      </c>
      <c r="AX130" s="23">
        <f t="shared" si="60"/>
        <v>1.5868171035564536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439.19854273764042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752.99999999999977</v>
      </c>
      <c r="AJ131" s="14">
        <f>AI131*VLOOKUP('Données projet'!$B$10,Paramètres!$A$1:$I$89,3,0)*VLOOKUP('Données projet'!$B$10,Paramètres!$A$1:$I$89,5,0)</f>
        <v>552.09959999999978</v>
      </c>
      <c r="AK131" s="14">
        <f t="shared" si="89"/>
        <v>122.01091055125165</v>
      </c>
      <c r="AL131" s="22">
        <f t="shared" si="58"/>
        <v>1174.0758058767628</v>
      </c>
      <c r="AM131" s="62">
        <f t="shared" si="59"/>
        <v>1467.4091392100961</v>
      </c>
      <c r="AN131" s="62">
        <f ca="1">AVERAGE(OFFSET($AM$3,0,0,'Données projet'!$E$10+1,1))-AVERAGE(OFFSET($H$3,0,0,'Données projet'!$E$10+1,1))</f>
        <v>675.00969717491046</v>
      </c>
      <c r="AO131" s="62">
        <f t="shared" si="90"/>
        <v>572.99694897193285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1.5434255064125812</v>
      </c>
      <c r="AW131" s="23">
        <f>EXP(-LN(2)/2)*AW130+(1-EXP(-LN(2)/2))/(LN(2)/2)*AQ131*AT131*VLOOKUP('Données projet'!$B$10,Paramètres!$A$1:$I$89,3,0)*0.475*44/12</f>
        <v>2.6345833138320602E-14</v>
      </c>
      <c r="AX131" s="23">
        <f t="shared" si="60"/>
        <v>1.5434255064126077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439.19854273764042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752.99999999999977</v>
      </c>
      <c r="AJ132" s="14">
        <f>AI132*VLOOKUP('Données projet'!$B$10,Paramètres!$A$1:$I$89,3,0)*VLOOKUP('Données projet'!$B$10,Paramètres!$A$1:$I$89,5,0)</f>
        <v>552.09959999999978</v>
      </c>
      <c r="AK132" s="14">
        <f t="shared" si="89"/>
        <v>122.01091055125165</v>
      </c>
      <c r="AL132" s="22">
        <f t="shared" ref="AL132:AL153" si="112">(AJ132+AK132)*0.475*44/12</f>
        <v>1174.0758058767628</v>
      </c>
      <c r="AM132" s="62">
        <f t="shared" ref="AM132:AM195" si="113">AL132+(AD132+AE132)*44/12</f>
        <v>1467.4091392100961</v>
      </c>
      <c r="AN132" s="62">
        <f ca="1">AVERAGE(OFFSET($AM$3,0,0,'Données projet'!$E$10+1,1))-AVERAGE(OFFSET($H$3,0,0,'Données projet'!$E$10+1,1))</f>
        <v>675.00969717491046</v>
      </c>
      <c r="AO132" s="62">
        <f t="shared" si="90"/>
        <v>572.99694897193285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1.5012204547745094</v>
      </c>
      <c r="AW132" s="23">
        <f>EXP(-LN(2)/2)*AW131+(1-EXP(-LN(2)/2))/(LN(2)/2)*AQ132*AT132*VLOOKUP('Données projet'!$B$10,Paramètres!$A$1:$I$89,3,0)*0.475*44/12</f>
        <v>1.8629317268115758E-14</v>
      </c>
      <c r="AX132" s="23">
        <f t="shared" ref="AX132:AX153" si="114">SUM(AU132:AW132)</f>
        <v>1.501220454774528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439.19854273764042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752.99999999999977</v>
      </c>
      <c r="AJ133" s="14">
        <f>AI133*VLOOKUP('Données projet'!$B$10,Paramètres!$A$1:$I$89,3,0)*VLOOKUP('Données projet'!$B$10,Paramètres!$A$1:$I$89,5,0)</f>
        <v>552.09959999999978</v>
      </c>
      <c r="AK133" s="14">
        <f t="shared" ref="AK133:AK153" si="143">EXP(-1.0587+0.8836*LN(AJ133)+0.284)</f>
        <v>122.01091055125165</v>
      </c>
      <c r="AL133" s="22">
        <f t="shared" si="112"/>
        <v>1174.0758058767628</v>
      </c>
      <c r="AM133" s="62">
        <f t="shared" si="113"/>
        <v>1467.4091392100961</v>
      </c>
      <c r="AN133" s="62">
        <f ca="1">AVERAGE(OFFSET($AM$3,0,0,'Données projet'!$E$10+1,1))-AVERAGE(OFFSET($H$3,0,0,'Données projet'!$E$10+1,1))</f>
        <v>675.00969717491046</v>
      </c>
      <c r="AO133" s="62">
        <f t="shared" ref="AO133:AO196" si="144">$AO$3</f>
        <v>572.99694897193285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1.4601695024929477</v>
      </c>
      <c r="AW133" s="23">
        <f>EXP(-LN(2)/2)*AW132+(1-EXP(-LN(2)/2))/(LN(2)/2)*AQ133*AT133*VLOOKUP('Données projet'!$B$10,Paramètres!$A$1:$I$89,3,0)*0.475*44/12</f>
        <v>1.3172916569160301E-14</v>
      </c>
      <c r="AX133" s="23">
        <f t="shared" si="114"/>
        <v>1.4601695024929608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439.19854273764042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752.99999999999977</v>
      </c>
      <c r="AJ134" s="14">
        <f>AI134*VLOOKUP('Données projet'!$B$10,Paramètres!$A$1:$I$89,3,0)*VLOOKUP('Données projet'!$B$10,Paramètres!$A$1:$I$89,5,0)</f>
        <v>552.09959999999978</v>
      </c>
      <c r="AK134" s="14">
        <f t="shared" si="143"/>
        <v>122.01091055125165</v>
      </c>
      <c r="AL134" s="22">
        <f t="shared" si="112"/>
        <v>1174.0758058767628</v>
      </c>
      <c r="AM134" s="62">
        <f t="shared" si="113"/>
        <v>1467.4091392100961</v>
      </c>
      <c r="AN134" s="62">
        <f ca="1">AVERAGE(OFFSET($AM$3,0,0,'Données projet'!$E$10+1,1))-AVERAGE(OFFSET($H$3,0,0,'Données projet'!$E$10+1,1))</f>
        <v>675.00969717491046</v>
      </c>
      <c r="AO134" s="62">
        <f t="shared" si="144"/>
        <v>572.99694897193285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1.4202410906603011</v>
      </c>
      <c r="AW134" s="23">
        <f>EXP(-LN(2)/2)*AW133+(1-EXP(-LN(2)/2))/(LN(2)/2)*AQ134*AT134*VLOOKUP('Données projet'!$B$10,Paramètres!$A$1:$I$89,3,0)*0.475*44/12</f>
        <v>9.3146586340578792E-15</v>
      </c>
      <c r="AX134" s="23">
        <f t="shared" si="114"/>
        <v>1.4202410906603105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439.19854273764042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752.99999999999977</v>
      </c>
      <c r="AJ135" s="14">
        <f>AI135*VLOOKUP('Données projet'!$B$10,Paramètres!$A$1:$I$89,3,0)*VLOOKUP('Données projet'!$B$10,Paramètres!$A$1:$I$89,5,0)</f>
        <v>552.09959999999978</v>
      </c>
      <c r="AK135" s="14">
        <f t="shared" si="143"/>
        <v>122.01091055125165</v>
      </c>
      <c r="AL135" s="22">
        <f t="shared" si="112"/>
        <v>1174.0758058767628</v>
      </c>
      <c r="AM135" s="62">
        <f t="shared" si="113"/>
        <v>1467.4091392100961</v>
      </c>
      <c r="AN135" s="62">
        <f ca="1">AVERAGE(OFFSET($AM$3,0,0,'Données projet'!$E$10+1,1))-AVERAGE(OFFSET($H$3,0,0,'Données projet'!$E$10+1,1))</f>
        <v>675.00969717491046</v>
      </c>
      <c r="AO135" s="62">
        <f t="shared" si="144"/>
        <v>572.99694897193285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1.3814045233489622</v>
      </c>
      <c r="AW135" s="23">
        <f>EXP(-LN(2)/2)*AW134+(1-EXP(-LN(2)/2))/(LN(2)/2)*AQ135*AT135*VLOOKUP('Données projet'!$B$10,Paramètres!$A$1:$I$89,3,0)*0.475*44/12</f>
        <v>6.5864582845801505E-15</v>
      </c>
      <c r="AX135" s="23">
        <f t="shared" si="114"/>
        <v>1.3814045233489689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439.19854273764042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752.99999999999977</v>
      </c>
      <c r="AJ136" s="14">
        <f>AI136*VLOOKUP('Données projet'!$B$10,Paramètres!$A$1:$I$89,3,0)*VLOOKUP('Données projet'!$B$10,Paramètres!$A$1:$I$89,5,0)</f>
        <v>552.09959999999978</v>
      </c>
      <c r="AK136" s="14">
        <f t="shared" si="143"/>
        <v>122.01091055125165</v>
      </c>
      <c r="AL136" s="22">
        <f t="shared" si="112"/>
        <v>1174.0758058767628</v>
      </c>
      <c r="AM136" s="62">
        <f t="shared" si="113"/>
        <v>1467.4091392100961</v>
      </c>
      <c r="AN136" s="62">
        <f ca="1">AVERAGE(OFFSET($AM$3,0,0,'Données projet'!$E$10+1,1))-AVERAGE(OFFSET($H$3,0,0,'Données projet'!$E$10+1,1))</f>
        <v>675.00969717491046</v>
      </c>
      <c r="AO136" s="62">
        <f t="shared" si="144"/>
        <v>572.99694897193285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1.3436299440130783</v>
      </c>
      <c r="AW136" s="23">
        <f>EXP(-LN(2)/2)*AW135+(1-EXP(-LN(2)/2))/(LN(2)/2)*AQ136*AT136*VLOOKUP('Données projet'!$B$10,Paramètres!$A$1:$I$89,3,0)*0.475*44/12</f>
        <v>4.6573293170289396E-15</v>
      </c>
      <c r="AX136" s="23">
        <f t="shared" si="114"/>
        <v>1.343629944013083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439.19854273764042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752.99999999999977</v>
      </c>
      <c r="AJ137" s="14">
        <f>AI137*VLOOKUP('Données projet'!$B$10,Paramètres!$A$1:$I$89,3,0)*VLOOKUP('Données projet'!$B$10,Paramètres!$A$1:$I$89,5,0)</f>
        <v>552.09959999999978</v>
      </c>
      <c r="AK137" s="14">
        <f t="shared" si="143"/>
        <v>122.01091055125165</v>
      </c>
      <c r="AL137" s="22">
        <f t="shared" si="112"/>
        <v>1174.0758058767628</v>
      </c>
      <c r="AM137" s="62">
        <f t="shared" si="113"/>
        <v>1467.4091392100961</v>
      </c>
      <c r="AN137" s="62">
        <f ca="1">AVERAGE(OFFSET($AM$3,0,0,'Données projet'!$E$10+1,1))-AVERAGE(OFFSET($H$3,0,0,'Données projet'!$E$10+1,1))</f>
        <v>675.00969717491046</v>
      </c>
      <c r="AO137" s="62">
        <f t="shared" si="144"/>
        <v>572.99694897193285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1.3068883125356128</v>
      </c>
      <c r="AW137" s="23">
        <f>EXP(-LN(2)/2)*AW136+(1-EXP(-LN(2)/2))/(LN(2)/2)*AQ137*AT137*VLOOKUP('Données projet'!$B$10,Paramètres!$A$1:$I$89,3,0)*0.475*44/12</f>
        <v>3.2932291422900753E-15</v>
      </c>
      <c r="AX137" s="23">
        <f t="shared" si="114"/>
        <v>1.3068883125356161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439.19854273764042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752.99999999999977</v>
      </c>
      <c r="AJ138" s="14">
        <f>AI138*VLOOKUP('Données projet'!$B$10,Paramètres!$A$1:$I$89,3,0)*VLOOKUP('Données projet'!$B$10,Paramètres!$A$1:$I$89,5,0)</f>
        <v>552.09959999999978</v>
      </c>
      <c r="AK138" s="14">
        <f t="shared" si="143"/>
        <v>122.01091055125165</v>
      </c>
      <c r="AL138" s="22">
        <f t="shared" si="112"/>
        <v>1174.0758058767628</v>
      </c>
      <c r="AM138" s="62">
        <f t="shared" si="113"/>
        <v>1467.4091392100961</v>
      </c>
      <c r="AN138" s="62">
        <f ca="1">AVERAGE(OFFSET($AM$3,0,0,'Données projet'!$E$10+1,1))-AVERAGE(OFFSET($H$3,0,0,'Données projet'!$E$10+1,1))</f>
        <v>675.00969717491046</v>
      </c>
      <c r="AO138" s="62">
        <f t="shared" si="144"/>
        <v>572.99694897193285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1.271151382903057</v>
      </c>
      <c r="AW138" s="23">
        <f>EXP(-LN(2)/2)*AW137+(1-EXP(-LN(2)/2))/(LN(2)/2)*AQ138*AT138*VLOOKUP('Données projet'!$B$10,Paramètres!$A$1:$I$89,3,0)*0.475*44/12</f>
        <v>2.3286646585144698E-15</v>
      </c>
      <c r="AX138" s="23">
        <f t="shared" si="114"/>
        <v>1.2711513829030592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439.19854273764042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752.99999999999977</v>
      </c>
      <c r="AJ139" s="14">
        <f>AI139*VLOOKUP('Données projet'!$B$10,Paramètres!$A$1:$I$89,3,0)*VLOOKUP('Données projet'!$B$10,Paramètres!$A$1:$I$89,5,0)</f>
        <v>552.09959999999978</v>
      </c>
      <c r="AK139" s="14">
        <f t="shared" si="143"/>
        <v>122.01091055125165</v>
      </c>
      <c r="AL139" s="22">
        <f t="shared" si="112"/>
        <v>1174.0758058767628</v>
      </c>
      <c r="AM139" s="62">
        <f t="shared" si="113"/>
        <v>1467.4091392100961</v>
      </c>
      <c r="AN139" s="62">
        <f ca="1">AVERAGE(OFFSET($AM$3,0,0,'Données projet'!$E$10+1,1))-AVERAGE(OFFSET($H$3,0,0,'Données projet'!$E$10+1,1))</f>
        <v>675.00969717491046</v>
      </c>
      <c r="AO139" s="62">
        <f t="shared" si="144"/>
        <v>572.99694897193285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1.2363916814906268</v>
      </c>
      <c r="AW139" s="23">
        <f>EXP(-LN(2)/2)*AW138+(1-EXP(-LN(2)/2))/(LN(2)/2)*AQ139*AT139*VLOOKUP('Données projet'!$B$10,Paramètres!$A$1:$I$89,3,0)*0.475*44/12</f>
        <v>1.6466145711450376E-15</v>
      </c>
      <c r="AX139" s="23">
        <f t="shared" si="114"/>
        <v>1.2363916814906284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439.19854273764042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752.99999999999977</v>
      </c>
      <c r="AJ140" s="14">
        <f>AI140*VLOOKUP('Données projet'!$B$10,Paramètres!$A$1:$I$89,3,0)*VLOOKUP('Données projet'!$B$10,Paramètres!$A$1:$I$89,5,0)</f>
        <v>552.09959999999978</v>
      </c>
      <c r="AK140" s="14">
        <f t="shared" si="143"/>
        <v>122.01091055125165</v>
      </c>
      <c r="AL140" s="22">
        <f t="shared" si="112"/>
        <v>1174.0758058767628</v>
      </c>
      <c r="AM140" s="62">
        <f t="shared" si="113"/>
        <v>1467.4091392100961</v>
      </c>
      <c r="AN140" s="62">
        <f ca="1">AVERAGE(OFFSET($AM$3,0,0,'Données projet'!$E$10+1,1))-AVERAGE(OFFSET($H$3,0,0,'Données projet'!$E$10+1,1))</f>
        <v>675.00969717491046</v>
      </c>
      <c r="AO140" s="62">
        <f t="shared" si="144"/>
        <v>572.99694897193285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1.2025824859412528</v>
      </c>
      <c r="AW140" s="23">
        <f>EXP(-LN(2)/2)*AW139+(1-EXP(-LN(2)/2))/(LN(2)/2)*AQ140*AT140*VLOOKUP('Données projet'!$B$10,Paramètres!$A$1:$I$89,3,0)*0.475*44/12</f>
        <v>1.1643323292572349E-15</v>
      </c>
      <c r="AX140" s="23">
        <f t="shared" si="114"/>
        <v>1.2025824859412539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439.19854273764042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752.99999999999977</v>
      </c>
      <c r="AJ141" s="14">
        <f>AI141*VLOOKUP('Données projet'!$B$10,Paramètres!$A$1:$I$89,3,0)*VLOOKUP('Données projet'!$B$10,Paramètres!$A$1:$I$89,5,0)</f>
        <v>552.09959999999978</v>
      </c>
      <c r="AK141" s="14">
        <f t="shared" si="143"/>
        <v>122.01091055125165</v>
      </c>
      <c r="AL141" s="22">
        <f t="shared" si="112"/>
        <v>1174.0758058767628</v>
      </c>
      <c r="AM141" s="62">
        <f t="shared" si="113"/>
        <v>1467.4091392100961</v>
      </c>
      <c r="AN141" s="62">
        <f ca="1">AVERAGE(OFFSET($AM$3,0,0,'Données projet'!$E$10+1,1))-AVERAGE(OFFSET($H$3,0,0,'Données projet'!$E$10+1,1))</f>
        <v>675.00969717491046</v>
      </c>
      <c r="AO141" s="62">
        <f t="shared" si="144"/>
        <v>572.99694897193285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1.1696978046221249</v>
      </c>
      <c r="AW141" s="23">
        <f>EXP(-LN(2)/2)*AW140+(1-EXP(-LN(2)/2))/(LN(2)/2)*AQ141*AT141*VLOOKUP('Données projet'!$B$10,Paramètres!$A$1:$I$89,3,0)*0.475*44/12</f>
        <v>8.2330728557251882E-16</v>
      </c>
      <c r="AX141" s="23">
        <f t="shared" si="114"/>
        <v>1.1696978046221258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439.19854273764042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752.99999999999977</v>
      </c>
      <c r="AJ142" s="14">
        <f>AI142*VLOOKUP('Données projet'!$B$10,Paramètres!$A$1:$I$89,3,0)*VLOOKUP('Données projet'!$B$10,Paramètres!$A$1:$I$89,5,0)</f>
        <v>552.09959999999978</v>
      </c>
      <c r="AK142" s="14">
        <f t="shared" si="143"/>
        <v>122.01091055125165</v>
      </c>
      <c r="AL142" s="22">
        <f t="shared" si="112"/>
        <v>1174.0758058767628</v>
      </c>
      <c r="AM142" s="62">
        <f t="shared" si="113"/>
        <v>1467.4091392100961</v>
      </c>
      <c r="AN142" s="62">
        <f ca="1">AVERAGE(OFFSET($AM$3,0,0,'Données projet'!$E$10+1,1))-AVERAGE(OFFSET($H$3,0,0,'Données projet'!$E$10+1,1))</f>
        <v>675.00969717491046</v>
      </c>
      <c r="AO142" s="62">
        <f t="shared" si="144"/>
        <v>572.99694897193285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1.1377123566429987</v>
      </c>
      <c r="AW142" s="23">
        <f>EXP(-LN(2)/2)*AW141+(1-EXP(-LN(2)/2))/(LN(2)/2)*AQ142*AT142*VLOOKUP('Données projet'!$B$10,Paramètres!$A$1:$I$89,3,0)*0.475*44/12</f>
        <v>5.8216616462861745E-16</v>
      </c>
      <c r="AX142" s="23">
        <f t="shared" si="114"/>
        <v>1.1377123566429994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439.19854273764042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752.99999999999977</v>
      </c>
      <c r="AJ143" s="14">
        <f>AI143*VLOOKUP('Données projet'!$B$10,Paramètres!$A$1:$I$89,3,0)*VLOOKUP('Données projet'!$B$10,Paramètres!$A$1:$I$89,5,0)</f>
        <v>552.09959999999978</v>
      </c>
      <c r="AK143" s="14">
        <f t="shared" si="143"/>
        <v>122.01091055125165</v>
      </c>
      <c r="AL143" s="22">
        <f t="shared" si="112"/>
        <v>1174.0758058767628</v>
      </c>
      <c r="AM143" s="62">
        <f t="shared" si="113"/>
        <v>1467.4091392100961</v>
      </c>
      <c r="AN143" s="62">
        <f ca="1">AVERAGE(OFFSET($AM$3,0,0,'Données projet'!$E$10+1,1))-AVERAGE(OFFSET($H$3,0,0,'Données projet'!$E$10+1,1))</f>
        <v>675.00969717491046</v>
      </c>
      <c r="AO143" s="62">
        <f t="shared" si="144"/>
        <v>572.99694897193285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1.1066015524209034</v>
      </c>
      <c r="AW143" s="23">
        <f>EXP(-LN(2)/2)*AW142+(1-EXP(-LN(2)/2))/(LN(2)/2)*AQ143*AT143*VLOOKUP('Données projet'!$B$10,Paramètres!$A$1:$I$89,3,0)*0.475*44/12</f>
        <v>4.1165364278625941E-16</v>
      </c>
      <c r="AX143" s="23">
        <f t="shared" si="114"/>
        <v>1.1066015524209039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439.19854273764042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752.99999999999977</v>
      </c>
      <c r="AJ144" s="14">
        <f>AI144*VLOOKUP('Données projet'!$B$10,Paramètres!$A$1:$I$89,3,0)*VLOOKUP('Données projet'!$B$10,Paramètres!$A$1:$I$89,5,0)</f>
        <v>552.09959999999978</v>
      </c>
      <c r="AK144" s="14">
        <f t="shared" si="143"/>
        <v>122.01091055125165</v>
      </c>
      <c r="AL144" s="22">
        <f t="shared" si="112"/>
        <v>1174.0758058767628</v>
      </c>
      <c r="AM144" s="62">
        <f t="shared" si="113"/>
        <v>1467.4091392100961</v>
      </c>
      <c r="AN144" s="62">
        <f ca="1">AVERAGE(OFFSET($AM$3,0,0,'Données projet'!$E$10+1,1))-AVERAGE(OFFSET($H$3,0,0,'Données projet'!$E$10+1,1))</f>
        <v>675.00969717491046</v>
      </c>
      <c r="AO144" s="62">
        <f t="shared" si="144"/>
        <v>572.99694897193285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1.0763414747763074</v>
      </c>
      <c r="AW144" s="23">
        <f>EXP(-LN(2)/2)*AW143+(1-EXP(-LN(2)/2))/(LN(2)/2)*AQ144*AT144*VLOOKUP('Données projet'!$B$10,Paramètres!$A$1:$I$89,3,0)*0.475*44/12</f>
        <v>2.9108308231430873E-16</v>
      </c>
      <c r="AX144" s="23">
        <f t="shared" si="114"/>
        <v>1.0763414747763076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439.19854273764042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752.99999999999977</v>
      </c>
      <c r="AJ145" s="14">
        <f>AI145*VLOOKUP('Données projet'!$B$10,Paramètres!$A$1:$I$89,3,0)*VLOOKUP('Données projet'!$B$10,Paramètres!$A$1:$I$89,5,0)</f>
        <v>552.09959999999978</v>
      </c>
      <c r="AK145" s="14">
        <f t="shared" si="143"/>
        <v>122.01091055125165</v>
      </c>
      <c r="AL145" s="22">
        <f t="shared" si="112"/>
        <v>1174.0758058767628</v>
      </c>
      <c r="AM145" s="62">
        <f t="shared" si="113"/>
        <v>1467.4091392100961</v>
      </c>
      <c r="AN145" s="62">
        <f ca="1">AVERAGE(OFFSET($AM$3,0,0,'Données projet'!$E$10+1,1))-AVERAGE(OFFSET($H$3,0,0,'Données projet'!$E$10+1,1))</f>
        <v>675.00969717491046</v>
      </c>
      <c r="AO145" s="62">
        <f t="shared" si="144"/>
        <v>572.99694897193285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1.0469088605462111</v>
      </c>
      <c r="AW145" s="23">
        <f>EXP(-LN(2)/2)*AW144+(1-EXP(-LN(2)/2))/(LN(2)/2)*AQ145*AT145*VLOOKUP('Données projet'!$B$10,Paramètres!$A$1:$I$89,3,0)*0.475*44/12</f>
        <v>2.058268213931297E-16</v>
      </c>
      <c r="AX145" s="23">
        <f t="shared" si="114"/>
        <v>1.0469088605462114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439.19854273764042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752.99999999999977</v>
      </c>
      <c r="AJ146" s="14">
        <f>AI146*VLOOKUP('Données projet'!$B$10,Paramètres!$A$1:$I$89,3,0)*VLOOKUP('Données projet'!$B$10,Paramètres!$A$1:$I$89,5,0)</f>
        <v>552.09959999999978</v>
      </c>
      <c r="AK146" s="14">
        <f t="shared" si="143"/>
        <v>122.01091055125165</v>
      </c>
      <c r="AL146" s="22">
        <f t="shared" si="112"/>
        <v>1174.0758058767628</v>
      </c>
      <c r="AM146" s="62">
        <f t="shared" si="113"/>
        <v>1467.4091392100961</v>
      </c>
      <c r="AN146" s="62">
        <f ca="1">AVERAGE(OFFSET($AM$3,0,0,'Données projet'!$E$10+1,1))-AVERAGE(OFFSET($H$3,0,0,'Données projet'!$E$10+1,1))</f>
        <v>675.00969717491046</v>
      </c>
      <c r="AO146" s="62">
        <f t="shared" si="144"/>
        <v>572.99694897193285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1.0182810827000308</v>
      </c>
      <c r="AW146" s="23">
        <f>EXP(-LN(2)/2)*AW145+(1-EXP(-LN(2)/2))/(LN(2)/2)*AQ146*AT146*VLOOKUP('Données projet'!$B$10,Paramètres!$A$1:$I$89,3,0)*0.475*44/12</f>
        <v>1.4554154115715436E-16</v>
      </c>
      <c r="AX146" s="23">
        <f t="shared" si="114"/>
        <v>1.018281082700031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439.19854273764042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752.99999999999977</v>
      </c>
      <c r="AJ147" s="14">
        <f>AI147*VLOOKUP('Données projet'!$B$10,Paramètres!$A$1:$I$89,3,0)*VLOOKUP('Données projet'!$B$10,Paramètres!$A$1:$I$89,5,0)</f>
        <v>552.09959999999978</v>
      </c>
      <c r="AK147" s="14">
        <f t="shared" si="143"/>
        <v>122.01091055125165</v>
      </c>
      <c r="AL147" s="22">
        <f t="shared" si="112"/>
        <v>1174.0758058767628</v>
      </c>
      <c r="AM147" s="62">
        <f t="shared" si="113"/>
        <v>1467.4091392100961</v>
      </c>
      <c r="AN147" s="62">
        <f ca="1">AVERAGE(OFFSET($AM$3,0,0,'Données projet'!$E$10+1,1))-AVERAGE(OFFSET($H$3,0,0,'Données projet'!$E$10+1,1))</f>
        <v>675.00969717491046</v>
      </c>
      <c r="AO147" s="62">
        <f t="shared" si="144"/>
        <v>572.99694897193285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0.9904361329445236</v>
      </c>
      <c r="AW147" s="23">
        <f>EXP(-LN(2)/2)*AW146+(1-EXP(-LN(2)/2))/(LN(2)/2)*AQ147*AT147*VLOOKUP('Données projet'!$B$10,Paramètres!$A$1:$I$89,3,0)*0.475*44/12</f>
        <v>1.0291341069656485E-16</v>
      </c>
      <c r="AX147" s="23">
        <f t="shared" si="114"/>
        <v>0.99043613294452371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439.19854273764042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752.99999999999977</v>
      </c>
      <c r="AJ148" s="14">
        <f>AI148*VLOOKUP('Données projet'!$B$10,Paramètres!$A$1:$I$89,3,0)*VLOOKUP('Données projet'!$B$10,Paramètres!$A$1:$I$89,5,0)</f>
        <v>552.09959999999978</v>
      </c>
      <c r="AK148" s="14">
        <f t="shared" si="143"/>
        <v>122.01091055125165</v>
      </c>
      <c r="AL148" s="22">
        <f t="shared" si="112"/>
        <v>1174.0758058767628</v>
      </c>
      <c r="AM148" s="62">
        <f t="shared" si="113"/>
        <v>1467.4091392100961</v>
      </c>
      <c r="AN148" s="62">
        <f ca="1">AVERAGE(OFFSET($AM$3,0,0,'Données projet'!$E$10+1,1))-AVERAGE(OFFSET($H$3,0,0,'Données projet'!$E$10+1,1))</f>
        <v>675.00969717491046</v>
      </c>
      <c r="AO148" s="62">
        <f t="shared" si="144"/>
        <v>572.99694897193285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0.96335260480438301</v>
      </c>
      <c r="AW148" s="23">
        <f>EXP(-LN(2)/2)*AW147+(1-EXP(-LN(2)/2))/(LN(2)/2)*AQ148*AT148*VLOOKUP('Données projet'!$B$10,Paramètres!$A$1:$I$89,3,0)*0.475*44/12</f>
        <v>7.2770770578577181E-17</v>
      </c>
      <c r="AX148" s="23">
        <f t="shared" si="114"/>
        <v>0.96335260480438312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439.19854273764042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752.99999999999977</v>
      </c>
      <c r="AJ149" s="14">
        <f>AI149*VLOOKUP('Données projet'!$B$10,Paramètres!$A$1:$I$89,3,0)*VLOOKUP('Données projet'!$B$10,Paramètres!$A$1:$I$89,5,0)</f>
        <v>552.09959999999978</v>
      </c>
      <c r="AK149" s="14">
        <f t="shared" si="143"/>
        <v>122.01091055125165</v>
      </c>
      <c r="AL149" s="22">
        <f t="shared" si="112"/>
        <v>1174.0758058767628</v>
      </c>
      <c r="AM149" s="62">
        <f t="shared" si="113"/>
        <v>1467.4091392100961</v>
      </c>
      <c r="AN149" s="62">
        <f ca="1">AVERAGE(OFFSET($AM$3,0,0,'Données projet'!$E$10+1,1))-AVERAGE(OFFSET($H$3,0,0,'Données projet'!$E$10+1,1))</f>
        <v>675.00969717491046</v>
      </c>
      <c r="AO149" s="62">
        <f t="shared" si="144"/>
        <v>572.99694897193285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0.93700967716549544</v>
      </c>
      <c r="AW149" s="23">
        <f>EXP(-LN(2)/2)*AW148+(1-EXP(-LN(2)/2))/(LN(2)/2)*AQ149*AT149*VLOOKUP('Données projet'!$B$10,Paramètres!$A$1:$I$89,3,0)*0.475*44/12</f>
        <v>5.1456705348282426E-17</v>
      </c>
      <c r="AX149" s="23">
        <f t="shared" si="114"/>
        <v>0.93700967716549544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439.19854273764042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752.99999999999977</v>
      </c>
      <c r="AJ150" s="14">
        <f>AI150*VLOOKUP('Données projet'!$B$10,Paramètres!$A$1:$I$89,3,0)*VLOOKUP('Données projet'!$B$10,Paramètres!$A$1:$I$89,5,0)</f>
        <v>552.09959999999978</v>
      </c>
      <c r="AK150" s="14">
        <f t="shared" si="143"/>
        <v>122.01091055125165</v>
      </c>
      <c r="AL150" s="22">
        <f t="shared" si="112"/>
        <v>1174.0758058767628</v>
      </c>
      <c r="AM150" s="62">
        <f t="shared" si="113"/>
        <v>1467.4091392100961</v>
      </c>
      <c r="AN150" s="62">
        <f ca="1">AVERAGE(OFFSET($AM$3,0,0,'Données projet'!$E$10+1,1))-AVERAGE(OFFSET($H$3,0,0,'Données projet'!$E$10+1,1))</f>
        <v>675.00969717491046</v>
      </c>
      <c r="AO150" s="62">
        <f t="shared" si="144"/>
        <v>572.99694897193285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0.91138709826820763</v>
      </c>
      <c r="AW150" s="23">
        <f>EXP(-LN(2)/2)*AW149+(1-EXP(-LN(2)/2))/(LN(2)/2)*AQ150*AT150*VLOOKUP('Données projet'!$B$10,Paramètres!$A$1:$I$89,3,0)*0.475*44/12</f>
        <v>3.6385385289288591E-17</v>
      </c>
      <c r="AX150" s="23">
        <f t="shared" si="114"/>
        <v>0.91138709826820763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439.19854273764042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752.99999999999977</v>
      </c>
      <c r="AJ151" s="14">
        <f>AI151*VLOOKUP('Données projet'!$B$10,Paramètres!$A$1:$I$89,3,0)*VLOOKUP('Données projet'!$B$10,Paramètres!$A$1:$I$89,5,0)</f>
        <v>552.09959999999978</v>
      </c>
      <c r="AK151" s="14">
        <f t="shared" si="143"/>
        <v>122.01091055125165</v>
      </c>
      <c r="AL151" s="22">
        <f t="shared" si="112"/>
        <v>1174.0758058767628</v>
      </c>
      <c r="AM151" s="62">
        <f t="shared" si="113"/>
        <v>1467.4091392100961</v>
      </c>
      <c r="AN151" s="62">
        <f ca="1">AVERAGE(OFFSET($AM$3,0,0,'Données projet'!$E$10+1,1))-AVERAGE(OFFSET($H$3,0,0,'Données projet'!$E$10+1,1))</f>
        <v>675.00969717491046</v>
      </c>
      <c r="AO151" s="62">
        <f t="shared" si="144"/>
        <v>572.99694897193285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0.88646517013829895</v>
      </c>
      <c r="AW151" s="23">
        <f>EXP(-LN(2)/2)*AW150+(1-EXP(-LN(2)/2))/(LN(2)/2)*AQ151*AT151*VLOOKUP('Données projet'!$B$10,Paramètres!$A$1:$I$89,3,0)*0.475*44/12</f>
        <v>2.5728352674141213E-17</v>
      </c>
      <c r="AX151" s="23">
        <f t="shared" si="114"/>
        <v>0.88646517013829895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439.19854273764042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752.99999999999977</v>
      </c>
      <c r="AJ152" s="14">
        <f>AI152*VLOOKUP('Données projet'!$B$10,Paramètres!$A$1:$I$89,3,0)*VLOOKUP('Données projet'!$B$10,Paramètres!$A$1:$I$89,5,0)</f>
        <v>552.09959999999978</v>
      </c>
      <c r="AK152" s="14">
        <f t="shared" si="143"/>
        <v>122.01091055125165</v>
      </c>
      <c r="AL152" s="22">
        <f t="shared" si="112"/>
        <v>1174.0758058767628</v>
      </c>
      <c r="AM152" s="62">
        <f t="shared" si="113"/>
        <v>1467.4091392100961</v>
      </c>
      <c r="AN152" s="62">
        <f ca="1">AVERAGE(OFFSET($AM$3,0,0,'Données projet'!$E$10+1,1))-AVERAGE(OFFSET($H$3,0,0,'Données projet'!$E$10+1,1))</f>
        <v>675.00969717491046</v>
      </c>
      <c r="AO152" s="62">
        <f t="shared" si="144"/>
        <v>572.99694897193285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0.86222473344368988</v>
      </c>
      <c r="AW152" s="23">
        <f>EXP(-LN(2)/2)*AW151+(1-EXP(-LN(2)/2))/(LN(2)/2)*AQ152*AT152*VLOOKUP('Données projet'!$B$10,Paramètres!$A$1:$I$89,3,0)*0.475*44/12</f>
        <v>1.8192692644644295E-17</v>
      </c>
      <c r="AX152" s="23">
        <f t="shared" si="114"/>
        <v>0.86222473344368988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439.19854273764042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752.99999999999977</v>
      </c>
      <c r="AJ153" s="14">
        <f>AI153*VLOOKUP('Données projet'!$B$10,Paramètres!$A$1:$I$89,3,0)*VLOOKUP('Données projet'!$B$10,Paramètres!$A$1:$I$89,5,0)</f>
        <v>552.09959999999978</v>
      </c>
      <c r="AK153" s="14">
        <f t="shared" si="143"/>
        <v>122.01091055125165</v>
      </c>
      <c r="AL153" s="22">
        <f t="shared" si="112"/>
        <v>1174.0758058767628</v>
      </c>
      <c r="AM153" s="62">
        <f t="shared" si="113"/>
        <v>1467.4091392100961</v>
      </c>
      <c r="AN153" s="62">
        <f ca="1">AVERAGE(OFFSET($AM$3,0,0,'Données projet'!$E$10+1,1))-AVERAGE(OFFSET($H$3,0,0,'Données projet'!$E$10+1,1))</f>
        <v>675.00969717491046</v>
      </c>
      <c r="AO153" s="62">
        <f t="shared" si="144"/>
        <v>572.99694897193285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0.83864715276524404</v>
      </c>
      <c r="AW153" s="23">
        <f>EXP(-LN(2)/2)*AW152+(1-EXP(-LN(2)/2))/(LN(2)/2)*AQ153*AT153*VLOOKUP('Données projet'!$B$10,Paramètres!$A$1:$I$89,3,0)*0.475*44/12</f>
        <v>1.2864176337070607E-17</v>
      </c>
      <c r="AX153" s="23">
        <f t="shared" si="114"/>
        <v>0.83864715276524404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439.19854273764042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752.99999999999977</v>
      </c>
      <c r="AJ154" s="14">
        <f>AI154*VLOOKUP('Données projet'!$B$10,Paramètres!$A$1:$I$89,3,0)*VLOOKUP('Données projet'!$B$10,Paramètres!$A$1:$I$89,5,0)</f>
        <v>552.09959999999978</v>
      </c>
      <c r="AK154" s="14">
        <f t="shared" ref="AK154:AK203" si="164">EXP(-1.0587+0.8836*LN(AJ154)+0.284)</f>
        <v>122.01091055125165</v>
      </c>
      <c r="AL154" s="22">
        <f t="shared" ref="AL154:AL203" si="165">(AJ154+AK154)*0.475*44/12</f>
        <v>1174.0758058767628</v>
      </c>
      <c r="AM154" s="62">
        <f t="shared" si="113"/>
        <v>1467.4091392100961</v>
      </c>
      <c r="AN154" s="62">
        <f ca="1">AVERAGE(OFFSET($AM$3,0,0,'Données projet'!$E$10+1,1))-AVERAGE(OFFSET($H$3,0,0,'Données projet'!$E$10+1,1))</f>
        <v>675.00969717491046</v>
      </c>
      <c r="AO154" s="62">
        <f t="shared" si="144"/>
        <v>572.99694897193285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0.81571430227034147</v>
      </c>
      <c r="AW154" s="23">
        <f>EXP(-LN(2)/2)*AW153+(1-EXP(-LN(2)/2))/(LN(2)/2)*AQ154*AT154*VLOOKUP('Données projet'!$B$10,Paramètres!$A$1:$I$89,3,0)*0.475*44/12</f>
        <v>9.0963463223221477E-18</v>
      </c>
      <c r="AX154" s="23">
        <f t="shared" ref="AX154:AX203" si="166">SUM(AU154:AW154)</f>
        <v>0.81571430227034147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439.19854273764042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752.99999999999977</v>
      </c>
      <c r="AJ155" s="14">
        <f>AI155*VLOOKUP('Données projet'!$B$10,Paramètres!$A$1:$I$89,3,0)*VLOOKUP('Données projet'!$B$10,Paramètres!$A$1:$I$89,5,0)</f>
        <v>552.09959999999978</v>
      </c>
      <c r="AK155" s="14">
        <f t="shared" si="164"/>
        <v>122.01091055125165</v>
      </c>
      <c r="AL155" s="22">
        <f t="shared" si="165"/>
        <v>1174.0758058767628</v>
      </c>
      <c r="AM155" s="62">
        <f t="shared" si="113"/>
        <v>1467.4091392100961</v>
      </c>
      <c r="AN155" s="62">
        <f ca="1">AVERAGE(OFFSET($AM$3,0,0,'Données projet'!$E$10+1,1))-AVERAGE(OFFSET($H$3,0,0,'Données projet'!$E$10+1,1))</f>
        <v>675.00969717491046</v>
      </c>
      <c r="AO155" s="62">
        <f t="shared" si="144"/>
        <v>572.99694897193285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0.79340855177820813</v>
      </c>
      <c r="AW155" s="23">
        <f>EXP(-LN(2)/2)*AW154+(1-EXP(-LN(2)/2))/(LN(2)/2)*AQ155*AT155*VLOOKUP('Données projet'!$B$10,Paramètres!$A$1:$I$89,3,0)*0.475*44/12</f>
        <v>6.4320881685353033E-18</v>
      </c>
      <c r="AX155" s="23">
        <f t="shared" si="166"/>
        <v>0.79340855177820813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439.19854273764042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752.99999999999977</v>
      </c>
      <c r="AJ156" s="14">
        <f>AI156*VLOOKUP('Données projet'!$B$10,Paramètres!$A$1:$I$89,3,0)*VLOOKUP('Données projet'!$B$10,Paramètres!$A$1:$I$89,5,0)</f>
        <v>552.09959999999978</v>
      </c>
      <c r="AK156" s="14">
        <f t="shared" si="164"/>
        <v>122.01091055125165</v>
      </c>
      <c r="AL156" s="22">
        <f t="shared" si="165"/>
        <v>1174.0758058767628</v>
      </c>
      <c r="AM156" s="62">
        <f t="shared" si="113"/>
        <v>1467.4091392100961</v>
      </c>
      <c r="AN156" s="62">
        <f ca="1">AVERAGE(OFFSET($AM$3,0,0,'Données projet'!$E$10+1,1))-AVERAGE(OFFSET($H$3,0,0,'Données projet'!$E$10+1,1))</f>
        <v>675.00969717491046</v>
      </c>
      <c r="AO156" s="62">
        <f t="shared" si="144"/>
        <v>572.99694897193285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0.77171275320629062</v>
      </c>
      <c r="AW156" s="23">
        <f>EXP(-LN(2)/2)*AW155+(1-EXP(-LN(2)/2))/(LN(2)/2)*AQ156*AT156*VLOOKUP('Données projet'!$B$10,Paramètres!$A$1:$I$89,3,0)*0.475*44/12</f>
        <v>4.5481731611610738E-18</v>
      </c>
      <c r="AX156" s="23">
        <f t="shared" si="166"/>
        <v>0.77171275320629062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439.19854273764042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752.99999999999977</v>
      </c>
      <c r="AJ157" s="14">
        <f>AI157*VLOOKUP('Données projet'!$B$10,Paramètres!$A$1:$I$89,3,0)*VLOOKUP('Données projet'!$B$10,Paramètres!$A$1:$I$89,5,0)</f>
        <v>552.09959999999978</v>
      </c>
      <c r="AK157" s="14">
        <f t="shared" si="164"/>
        <v>122.01091055125165</v>
      </c>
      <c r="AL157" s="22">
        <f t="shared" si="165"/>
        <v>1174.0758058767628</v>
      </c>
      <c r="AM157" s="62">
        <f t="shared" si="113"/>
        <v>1467.4091392100961</v>
      </c>
      <c r="AN157" s="62">
        <f ca="1">AVERAGE(OFFSET($AM$3,0,0,'Données projet'!$E$10+1,1))-AVERAGE(OFFSET($H$3,0,0,'Données projet'!$E$10+1,1))</f>
        <v>675.00969717491046</v>
      </c>
      <c r="AO157" s="62">
        <f t="shared" si="144"/>
        <v>572.99694897193285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0.75061022738725469</v>
      </c>
      <c r="AW157" s="23">
        <f>EXP(-LN(2)/2)*AW156+(1-EXP(-LN(2)/2))/(LN(2)/2)*AQ157*AT157*VLOOKUP('Données projet'!$B$10,Paramètres!$A$1:$I$89,3,0)*0.475*44/12</f>
        <v>3.2160440842676516E-18</v>
      </c>
      <c r="AX157" s="23">
        <f t="shared" si="166"/>
        <v>0.75061022738725469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439.19854273764042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752.99999999999977</v>
      </c>
      <c r="AJ158" s="14">
        <f>AI158*VLOOKUP('Données projet'!$B$10,Paramètres!$A$1:$I$89,3,0)*VLOOKUP('Données projet'!$B$10,Paramètres!$A$1:$I$89,5,0)</f>
        <v>552.09959999999978</v>
      </c>
      <c r="AK158" s="14">
        <f t="shared" si="164"/>
        <v>122.01091055125165</v>
      </c>
      <c r="AL158" s="22">
        <f t="shared" si="165"/>
        <v>1174.0758058767628</v>
      </c>
      <c r="AM158" s="62">
        <f t="shared" si="113"/>
        <v>1467.4091392100961</v>
      </c>
      <c r="AN158" s="62">
        <f ca="1">AVERAGE(OFFSET($AM$3,0,0,'Données projet'!$E$10+1,1))-AVERAGE(OFFSET($H$3,0,0,'Données projet'!$E$10+1,1))</f>
        <v>675.00969717491046</v>
      </c>
      <c r="AO158" s="62">
        <f t="shared" si="144"/>
        <v>572.99694897193285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0.73008475124647387</v>
      </c>
      <c r="AW158" s="23">
        <f>EXP(-LN(2)/2)*AW157+(1-EXP(-LN(2)/2))/(LN(2)/2)*AQ158*AT158*VLOOKUP('Données projet'!$B$10,Paramètres!$A$1:$I$89,3,0)*0.475*44/12</f>
        <v>2.2740865805805369E-18</v>
      </c>
      <c r="AX158" s="23">
        <f t="shared" si="166"/>
        <v>0.73008475124647387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439.19854273764042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752.99999999999977</v>
      </c>
      <c r="AJ159" s="14">
        <f>AI159*VLOOKUP('Données projet'!$B$10,Paramètres!$A$1:$I$89,3,0)*VLOOKUP('Données projet'!$B$10,Paramètres!$A$1:$I$89,5,0)</f>
        <v>552.09959999999978</v>
      </c>
      <c r="AK159" s="14">
        <f t="shared" si="164"/>
        <v>122.01091055125165</v>
      </c>
      <c r="AL159" s="22">
        <f t="shared" si="165"/>
        <v>1174.0758058767628</v>
      </c>
      <c r="AM159" s="62">
        <f t="shared" si="113"/>
        <v>1467.4091392100961</v>
      </c>
      <c r="AN159" s="62">
        <f ca="1">AVERAGE(OFFSET($AM$3,0,0,'Données projet'!$E$10+1,1))-AVERAGE(OFFSET($H$3,0,0,'Données projet'!$E$10+1,1))</f>
        <v>675.00969717491046</v>
      </c>
      <c r="AO159" s="62">
        <f t="shared" si="144"/>
        <v>572.99694897193285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0.71012054533015057</v>
      </c>
      <c r="AW159" s="23">
        <f>EXP(-LN(2)/2)*AW158+(1-EXP(-LN(2)/2))/(LN(2)/2)*AQ159*AT159*VLOOKUP('Données projet'!$B$10,Paramètres!$A$1:$I$89,3,0)*0.475*44/12</f>
        <v>1.6080220421338258E-18</v>
      </c>
      <c r="AX159" s="23">
        <f t="shared" si="166"/>
        <v>0.71012054533015057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439.19854273764042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752.99999999999977</v>
      </c>
      <c r="AJ160" s="14">
        <f>AI160*VLOOKUP('Données projet'!$B$10,Paramètres!$A$1:$I$89,3,0)*VLOOKUP('Données projet'!$B$10,Paramètres!$A$1:$I$89,5,0)</f>
        <v>552.09959999999978</v>
      </c>
      <c r="AK160" s="14">
        <f t="shared" si="164"/>
        <v>122.01091055125165</v>
      </c>
      <c r="AL160" s="22">
        <f t="shared" si="165"/>
        <v>1174.0758058767628</v>
      </c>
      <c r="AM160" s="62">
        <f t="shared" si="113"/>
        <v>1467.4091392100961</v>
      </c>
      <c r="AN160" s="62">
        <f ca="1">AVERAGE(OFFSET($AM$3,0,0,'Données projet'!$E$10+1,1))-AVERAGE(OFFSET($H$3,0,0,'Données projet'!$E$10+1,1))</f>
        <v>675.00969717491046</v>
      </c>
      <c r="AO160" s="62">
        <f t="shared" si="144"/>
        <v>572.99694897193285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0.69070226167448112</v>
      </c>
      <c r="AW160" s="23">
        <f>EXP(-LN(2)/2)*AW159+(1-EXP(-LN(2)/2))/(LN(2)/2)*AQ160*AT160*VLOOKUP('Données projet'!$B$10,Paramètres!$A$1:$I$89,3,0)*0.475*44/12</f>
        <v>1.1370432902902685E-18</v>
      </c>
      <c r="AX160" s="23">
        <f t="shared" si="166"/>
        <v>0.69070226167448112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439.19854273764042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752.99999999999977</v>
      </c>
      <c r="AJ161" s="14">
        <f>AI161*VLOOKUP('Données projet'!$B$10,Paramètres!$A$1:$I$89,3,0)*VLOOKUP('Données projet'!$B$10,Paramètres!$A$1:$I$89,5,0)</f>
        <v>552.09959999999978</v>
      </c>
      <c r="AK161" s="14">
        <f t="shared" si="164"/>
        <v>122.01091055125165</v>
      </c>
      <c r="AL161" s="22">
        <f t="shared" si="165"/>
        <v>1174.0758058767628</v>
      </c>
      <c r="AM161" s="62">
        <f t="shared" si="113"/>
        <v>1467.4091392100961</v>
      </c>
      <c r="AN161" s="62">
        <f ca="1">AVERAGE(OFFSET($AM$3,0,0,'Données projet'!$E$10+1,1))-AVERAGE(OFFSET($H$3,0,0,'Données projet'!$E$10+1,1))</f>
        <v>675.00969717491046</v>
      </c>
      <c r="AO161" s="62">
        <f t="shared" si="144"/>
        <v>572.99694897193285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0.67181497200653917</v>
      </c>
      <c r="AW161" s="23">
        <f>EXP(-LN(2)/2)*AW160+(1-EXP(-LN(2)/2))/(LN(2)/2)*AQ161*AT161*VLOOKUP('Données projet'!$B$10,Paramètres!$A$1:$I$89,3,0)*0.475*44/12</f>
        <v>8.0401102106691291E-19</v>
      </c>
      <c r="AX161" s="23">
        <f t="shared" si="166"/>
        <v>0.67181497200653917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439.19854273764042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752.99999999999977</v>
      </c>
      <c r="AJ162" s="14">
        <f>AI162*VLOOKUP('Données projet'!$B$10,Paramètres!$A$1:$I$89,3,0)*VLOOKUP('Données projet'!$B$10,Paramètres!$A$1:$I$89,5,0)</f>
        <v>552.09959999999978</v>
      </c>
      <c r="AK162" s="14">
        <f t="shared" si="164"/>
        <v>122.01091055125165</v>
      </c>
      <c r="AL162" s="22">
        <f t="shared" si="165"/>
        <v>1174.0758058767628</v>
      </c>
      <c r="AM162" s="62">
        <f t="shared" si="113"/>
        <v>1467.4091392100961</v>
      </c>
      <c r="AN162" s="62">
        <f ca="1">AVERAGE(OFFSET($AM$3,0,0,'Données projet'!$E$10+1,1))-AVERAGE(OFFSET($H$3,0,0,'Données projet'!$E$10+1,1))</f>
        <v>675.00969717491046</v>
      </c>
      <c r="AO162" s="62">
        <f t="shared" si="144"/>
        <v>572.99694897193285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0.65344415626780639</v>
      </c>
      <c r="AW162" s="23">
        <f>EXP(-LN(2)/2)*AW161+(1-EXP(-LN(2)/2))/(LN(2)/2)*AQ162*AT162*VLOOKUP('Données projet'!$B$10,Paramètres!$A$1:$I$89,3,0)*0.475*44/12</f>
        <v>5.6852164514513423E-19</v>
      </c>
      <c r="AX162" s="23">
        <f t="shared" si="166"/>
        <v>0.65344415626780639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439.19854273764042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752.99999999999977</v>
      </c>
      <c r="AJ163" s="14">
        <f>AI163*VLOOKUP('Données projet'!$B$10,Paramètres!$A$1:$I$89,3,0)*VLOOKUP('Données projet'!$B$10,Paramètres!$A$1:$I$89,5,0)</f>
        <v>552.09959999999978</v>
      </c>
      <c r="AK163" s="14">
        <f t="shared" si="164"/>
        <v>122.01091055125165</v>
      </c>
      <c r="AL163" s="22">
        <f t="shared" si="165"/>
        <v>1174.0758058767628</v>
      </c>
      <c r="AM163" s="62">
        <f t="shared" si="113"/>
        <v>1467.4091392100961</v>
      </c>
      <c r="AN163" s="62">
        <f ca="1">AVERAGE(OFFSET($AM$3,0,0,'Données projet'!$E$10+1,1))-AVERAGE(OFFSET($H$3,0,0,'Données projet'!$E$10+1,1))</f>
        <v>675.00969717491046</v>
      </c>
      <c r="AO163" s="62">
        <f t="shared" si="144"/>
        <v>572.99694897193285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0.63557569145152848</v>
      </c>
      <c r="AW163" s="23">
        <f>EXP(-LN(2)/2)*AW162+(1-EXP(-LN(2)/2))/(LN(2)/2)*AQ163*AT163*VLOOKUP('Données projet'!$B$10,Paramètres!$A$1:$I$89,3,0)*0.475*44/12</f>
        <v>4.0200551053345645E-19</v>
      </c>
      <c r="AX163" s="23">
        <f t="shared" si="166"/>
        <v>0.63557569145152848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439.19854273764042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752.99999999999977</v>
      </c>
      <c r="AJ164" s="14">
        <f>AI164*VLOOKUP('Données projet'!$B$10,Paramètres!$A$1:$I$89,3,0)*VLOOKUP('Données projet'!$B$10,Paramètres!$A$1:$I$89,5,0)</f>
        <v>552.09959999999978</v>
      </c>
      <c r="AK164" s="14">
        <f t="shared" si="164"/>
        <v>122.01091055125165</v>
      </c>
      <c r="AL164" s="22">
        <f t="shared" si="165"/>
        <v>1174.0758058767628</v>
      </c>
      <c r="AM164" s="62">
        <f t="shared" si="113"/>
        <v>1467.4091392100961</v>
      </c>
      <c r="AN164" s="62">
        <f ca="1">AVERAGE(OFFSET($AM$3,0,0,'Données projet'!$E$10+1,1))-AVERAGE(OFFSET($H$3,0,0,'Données projet'!$E$10+1,1))</f>
        <v>675.00969717491046</v>
      </c>
      <c r="AO164" s="62">
        <f t="shared" si="144"/>
        <v>572.99694897193285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0.61819584074531342</v>
      </c>
      <c r="AW164" s="23">
        <f>EXP(-LN(2)/2)*AW163+(1-EXP(-LN(2)/2))/(LN(2)/2)*AQ164*AT164*VLOOKUP('Données projet'!$B$10,Paramètres!$A$1:$I$89,3,0)*0.475*44/12</f>
        <v>2.8426082257256712E-19</v>
      </c>
      <c r="AX164" s="23">
        <f t="shared" si="166"/>
        <v>0.61819584074531342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439.19854273764042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752.99999999999977</v>
      </c>
      <c r="AJ165" s="14">
        <f>AI165*VLOOKUP('Données projet'!$B$10,Paramètres!$A$1:$I$89,3,0)*VLOOKUP('Données projet'!$B$10,Paramètres!$A$1:$I$89,5,0)</f>
        <v>552.09959999999978</v>
      </c>
      <c r="AK165" s="14">
        <f t="shared" si="164"/>
        <v>122.01091055125165</v>
      </c>
      <c r="AL165" s="22">
        <f t="shared" si="165"/>
        <v>1174.0758058767628</v>
      </c>
      <c r="AM165" s="62">
        <f t="shared" si="113"/>
        <v>1467.4091392100961</v>
      </c>
      <c r="AN165" s="62">
        <f ca="1">AVERAGE(OFFSET($AM$3,0,0,'Données projet'!$E$10+1,1))-AVERAGE(OFFSET($H$3,0,0,'Données projet'!$E$10+1,1))</f>
        <v>675.00969717491046</v>
      </c>
      <c r="AO165" s="62">
        <f t="shared" si="144"/>
        <v>572.99694897193285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0.60129124297062642</v>
      </c>
      <c r="AW165" s="23">
        <f>EXP(-LN(2)/2)*AW164+(1-EXP(-LN(2)/2))/(LN(2)/2)*AQ165*AT165*VLOOKUP('Données projet'!$B$10,Paramètres!$A$1:$I$89,3,0)*0.475*44/12</f>
        <v>2.0100275526672823E-19</v>
      </c>
      <c r="AX165" s="23">
        <f t="shared" si="166"/>
        <v>0.60129124297062642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439.19854273764042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752.99999999999977</v>
      </c>
      <c r="AJ166" s="14">
        <f>AI166*VLOOKUP('Données projet'!$B$10,Paramètres!$A$1:$I$89,3,0)*VLOOKUP('Données projet'!$B$10,Paramètres!$A$1:$I$89,5,0)</f>
        <v>552.09959999999978</v>
      </c>
      <c r="AK166" s="14">
        <f t="shared" si="164"/>
        <v>122.01091055125165</v>
      </c>
      <c r="AL166" s="22">
        <f t="shared" si="165"/>
        <v>1174.0758058767628</v>
      </c>
      <c r="AM166" s="62">
        <f t="shared" si="113"/>
        <v>1467.4091392100961</v>
      </c>
      <c r="AN166" s="62">
        <f ca="1">AVERAGE(OFFSET($AM$3,0,0,'Données projet'!$E$10+1,1))-AVERAGE(OFFSET($H$3,0,0,'Données projet'!$E$10+1,1))</f>
        <v>675.00969717491046</v>
      </c>
      <c r="AO166" s="62">
        <f t="shared" si="144"/>
        <v>572.99694897193285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0.58484890231106246</v>
      </c>
      <c r="AW166" s="23">
        <f>EXP(-LN(2)/2)*AW165+(1-EXP(-LN(2)/2))/(LN(2)/2)*AQ166*AT166*VLOOKUP('Données projet'!$B$10,Paramètres!$A$1:$I$89,3,0)*0.475*44/12</f>
        <v>1.4213041128628356E-19</v>
      </c>
      <c r="AX166" s="23">
        <f t="shared" si="166"/>
        <v>0.58484890231106246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439.19854273764042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752.99999999999977</v>
      </c>
      <c r="AJ167" s="14">
        <f>AI167*VLOOKUP('Données projet'!$B$10,Paramètres!$A$1:$I$89,3,0)*VLOOKUP('Données projet'!$B$10,Paramètres!$A$1:$I$89,5,0)</f>
        <v>552.09959999999978</v>
      </c>
      <c r="AK167" s="14">
        <f t="shared" si="164"/>
        <v>122.01091055125165</v>
      </c>
      <c r="AL167" s="22">
        <f t="shared" si="165"/>
        <v>1174.0758058767628</v>
      </c>
      <c r="AM167" s="62">
        <f t="shared" si="113"/>
        <v>1467.4091392100961</v>
      </c>
      <c r="AN167" s="62">
        <f ca="1">AVERAGE(OFFSET($AM$3,0,0,'Données projet'!$E$10+1,1))-AVERAGE(OFFSET($H$3,0,0,'Données projet'!$E$10+1,1))</f>
        <v>675.00969717491046</v>
      </c>
      <c r="AO167" s="62">
        <f t="shared" si="144"/>
        <v>572.99694897193285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0.56885617832149937</v>
      </c>
      <c r="AW167" s="23">
        <f>EXP(-LN(2)/2)*AW166+(1-EXP(-LN(2)/2))/(LN(2)/2)*AQ167*AT167*VLOOKUP('Données projet'!$B$10,Paramètres!$A$1:$I$89,3,0)*0.475*44/12</f>
        <v>1.0050137763336411E-19</v>
      </c>
      <c r="AX167" s="23">
        <f t="shared" si="166"/>
        <v>0.56885617832149937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439.19854273764042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752.99999999999977</v>
      </c>
      <c r="AJ168" s="14">
        <f>AI168*VLOOKUP('Données projet'!$B$10,Paramètres!$A$1:$I$89,3,0)*VLOOKUP('Données projet'!$B$10,Paramètres!$A$1:$I$89,5,0)</f>
        <v>552.09959999999978</v>
      </c>
      <c r="AK168" s="14">
        <f t="shared" si="164"/>
        <v>122.01091055125165</v>
      </c>
      <c r="AL168" s="22">
        <f t="shared" si="165"/>
        <v>1174.0758058767628</v>
      </c>
      <c r="AM168" s="62">
        <f t="shared" si="113"/>
        <v>1467.4091392100961</v>
      </c>
      <c r="AN168" s="62">
        <f ca="1">AVERAGE(OFFSET($AM$3,0,0,'Données projet'!$E$10+1,1))-AVERAGE(OFFSET($H$3,0,0,'Données projet'!$E$10+1,1))</f>
        <v>675.00969717491046</v>
      </c>
      <c r="AO168" s="62">
        <f t="shared" si="144"/>
        <v>572.99694897193285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0.55330077621045171</v>
      </c>
      <c r="AW168" s="23">
        <f>EXP(-LN(2)/2)*AW167+(1-EXP(-LN(2)/2))/(LN(2)/2)*AQ168*AT168*VLOOKUP('Données projet'!$B$10,Paramètres!$A$1:$I$89,3,0)*0.475*44/12</f>
        <v>7.1065205643141779E-20</v>
      </c>
      <c r="AX168" s="23">
        <f t="shared" si="166"/>
        <v>0.55330077621045171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439.19854273764042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752.99999999999977</v>
      </c>
      <c r="AJ169" s="14">
        <f>AI169*VLOOKUP('Données projet'!$B$10,Paramètres!$A$1:$I$89,3,0)*VLOOKUP('Données projet'!$B$10,Paramètres!$A$1:$I$89,5,0)</f>
        <v>552.09959999999978</v>
      </c>
      <c r="AK169" s="14">
        <f t="shared" si="164"/>
        <v>122.01091055125165</v>
      </c>
      <c r="AL169" s="22">
        <f t="shared" si="165"/>
        <v>1174.0758058767628</v>
      </c>
      <c r="AM169" s="62">
        <f t="shared" si="113"/>
        <v>1467.4091392100961</v>
      </c>
      <c r="AN169" s="62">
        <f ca="1">AVERAGE(OFFSET($AM$3,0,0,'Données projet'!$E$10+1,1))-AVERAGE(OFFSET($H$3,0,0,'Données projet'!$E$10+1,1))</f>
        <v>675.00969717491046</v>
      </c>
      <c r="AO169" s="62">
        <f t="shared" si="144"/>
        <v>572.99694897193285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0.53817073738815369</v>
      </c>
      <c r="AW169" s="23">
        <f>EXP(-LN(2)/2)*AW168+(1-EXP(-LN(2)/2))/(LN(2)/2)*AQ169*AT169*VLOOKUP('Données projet'!$B$10,Paramètres!$A$1:$I$89,3,0)*0.475*44/12</f>
        <v>5.0250688816682057E-20</v>
      </c>
      <c r="AX169" s="23">
        <f t="shared" si="166"/>
        <v>0.53817073738815369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439.19854273764042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752.99999999999977</v>
      </c>
      <c r="AJ170" s="14">
        <f>AI170*VLOOKUP('Données projet'!$B$10,Paramètres!$A$1:$I$89,3,0)*VLOOKUP('Données projet'!$B$10,Paramètres!$A$1:$I$89,5,0)</f>
        <v>552.09959999999978</v>
      </c>
      <c r="AK170" s="14">
        <f t="shared" si="164"/>
        <v>122.01091055125165</v>
      </c>
      <c r="AL170" s="22">
        <f t="shared" si="165"/>
        <v>1174.0758058767628</v>
      </c>
      <c r="AM170" s="62">
        <f t="shared" si="113"/>
        <v>1467.4091392100961</v>
      </c>
      <c r="AN170" s="62">
        <f ca="1">AVERAGE(OFFSET($AM$3,0,0,'Données projet'!$E$10+1,1))-AVERAGE(OFFSET($H$3,0,0,'Données projet'!$E$10+1,1))</f>
        <v>675.00969717491046</v>
      </c>
      <c r="AO170" s="62">
        <f t="shared" si="144"/>
        <v>572.99694897193285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0.52345443027310556</v>
      </c>
      <c r="AW170" s="23">
        <f>EXP(-LN(2)/2)*AW169+(1-EXP(-LN(2)/2))/(LN(2)/2)*AQ170*AT170*VLOOKUP('Données projet'!$B$10,Paramètres!$A$1:$I$89,3,0)*0.475*44/12</f>
        <v>3.5532602821570889E-20</v>
      </c>
      <c r="AX170" s="23">
        <f t="shared" si="166"/>
        <v>0.52345443027310556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439.19854273764042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752.99999999999977</v>
      </c>
      <c r="AJ171" s="14">
        <f>AI171*VLOOKUP('Données projet'!$B$10,Paramètres!$A$1:$I$89,3,0)*VLOOKUP('Données projet'!$B$10,Paramètres!$A$1:$I$89,5,0)</f>
        <v>552.09959999999978</v>
      </c>
      <c r="AK171" s="14">
        <f t="shared" si="164"/>
        <v>122.01091055125165</v>
      </c>
      <c r="AL171" s="22">
        <f t="shared" si="165"/>
        <v>1174.0758058767628</v>
      </c>
      <c r="AM171" s="62">
        <f t="shared" si="113"/>
        <v>1467.4091392100961</v>
      </c>
      <c r="AN171" s="62">
        <f ca="1">AVERAGE(OFFSET($AM$3,0,0,'Données projet'!$E$10+1,1))-AVERAGE(OFFSET($H$3,0,0,'Données projet'!$E$10+1,1))</f>
        <v>675.00969717491046</v>
      </c>
      <c r="AO171" s="62">
        <f t="shared" si="144"/>
        <v>572.99694897193285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0.50914054135001541</v>
      </c>
      <c r="AW171" s="23">
        <f>EXP(-LN(2)/2)*AW170+(1-EXP(-LN(2)/2))/(LN(2)/2)*AQ171*AT171*VLOOKUP('Données projet'!$B$10,Paramètres!$A$1:$I$89,3,0)*0.475*44/12</f>
        <v>2.5125344408341028E-20</v>
      </c>
      <c r="AX171" s="23">
        <f t="shared" si="166"/>
        <v>0.50914054135001541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439.19854273764042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752.99999999999977</v>
      </c>
      <c r="AJ172" s="14">
        <f>AI172*VLOOKUP('Données projet'!$B$10,Paramètres!$A$1:$I$89,3,0)*VLOOKUP('Données projet'!$B$10,Paramètres!$A$1:$I$89,5,0)</f>
        <v>552.09959999999978</v>
      </c>
      <c r="AK172" s="14">
        <f t="shared" si="164"/>
        <v>122.01091055125165</v>
      </c>
      <c r="AL172" s="22">
        <f t="shared" si="165"/>
        <v>1174.0758058767628</v>
      </c>
      <c r="AM172" s="62">
        <f t="shared" si="113"/>
        <v>1467.4091392100961</v>
      </c>
      <c r="AN172" s="62">
        <f ca="1">AVERAGE(OFFSET($AM$3,0,0,'Données projet'!$E$10+1,1))-AVERAGE(OFFSET($H$3,0,0,'Données projet'!$E$10+1,1))</f>
        <v>675.00969717491046</v>
      </c>
      <c r="AO172" s="62">
        <f t="shared" si="144"/>
        <v>572.99694897193285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0.4952180664722618</v>
      </c>
      <c r="AW172" s="23">
        <f>EXP(-LN(2)/2)*AW171+(1-EXP(-LN(2)/2))/(LN(2)/2)*AQ172*AT172*VLOOKUP('Données projet'!$B$10,Paramètres!$A$1:$I$89,3,0)*0.475*44/12</f>
        <v>1.7766301410785445E-20</v>
      </c>
      <c r="AX172" s="23">
        <f t="shared" si="166"/>
        <v>0.4952180664722618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439.19854273764042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752.99999999999977</v>
      </c>
      <c r="AJ173" s="14">
        <f>AI173*VLOOKUP('Données projet'!$B$10,Paramètres!$A$1:$I$89,3,0)*VLOOKUP('Données projet'!$B$10,Paramètres!$A$1:$I$89,5,0)</f>
        <v>552.09959999999978</v>
      </c>
      <c r="AK173" s="14">
        <f t="shared" si="164"/>
        <v>122.01091055125165</v>
      </c>
      <c r="AL173" s="22">
        <f t="shared" si="165"/>
        <v>1174.0758058767628</v>
      </c>
      <c r="AM173" s="62">
        <f t="shared" si="113"/>
        <v>1467.4091392100961</v>
      </c>
      <c r="AN173" s="62">
        <f ca="1">AVERAGE(OFFSET($AM$3,0,0,'Données projet'!$E$10+1,1))-AVERAGE(OFFSET($H$3,0,0,'Données projet'!$E$10+1,1))</f>
        <v>675.00969717491046</v>
      </c>
      <c r="AO173" s="62">
        <f t="shared" si="144"/>
        <v>572.99694897193285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0.4816763024021915</v>
      </c>
      <c r="AW173" s="23">
        <f>EXP(-LN(2)/2)*AW172+(1-EXP(-LN(2)/2))/(LN(2)/2)*AQ173*AT173*VLOOKUP('Données projet'!$B$10,Paramètres!$A$1:$I$89,3,0)*0.475*44/12</f>
        <v>1.2562672204170514E-20</v>
      </c>
      <c r="AX173" s="23">
        <f t="shared" si="166"/>
        <v>0.4816763024021915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439.19854273764042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752.99999999999977</v>
      </c>
      <c r="AJ174" s="14">
        <f>AI174*VLOOKUP('Données projet'!$B$10,Paramètres!$A$1:$I$89,3,0)*VLOOKUP('Données projet'!$B$10,Paramètres!$A$1:$I$89,5,0)</f>
        <v>552.09959999999978</v>
      </c>
      <c r="AK174" s="14">
        <f t="shared" si="164"/>
        <v>122.01091055125165</v>
      </c>
      <c r="AL174" s="22">
        <f t="shared" si="165"/>
        <v>1174.0758058767628</v>
      </c>
      <c r="AM174" s="62">
        <f t="shared" si="113"/>
        <v>1467.4091392100961</v>
      </c>
      <c r="AN174" s="62">
        <f ca="1">AVERAGE(OFFSET($AM$3,0,0,'Données projet'!$E$10+1,1))-AVERAGE(OFFSET($H$3,0,0,'Données projet'!$E$10+1,1))</f>
        <v>675.00969717491046</v>
      </c>
      <c r="AO174" s="62">
        <f t="shared" si="144"/>
        <v>572.99694897193285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0.46850483858274772</v>
      </c>
      <c r="AW174" s="23">
        <f>EXP(-LN(2)/2)*AW173+(1-EXP(-LN(2)/2))/(LN(2)/2)*AQ174*AT174*VLOOKUP('Données projet'!$B$10,Paramètres!$A$1:$I$89,3,0)*0.475*44/12</f>
        <v>8.8831507053927223E-21</v>
      </c>
      <c r="AX174" s="23">
        <f t="shared" si="166"/>
        <v>0.46850483858274772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439.19854273764042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752.99999999999977</v>
      </c>
      <c r="AJ175" s="14">
        <f>AI175*VLOOKUP('Données projet'!$B$10,Paramètres!$A$1:$I$89,3,0)*VLOOKUP('Données projet'!$B$10,Paramètres!$A$1:$I$89,5,0)</f>
        <v>552.09959999999978</v>
      </c>
      <c r="AK175" s="14">
        <f t="shared" si="164"/>
        <v>122.01091055125165</v>
      </c>
      <c r="AL175" s="22">
        <f t="shared" si="165"/>
        <v>1174.0758058767628</v>
      </c>
      <c r="AM175" s="62">
        <f t="shared" si="113"/>
        <v>1467.4091392100961</v>
      </c>
      <c r="AN175" s="62">
        <f ca="1">AVERAGE(OFFSET($AM$3,0,0,'Données projet'!$E$10+1,1))-AVERAGE(OFFSET($H$3,0,0,'Données projet'!$E$10+1,1))</f>
        <v>675.00969717491046</v>
      </c>
      <c r="AO175" s="62">
        <f t="shared" si="144"/>
        <v>572.99694897193285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0.45569354913410381</v>
      </c>
      <c r="AW175" s="23">
        <f>EXP(-LN(2)/2)*AW174+(1-EXP(-LN(2)/2))/(LN(2)/2)*AQ175*AT175*VLOOKUP('Données projet'!$B$10,Paramètres!$A$1:$I$89,3,0)*0.475*44/12</f>
        <v>6.2813361020852571E-21</v>
      </c>
      <c r="AX175" s="23">
        <f t="shared" si="166"/>
        <v>0.45569354913410381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439.19854273764042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752.99999999999977</v>
      </c>
      <c r="AJ176" s="14">
        <f>AI176*VLOOKUP('Données projet'!$B$10,Paramètres!$A$1:$I$89,3,0)*VLOOKUP('Données projet'!$B$10,Paramètres!$A$1:$I$89,5,0)</f>
        <v>552.09959999999978</v>
      </c>
      <c r="AK176" s="14">
        <f t="shared" si="164"/>
        <v>122.01091055125165</v>
      </c>
      <c r="AL176" s="22">
        <f t="shared" si="165"/>
        <v>1174.0758058767628</v>
      </c>
      <c r="AM176" s="62">
        <f t="shared" si="113"/>
        <v>1467.4091392100961</v>
      </c>
      <c r="AN176" s="62">
        <f ca="1">AVERAGE(OFFSET($AM$3,0,0,'Données projet'!$E$10+1,1))-AVERAGE(OFFSET($H$3,0,0,'Données projet'!$E$10+1,1))</f>
        <v>675.00969717491046</v>
      </c>
      <c r="AO176" s="62">
        <f t="shared" si="144"/>
        <v>572.99694897193285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0.44323258506914948</v>
      </c>
      <c r="AW176" s="23">
        <f>EXP(-LN(2)/2)*AW175+(1-EXP(-LN(2)/2))/(LN(2)/2)*AQ176*AT176*VLOOKUP('Données projet'!$B$10,Paramètres!$A$1:$I$89,3,0)*0.475*44/12</f>
        <v>4.4415753526963612E-21</v>
      </c>
      <c r="AX176" s="23">
        <f t="shared" si="166"/>
        <v>0.44323258506914948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439.19854273764042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752.99999999999977</v>
      </c>
      <c r="AJ177" s="14">
        <f>AI177*VLOOKUP('Données projet'!$B$10,Paramètres!$A$1:$I$89,3,0)*VLOOKUP('Données projet'!$B$10,Paramètres!$A$1:$I$89,5,0)</f>
        <v>552.09959999999978</v>
      </c>
      <c r="AK177" s="14">
        <f t="shared" si="164"/>
        <v>122.01091055125165</v>
      </c>
      <c r="AL177" s="22">
        <f t="shared" si="165"/>
        <v>1174.0758058767628</v>
      </c>
      <c r="AM177" s="62">
        <f t="shared" si="113"/>
        <v>1467.4091392100961</v>
      </c>
      <c r="AN177" s="62">
        <f ca="1">AVERAGE(OFFSET($AM$3,0,0,'Données projet'!$E$10+1,1))-AVERAGE(OFFSET($H$3,0,0,'Données projet'!$E$10+1,1))</f>
        <v>675.00969717491046</v>
      </c>
      <c r="AO177" s="62">
        <f t="shared" si="144"/>
        <v>572.99694897193285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0.43111236672184494</v>
      </c>
      <c r="AW177" s="23">
        <f>EXP(-LN(2)/2)*AW176+(1-EXP(-LN(2)/2))/(LN(2)/2)*AQ177*AT177*VLOOKUP('Données projet'!$B$10,Paramètres!$A$1:$I$89,3,0)*0.475*44/12</f>
        <v>3.1406680510426285E-21</v>
      </c>
      <c r="AX177" s="23">
        <f t="shared" si="166"/>
        <v>0.43111236672184494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439.19854273764042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752.99999999999977</v>
      </c>
      <c r="AJ178" s="14">
        <f>AI178*VLOOKUP('Données projet'!$B$10,Paramètres!$A$1:$I$89,3,0)*VLOOKUP('Données projet'!$B$10,Paramètres!$A$1:$I$89,5,0)</f>
        <v>552.09959999999978</v>
      </c>
      <c r="AK178" s="14">
        <f t="shared" si="164"/>
        <v>122.01091055125165</v>
      </c>
      <c r="AL178" s="22">
        <f t="shared" si="165"/>
        <v>1174.0758058767628</v>
      </c>
      <c r="AM178" s="62">
        <f t="shared" si="113"/>
        <v>1467.4091392100961</v>
      </c>
      <c r="AN178" s="62">
        <f ca="1">AVERAGE(OFFSET($AM$3,0,0,'Données projet'!$E$10+1,1))-AVERAGE(OFFSET($H$3,0,0,'Données projet'!$E$10+1,1))</f>
        <v>675.00969717491046</v>
      </c>
      <c r="AO178" s="62">
        <f t="shared" si="144"/>
        <v>572.99694897193285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0.41932357638262202</v>
      </c>
      <c r="AW178" s="23">
        <f>EXP(-LN(2)/2)*AW177+(1-EXP(-LN(2)/2))/(LN(2)/2)*AQ178*AT178*VLOOKUP('Données projet'!$B$10,Paramètres!$A$1:$I$89,3,0)*0.475*44/12</f>
        <v>2.2207876763481806E-21</v>
      </c>
      <c r="AX178" s="23">
        <f t="shared" si="166"/>
        <v>0.41932357638262202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439.19854273764042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752.99999999999977</v>
      </c>
      <c r="AJ179" s="14">
        <f>AI179*VLOOKUP('Données projet'!$B$10,Paramètres!$A$1:$I$89,3,0)*VLOOKUP('Données projet'!$B$10,Paramètres!$A$1:$I$89,5,0)</f>
        <v>552.09959999999978</v>
      </c>
      <c r="AK179" s="14">
        <f t="shared" si="164"/>
        <v>122.01091055125165</v>
      </c>
      <c r="AL179" s="22">
        <f t="shared" si="165"/>
        <v>1174.0758058767628</v>
      </c>
      <c r="AM179" s="62">
        <f t="shared" si="113"/>
        <v>1467.4091392100961</v>
      </c>
      <c r="AN179" s="62">
        <f ca="1">AVERAGE(OFFSET($AM$3,0,0,'Données projet'!$E$10+1,1))-AVERAGE(OFFSET($H$3,0,0,'Données projet'!$E$10+1,1))</f>
        <v>675.00969717491046</v>
      </c>
      <c r="AO179" s="62">
        <f t="shared" si="144"/>
        <v>572.99694897193285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0.40785715113517074</v>
      </c>
      <c r="AW179" s="23">
        <f>EXP(-LN(2)/2)*AW178+(1-EXP(-LN(2)/2))/(LN(2)/2)*AQ179*AT179*VLOOKUP('Données projet'!$B$10,Paramètres!$A$1:$I$89,3,0)*0.475*44/12</f>
        <v>1.5703340255213143E-21</v>
      </c>
      <c r="AX179" s="23">
        <f t="shared" si="166"/>
        <v>0.40785715113517074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439.19854273764042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752.99999999999977</v>
      </c>
      <c r="AJ180" s="14">
        <f>AI180*VLOOKUP('Données projet'!$B$10,Paramètres!$A$1:$I$89,3,0)*VLOOKUP('Données projet'!$B$10,Paramètres!$A$1:$I$89,5,0)</f>
        <v>552.09959999999978</v>
      </c>
      <c r="AK180" s="14">
        <f t="shared" si="164"/>
        <v>122.01091055125165</v>
      </c>
      <c r="AL180" s="22">
        <f t="shared" si="165"/>
        <v>1174.0758058767628</v>
      </c>
      <c r="AM180" s="62">
        <f t="shared" si="113"/>
        <v>1467.4091392100961</v>
      </c>
      <c r="AN180" s="62">
        <f ca="1">AVERAGE(OFFSET($AM$3,0,0,'Données projet'!$E$10+1,1))-AVERAGE(OFFSET($H$3,0,0,'Données projet'!$E$10+1,1))</f>
        <v>675.00969717491046</v>
      </c>
      <c r="AO180" s="62">
        <f t="shared" si="144"/>
        <v>572.99694897193285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0.39670427588910406</v>
      </c>
      <c r="AW180" s="23">
        <f>EXP(-LN(2)/2)*AW179+(1-EXP(-LN(2)/2))/(LN(2)/2)*AQ180*AT180*VLOOKUP('Données projet'!$B$10,Paramètres!$A$1:$I$89,3,0)*0.475*44/12</f>
        <v>1.1103938381740903E-21</v>
      </c>
      <c r="AX180" s="23">
        <f t="shared" si="166"/>
        <v>0.39670427588910406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439.19854273764042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752.99999999999977</v>
      </c>
      <c r="AJ181" s="14">
        <f>AI181*VLOOKUP('Données projet'!$B$10,Paramètres!$A$1:$I$89,3,0)*VLOOKUP('Données projet'!$B$10,Paramètres!$A$1:$I$89,5,0)</f>
        <v>552.09959999999978</v>
      </c>
      <c r="AK181" s="14">
        <f t="shared" si="164"/>
        <v>122.01091055125165</v>
      </c>
      <c r="AL181" s="22">
        <f t="shared" si="165"/>
        <v>1174.0758058767628</v>
      </c>
      <c r="AM181" s="62">
        <f t="shared" si="113"/>
        <v>1467.4091392100961</v>
      </c>
      <c r="AN181" s="62">
        <f ca="1">AVERAGE(OFFSET($AM$3,0,0,'Données projet'!$E$10+1,1))-AVERAGE(OFFSET($H$3,0,0,'Données projet'!$E$10+1,1))</f>
        <v>675.00969717491046</v>
      </c>
      <c r="AO181" s="62">
        <f t="shared" si="144"/>
        <v>572.99694897193285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0.38585637660314531</v>
      </c>
      <c r="AW181" s="23">
        <f>EXP(-LN(2)/2)*AW180+(1-EXP(-LN(2)/2))/(LN(2)/2)*AQ181*AT181*VLOOKUP('Données projet'!$B$10,Paramètres!$A$1:$I$89,3,0)*0.475*44/12</f>
        <v>7.8516701276065714E-22</v>
      </c>
      <c r="AX181" s="23">
        <f t="shared" si="166"/>
        <v>0.38585637660314531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439.19854273764042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752.99999999999977</v>
      </c>
      <c r="AJ182" s="14">
        <f>AI182*VLOOKUP('Données projet'!$B$10,Paramètres!$A$1:$I$89,3,0)*VLOOKUP('Données projet'!$B$10,Paramètres!$A$1:$I$89,5,0)</f>
        <v>552.09959999999978</v>
      </c>
      <c r="AK182" s="14">
        <f t="shared" si="164"/>
        <v>122.01091055125165</v>
      </c>
      <c r="AL182" s="22">
        <f t="shared" si="165"/>
        <v>1174.0758058767628</v>
      </c>
      <c r="AM182" s="62">
        <f t="shared" si="113"/>
        <v>1467.4091392100961</v>
      </c>
      <c r="AN182" s="62">
        <f ca="1">AVERAGE(OFFSET($AM$3,0,0,'Données projet'!$E$10+1,1))-AVERAGE(OFFSET($H$3,0,0,'Données projet'!$E$10+1,1))</f>
        <v>675.00969717491046</v>
      </c>
      <c r="AO182" s="62">
        <f t="shared" si="144"/>
        <v>572.99694897193285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0.37530511369362735</v>
      </c>
      <c r="AW182" s="23">
        <f>EXP(-LN(2)/2)*AW181+(1-EXP(-LN(2)/2))/(LN(2)/2)*AQ182*AT182*VLOOKUP('Données projet'!$B$10,Paramètres!$A$1:$I$89,3,0)*0.475*44/12</f>
        <v>5.5519691908704515E-22</v>
      </c>
      <c r="AX182" s="23">
        <f t="shared" si="166"/>
        <v>0.37530511369362735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439.19854273764042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752.99999999999977</v>
      </c>
      <c r="AJ183" s="14">
        <f>AI183*VLOOKUP('Données projet'!$B$10,Paramètres!$A$1:$I$89,3,0)*VLOOKUP('Données projet'!$B$10,Paramètres!$A$1:$I$89,5,0)</f>
        <v>552.09959999999978</v>
      </c>
      <c r="AK183" s="14">
        <f t="shared" si="164"/>
        <v>122.01091055125165</v>
      </c>
      <c r="AL183" s="22">
        <f t="shared" si="165"/>
        <v>1174.0758058767628</v>
      </c>
      <c r="AM183" s="62">
        <f t="shared" si="113"/>
        <v>1467.4091392100961</v>
      </c>
      <c r="AN183" s="62">
        <f ca="1">AVERAGE(OFFSET($AM$3,0,0,'Données projet'!$E$10+1,1))-AVERAGE(OFFSET($H$3,0,0,'Données projet'!$E$10+1,1))</f>
        <v>675.00969717491046</v>
      </c>
      <c r="AO183" s="62">
        <f t="shared" si="144"/>
        <v>572.99694897193285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0.36504237562323694</v>
      </c>
      <c r="AW183" s="23">
        <f>EXP(-LN(2)/2)*AW182+(1-EXP(-LN(2)/2))/(LN(2)/2)*AQ183*AT183*VLOOKUP('Données projet'!$B$10,Paramètres!$A$1:$I$89,3,0)*0.475*44/12</f>
        <v>3.9258350638032857E-22</v>
      </c>
      <c r="AX183" s="23">
        <f t="shared" si="166"/>
        <v>0.36504237562323694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439.19854273764042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752.99999999999977</v>
      </c>
      <c r="AJ184" s="14">
        <f>AI184*VLOOKUP('Données projet'!$B$10,Paramètres!$A$1:$I$89,3,0)*VLOOKUP('Données projet'!$B$10,Paramètres!$A$1:$I$89,5,0)</f>
        <v>552.09959999999978</v>
      </c>
      <c r="AK184" s="14">
        <f t="shared" si="164"/>
        <v>122.01091055125165</v>
      </c>
      <c r="AL184" s="22">
        <f t="shared" si="165"/>
        <v>1174.0758058767628</v>
      </c>
      <c r="AM184" s="62">
        <f t="shared" si="113"/>
        <v>1467.4091392100961</v>
      </c>
      <c r="AN184" s="62">
        <f ca="1">AVERAGE(OFFSET($AM$3,0,0,'Données projet'!$E$10+1,1))-AVERAGE(OFFSET($H$3,0,0,'Données projet'!$E$10+1,1))</f>
        <v>675.00969717491046</v>
      </c>
      <c r="AO184" s="62">
        <f t="shared" si="144"/>
        <v>572.99694897193285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0.35506027266507528</v>
      </c>
      <c r="AW184" s="23">
        <f>EXP(-LN(2)/2)*AW183+(1-EXP(-LN(2)/2))/(LN(2)/2)*AQ184*AT184*VLOOKUP('Données projet'!$B$10,Paramètres!$A$1:$I$89,3,0)*0.475*44/12</f>
        <v>2.7759845954352257E-22</v>
      </c>
      <c r="AX184" s="23">
        <f t="shared" si="166"/>
        <v>0.35506027266507528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439.19854273764042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752.99999999999977</v>
      </c>
      <c r="AJ185" s="14">
        <f>AI185*VLOOKUP('Données projet'!$B$10,Paramètres!$A$1:$I$89,3,0)*VLOOKUP('Données projet'!$B$10,Paramètres!$A$1:$I$89,5,0)</f>
        <v>552.09959999999978</v>
      </c>
      <c r="AK185" s="14">
        <f t="shared" si="164"/>
        <v>122.01091055125165</v>
      </c>
      <c r="AL185" s="22">
        <f t="shared" si="165"/>
        <v>1174.0758058767628</v>
      </c>
      <c r="AM185" s="62">
        <f t="shared" si="113"/>
        <v>1467.4091392100961</v>
      </c>
      <c r="AN185" s="62">
        <f ca="1">AVERAGE(OFFSET($AM$3,0,0,'Données projet'!$E$10+1,1))-AVERAGE(OFFSET($H$3,0,0,'Données projet'!$E$10+1,1))</f>
        <v>675.00969717491046</v>
      </c>
      <c r="AO185" s="62">
        <f t="shared" si="144"/>
        <v>572.99694897193285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0.34535113083724056</v>
      </c>
      <c r="AW185" s="23">
        <f>EXP(-LN(2)/2)*AW184+(1-EXP(-LN(2)/2))/(LN(2)/2)*AQ185*AT185*VLOOKUP('Données projet'!$B$10,Paramètres!$A$1:$I$89,3,0)*0.475*44/12</f>
        <v>1.9629175319016428E-22</v>
      </c>
      <c r="AX185" s="23">
        <f t="shared" si="166"/>
        <v>0.34535113083724056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439.19854273764042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752.99999999999977</v>
      </c>
      <c r="AJ186" s="14">
        <f>AI186*VLOOKUP('Données projet'!$B$10,Paramètres!$A$1:$I$89,3,0)*VLOOKUP('Données projet'!$B$10,Paramètres!$A$1:$I$89,5,0)</f>
        <v>552.09959999999978</v>
      </c>
      <c r="AK186" s="14">
        <f t="shared" si="164"/>
        <v>122.01091055125165</v>
      </c>
      <c r="AL186" s="22">
        <f t="shared" si="165"/>
        <v>1174.0758058767628</v>
      </c>
      <c r="AM186" s="62">
        <f t="shared" si="113"/>
        <v>1467.4091392100961</v>
      </c>
      <c r="AN186" s="62">
        <f ca="1">AVERAGE(OFFSET($AM$3,0,0,'Données projet'!$E$10+1,1))-AVERAGE(OFFSET($H$3,0,0,'Données projet'!$E$10+1,1))</f>
        <v>675.00969717491046</v>
      </c>
      <c r="AO186" s="62">
        <f t="shared" si="144"/>
        <v>572.99694897193285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0.33590748600326958</v>
      </c>
      <c r="AW186" s="23">
        <f>EXP(-LN(2)/2)*AW185+(1-EXP(-LN(2)/2))/(LN(2)/2)*AQ186*AT186*VLOOKUP('Données projet'!$B$10,Paramètres!$A$1:$I$89,3,0)*0.475*44/12</f>
        <v>1.3879922977176129E-22</v>
      </c>
      <c r="AX186" s="23">
        <f t="shared" si="166"/>
        <v>0.33590748600326958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439.19854273764042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752.99999999999977</v>
      </c>
      <c r="AJ187" s="14">
        <f>AI187*VLOOKUP('Données projet'!$B$10,Paramètres!$A$1:$I$89,3,0)*VLOOKUP('Données projet'!$B$10,Paramètres!$A$1:$I$89,5,0)</f>
        <v>552.09959999999978</v>
      </c>
      <c r="AK187" s="14">
        <f t="shared" si="164"/>
        <v>122.01091055125165</v>
      </c>
      <c r="AL187" s="22">
        <f t="shared" si="165"/>
        <v>1174.0758058767628</v>
      </c>
      <c r="AM187" s="62">
        <f t="shared" si="113"/>
        <v>1467.4091392100961</v>
      </c>
      <c r="AN187" s="62">
        <f ca="1">AVERAGE(OFFSET($AM$3,0,0,'Données projet'!$E$10+1,1))-AVERAGE(OFFSET($H$3,0,0,'Données projet'!$E$10+1,1))</f>
        <v>675.00969717491046</v>
      </c>
      <c r="AO187" s="62">
        <f t="shared" si="144"/>
        <v>572.99694897193285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0.32672207813390319</v>
      </c>
      <c r="AW187" s="23">
        <f>EXP(-LN(2)/2)*AW186+(1-EXP(-LN(2)/2))/(LN(2)/2)*AQ187*AT187*VLOOKUP('Données projet'!$B$10,Paramètres!$A$1:$I$89,3,0)*0.475*44/12</f>
        <v>9.8145876595082142E-23</v>
      </c>
      <c r="AX187" s="23">
        <f t="shared" si="166"/>
        <v>0.32672207813390319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439.19854273764042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752.99999999999977</v>
      </c>
      <c r="AJ188" s="14">
        <f>AI188*VLOOKUP('Données projet'!$B$10,Paramètres!$A$1:$I$89,3,0)*VLOOKUP('Données projet'!$B$10,Paramètres!$A$1:$I$89,5,0)</f>
        <v>552.09959999999978</v>
      </c>
      <c r="AK188" s="14">
        <f t="shared" si="164"/>
        <v>122.01091055125165</v>
      </c>
      <c r="AL188" s="22">
        <f t="shared" si="165"/>
        <v>1174.0758058767628</v>
      </c>
      <c r="AM188" s="62">
        <f t="shared" si="113"/>
        <v>1467.4091392100961</v>
      </c>
      <c r="AN188" s="62">
        <f ca="1">AVERAGE(OFFSET($AM$3,0,0,'Données projet'!$E$10+1,1))-AVERAGE(OFFSET($H$3,0,0,'Données projet'!$E$10+1,1))</f>
        <v>675.00969717491046</v>
      </c>
      <c r="AO188" s="62">
        <f t="shared" si="144"/>
        <v>572.99694897193285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0.31778784572576424</v>
      </c>
      <c r="AW188" s="23">
        <f>EXP(-LN(2)/2)*AW187+(1-EXP(-LN(2)/2))/(LN(2)/2)*AQ188*AT188*VLOOKUP('Données projet'!$B$10,Paramètres!$A$1:$I$89,3,0)*0.475*44/12</f>
        <v>6.9399614885880643E-23</v>
      </c>
      <c r="AX188" s="23">
        <f t="shared" si="166"/>
        <v>0.31778784572576424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439.19854273764042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752.99999999999977</v>
      </c>
      <c r="AJ189" s="14">
        <f>AI189*VLOOKUP('Données projet'!$B$10,Paramètres!$A$1:$I$89,3,0)*VLOOKUP('Données projet'!$B$10,Paramètres!$A$1:$I$89,5,0)</f>
        <v>552.09959999999978</v>
      </c>
      <c r="AK189" s="14">
        <f t="shared" si="164"/>
        <v>122.01091055125165</v>
      </c>
      <c r="AL189" s="22">
        <f t="shared" si="165"/>
        <v>1174.0758058767628</v>
      </c>
      <c r="AM189" s="62">
        <f t="shared" si="113"/>
        <v>1467.4091392100961</v>
      </c>
      <c r="AN189" s="62">
        <f ca="1">AVERAGE(OFFSET($AM$3,0,0,'Données projet'!$E$10+1,1))-AVERAGE(OFFSET($H$3,0,0,'Données projet'!$E$10+1,1))</f>
        <v>675.00969717491046</v>
      </c>
      <c r="AO189" s="62">
        <f t="shared" si="144"/>
        <v>572.99694897193285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0.30909792037265671</v>
      </c>
      <c r="AW189" s="23">
        <f>EXP(-LN(2)/2)*AW188+(1-EXP(-LN(2)/2))/(LN(2)/2)*AQ189*AT189*VLOOKUP('Données projet'!$B$10,Paramètres!$A$1:$I$89,3,0)*0.475*44/12</f>
        <v>4.9072938297541071E-23</v>
      </c>
      <c r="AX189" s="23">
        <f t="shared" si="166"/>
        <v>0.30909792037265671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439.19854273764042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752.99999999999977</v>
      </c>
      <c r="AJ190" s="14">
        <f>AI190*VLOOKUP('Données projet'!$B$10,Paramètres!$A$1:$I$89,3,0)*VLOOKUP('Données projet'!$B$10,Paramètres!$A$1:$I$89,5,0)</f>
        <v>552.09959999999978</v>
      </c>
      <c r="AK190" s="14">
        <f t="shared" si="164"/>
        <v>122.01091055125165</v>
      </c>
      <c r="AL190" s="22">
        <f t="shared" si="165"/>
        <v>1174.0758058767628</v>
      </c>
      <c r="AM190" s="62">
        <f t="shared" si="113"/>
        <v>1467.4091392100961</v>
      </c>
      <c r="AN190" s="62">
        <f ca="1">AVERAGE(OFFSET($AM$3,0,0,'Données projet'!$E$10+1,1))-AVERAGE(OFFSET($H$3,0,0,'Données projet'!$E$10+1,1))</f>
        <v>675.00969717491046</v>
      </c>
      <c r="AO190" s="62">
        <f t="shared" si="144"/>
        <v>572.99694897193285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0.30064562148531321</v>
      </c>
      <c r="AW190" s="23">
        <f>EXP(-LN(2)/2)*AW189+(1-EXP(-LN(2)/2))/(LN(2)/2)*AQ190*AT190*VLOOKUP('Données projet'!$B$10,Paramètres!$A$1:$I$89,3,0)*0.475*44/12</f>
        <v>3.4699807442940322E-23</v>
      </c>
      <c r="AX190" s="23">
        <f t="shared" si="166"/>
        <v>0.30064562148531321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439.19854273764042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752.99999999999977</v>
      </c>
      <c r="AJ191" s="14">
        <f>AI191*VLOOKUP('Données projet'!$B$10,Paramètres!$A$1:$I$89,3,0)*VLOOKUP('Données projet'!$B$10,Paramètres!$A$1:$I$89,5,0)</f>
        <v>552.09959999999978</v>
      </c>
      <c r="AK191" s="14">
        <f t="shared" si="164"/>
        <v>122.01091055125165</v>
      </c>
      <c r="AL191" s="22">
        <f t="shared" si="165"/>
        <v>1174.0758058767628</v>
      </c>
      <c r="AM191" s="62">
        <f t="shared" si="113"/>
        <v>1467.4091392100961</v>
      </c>
      <c r="AN191" s="62">
        <f ca="1">AVERAGE(OFFSET($AM$3,0,0,'Données projet'!$E$10+1,1))-AVERAGE(OFFSET($H$3,0,0,'Données projet'!$E$10+1,1))</f>
        <v>675.00969717491046</v>
      </c>
      <c r="AO191" s="62">
        <f t="shared" si="144"/>
        <v>572.99694897193285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0.29242445115553123</v>
      </c>
      <c r="AW191" s="23">
        <f>EXP(-LN(2)/2)*AW190+(1-EXP(-LN(2)/2))/(LN(2)/2)*AQ191*AT191*VLOOKUP('Données projet'!$B$10,Paramètres!$A$1:$I$89,3,0)*0.475*44/12</f>
        <v>2.4536469148770535E-23</v>
      </c>
      <c r="AX191" s="23">
        <f t="shared" si="166"/>
        <v>0.29242445115553123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439.19854273764042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752.99999999999977</v>
      </c>
      <c r="AJ192" s="14">
        <f>AI192*VLOOKUP('Données projet'!$B$10,Paramètres!$A$1:$I$89,3,0)*VLOOKUP('Données projet'!$B$10,Paramètres!$A$1:$I$89,5,0)</f>
        <v>552.09959999999978</v>
      </c>
      <c r="AK192" s="14">
        <f t="shared" si="164"/>
        <v>122.01091055125165</v>
      </c>
      <c r="AL192" s="22">
        <f t="shared" si="165"/>
        <v>1174.0758058767628</v>
      </c>
      <c r="AM192" s="62">
        <f t="shared" si="113"/>
        <v>1467.4091392100961</v>
      </c>
      <c r="AN192" s="62">
        <f ca="1">AVERAGE(OFFSET($AM$3,0,0,'Données projet'!$E$10+1,1))-AVERAGE(OFFSET($H$3,0,0,'Données projet'!$E$10+1,1))</f>
        <v>675.00969717491046</v>
      </c>
      <c r="AO192" s="62">
        <f t="shared" si="144"/>
        <v>572.99694897193285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0.28442808916074969</v>
      </c>
      <c r="AW192" s="23">
        <f>EXP(-LN(2)/2)*AW191+(1-EXP(-LN(2)/2))/(LN(2)/2)*AQ192*AT192*VLOOKUP('Données projet'!$B$10,Paramètres!$A$1:$I$89,3,0)*0.475*44/12</f>
        <v>1.7349903721470161E-23</v>
      </c>
      <c r="AX192" s="23">
        <f t="shared" si="166"/>
        <v>0.28442808916074969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439.19854273764042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752.99999999999977</v>
      </c>
      <c r="AJ193" s="14">
        <f>AI193*VLOOKUP('Données projet'!$B$10,Paramètres!$A$1:$I$89,3,0)*VLOOKUP('Données projet'!$B$10,Paramètres!$A$1:$I$89,5,0)</f>
        <v>552.09959999999978</v>
      </c>
      <c r="AK193" s="14">
        <f t="shared" si="164"/>
        <v>122.01091055125165</v>
      </c>
      <c r="AL193" s="22">
        <f t="shared" si="165"/>
        <v>1174.0758058767628</v>
      </c>
      <c r="AM193" s="62">
        <f t="shared" si="113"/>
        <v>1467.4091392100961</v>
      </c>
      <c r="AN193" s="62">
        <f ca="1">AVERAGE(OFFSET($AM$3,0,0,'Données projet'!$E$10+1,1))-AVERAGE(OFFSET($H$3,0,0,'Données projet'!$E$10+1,1))</f>
        <v>675.00969717491046</v>
      </c>
      <c r="AO193" s="62">
        <f t="shared" si="144"/>
        <v>572.99694897193285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0.27665038810522585</v>
      </c>
      <c r="AW193" s="23">
        <f>EXP(-LN(2)/2)*AW192+(1-EXP(-LN(2)/2))/(LN(2)/2)*AQ193*AT193*VLOOKUP('Données projet'!$B$10,Paramètres!$A$1:$I$89,3,0)*0.475*44/12</f>
        <v>1.2268234574385268E-23</v>
      </c>
      <c r="AX193" s="23">
        <f t="shared" si="166"/>
        <v>0.27665038810522585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439.19854273764042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752.99999999999977</v>
      </c>
      <c r="AJ194" s="14">
        <f>AI194*VLOOKUP('Données projet'!$B$10,Paramètres!$A$1:$I$89,3,0)*VLOOKUP('Données projet'!$B$10,Paramètres!$A$1:$I$89,5,0)</f>
        <v>552.09959999999978</v>
      </c>
      <c r="AK194" s="14">
        <f t="shared" si="164"/>
        <v>122.01091055125165</v>
      </c>
      <c r="AL194" s="22">
        <f t="shared" si="165"/>
        <v>1174.0758058767628</v>
      </c>
      <c r="AM194" s="62">
        <f t="shared" si="113"/>
        <v>1467.4091392100961</v>
      </c>
      <c r="AN194" s="62">
        <f ca="1">AVERAGE(OFFSET($AM$3,0,0,'Données projet'!$E$10+1,1))-AVERAGE(OFFSET($H$3,0,0,'Données projet'!$E$10+1,1))</f>
        <v>675.00969717491046</v>
      </c>
      <c r="AO194" s="62">
        <f t="shared" si="144"/>
        <v>572.99694897193285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0.26908536869407684</v>
      </c>
      <c r="AW194" s="23">
        <f>EXP(-LN(2)/2)*AW193+(1-EXP(-LN(2)/2))/(LN(2)/2)*AQ194*AT194*VLOOKUP('Données projet'!$B$10,Paramètres!$A$1:$I$89,3,0)*0.475*44/12</f>
        <v>8.6749518607350804E-24</v>
      </c>
      <c r="AX194" s="23">
        <f t="shared" si="166"/>
        <v>0.26908536869407684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439.19854273764042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752.99999999999977</v>
      </c>
      <c r="AJ195" s="14">
        <f>AI195*VLOOKUP('Données projet'!$B$10,Paramètres!$A$1:$I$89,3,0)*VLOOKUP('Données projet'!$B$10,Paramètres!$A$1:$I$89,5,0)</f>
        <v>552.09959999999978</v>
      </c>
      <c r="AK195" s="14">
        <f t="shared" si="164"/>
        <v>122.01091055125165</v>
      </c>
      <c r="AL195" s="22">
        <f t="shared" si="165"/>
        <v>1174.0758058767628</v>
      </c>
      <c r="AM195" s="62">
        <f t="shared" si="113"/>
        <v>1467.4091392100961</v>
      </c>
      <c r="AN195" s="62">
        <f ca="1">AVERAGE(OFFSET($AM$3,0,0,'Données projet'!$E$10+1,1))-AVERAGE(OFFSET($H$3,0,0,'Données projet'!$E$10+1,1))</f>
        <v>675.00969717491046</v>
      </c>
      <c r="AO195" s="62">
        <f t="shared" si="144"/>
        <v>572.99694897193285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0.26172721513655278</v>
      </c>
      <c r="AW195" s="23">
        <f>EXP(-LN(2)/2)*AW194+(1-EXP(-LN(2)/2))/(LN(2)/2)*AQ195*AT195*VLOOKUP('Données projet'!$B$10,Paramètres!$A$1:$I$89,3,0)*0.475*44/12</f>
        <v>6.1341172871926339E-24</v>
      </c>
      <c r="AX195" s="23">
        <f t="shared" si="166"/>
        <v>0.26172721513655278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439.19854273764042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752.99999999999977</v>
      </c>
      <c r="AJ196" s="14">
        <f>AI196*VLOOKUP('Données projet'!$B$10,Paramètres!$A$1:$I$89,3,0)*VLOOKUP('Données projet'!$B$10,Paramètres!$A$1:$I$89,5,0)</f>
        <v>552.09959999999978</v>
      </c>
      <c r="AK196" s="14">
        <f t="shared" si="164"/>
        <v>122.01091055125165</v>
      </c>
      <c r="AL196" s="22">
        <f t="shared" si="165"/>
        <v>1174.0758058767628</v>
      </c>
      <c r="AM196" s="62">
        <f t="shared" ref="AM196:AM203" si="193">AL196+(AD196+AE196)*44/12</f>
        <v>1467.4091392100961</v>
      </c>
      <c r="AN196" s="62">
        <f ca="1">AVERAGE(OFFSET($AM$3,0,0,'Données projet'!$E$10+1,1))-AVERAGE(OFFSET($H$3,0,0,'Données projet'!$E$10+1,1))</f>
        <v>675.00969717491046</v>
      </c>
      <c r="AO196" s="62">
        <f t="shared" si="144"/>
        <v>572.99694897193285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0.2545702706750077</v>
      </c>
      <c r="AW196" s="23">
        <f>EXP(-LN(2)/2)*AW195+(1-EXP(-LN(2)/2))/(LN(2)/2)*AQ196*AT196*VLOOKUP('Données projet'!$B$10,Paramètres!$A$1:$I$89,3,0)*0.475*44/12</f>
        <v>4.3374759303675402E-24</v>
      </c>
      <c r="AX196" s="23">
        <f t="shared" si="166"/>
        <v>0.2545702706750077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439.19854273764042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752.99999999999977</v>
      </c>
      <c r="AJ197" s="14">
        <f>AI197*VLOOKUP('Données projet'!$B$10,Paramètres!$A$1:$I$89,3,0)*VLOOKUP('Données projet'!$B$10,Paramètres!$A$1:$I$89,5,0)</f>
        <v>552.09959999999978</v>
      </c>
      <c r="AK197" s="14">
        <f t="shared" si="164"/>
        <v>122.01091055125165</v>
      </c>
      <c r="AL197" s="22">
        <f t="shared" si="165"/>
        <v>1174.0758058767628</v>
      </c>
      <c r="AM197" s="62">
        <f t="shared" si="193"/>
        <v>1467.4091392100961</v>
      </c>
      <c r="AN197" s="62">
        <f ca="1">AVERAGE(OFFSET($AM$3,0,0,'Données projet'!$E$10+1,1))-AVERAGE(OFFSET($H$3,0,0,'Données projet'!$E$10+1,1))</f>
        <v>675.00969717491046</v>
      </c>
      <c r="AO197" s="62">
        <f t="shared" ref="AO197:AO203" si="205">$AO$3</f>
        <v>572.99694897193285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0.2476090332361309</v>
      </c>
      <c r="AW197" s="23">
        <f>EXP(-LN(2)/2)*AW196+(1-EXP(-LN(2)/2))/(LN(2)/2)*AQ197*AT197*VLOOKUP('Données projet'!$B$10,Paramètres!$A$1:$I$89,3,0)*0.475*44/12</f>
        <v>3.0670586435963169E-24</v>
      </c>
      <c r="AX197" s="23">
        <f t="shared" si="166"/>
        <v>0.2476090332361309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439.19854273764042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752.99999999999977</v>
      </c>
      <c r="AJ198" s="14">
        <f>AI198*VLOOKUP('Données projet'!$B$10,Paramètres!$A$1:$I$89,3,0)*VLOOKUP('Données projet'!$B$10,Paramètres!$A$1:$I$89,5,0)</f>
        <v>552.09959999999978</v>
      </c>
      <c r="AK198" s="14">
        <f t="shared" si="164"/>
        <v>122.01091055125165</v>
      </c>
      <c r="AL198" s="22">
        <f t="shared" si="165"/>
        <v>1174.0758058767628</v>
      </c>
      <c r="AM198" s="62">
        <f t="shared" si="193"/>
        <v>1467.4091392100961</v>
      </c>
      <c r="AN198" s="62">
        <f ca="1">AVERAGE(OFFSET($AM$3,0,0,'Données projet'!$E$10+1,1))-AVERAGE(OFFSET($H$3,0,0,'Données projet'!$E$10+1,1))</f>
        <v>675.00969717491046</v>
      </c>
      <c r="AO198" s="62">
        <f t="shared" si="205"/>
        <v>572.99694897193285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0.24083815120109575</v>
      </c>
      <c r="AW198" s="23">
        <f>EXP(-LN(2)/2)*AW197+(1-EXP(-LN(2)/2))/(LN(2)/2)*AQ198*AT198*VLOOKUP('Données projet'!$B$10,Paramètres!$A$1:$I$89,3,0)*0.475*44/12</f>
        <v>2.1687379651837701E-24</v>
      </c>
      <c r="AX198" s="23">
        <f t="shared" si="166"/>
        <v>0.24083815120109575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439.19854273764042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752.99999999999977</v>
      </c>
      <c r="AJ199" s="14">
        <f>AI199*VLOOKUP('Données projet'!$B$10,Paramètres!$A$1:$I$89,3,0)*VLOOKUP('Données projet'!$B$10,Paramètres!$A$1:$I$89,5,0)</f>
        <v>552.09959999999978</v>
      </c>
      <c r="AK199" s="14">
        <f t="shared" si="164"/>
        <v>122.01091055125165</v>
      </c>
      <c r="AL199" s="22">
        <f t="shared" si="165"/>
        <v>1174.0758058767628</v>
      </c>
      <c r="AM199" s="62">
        <f t="shared" si="193"/>
        <v>1467.4091392100961</v>
      </c>
      <c r="AN199" s="62">
        <f ca="1">AVERAGE(OFFSET($AM$3,0,0,'Données projet'!$E$10+1,1))-AVERAGE(OFFSET($H$3,0,0,'Données projet'!$E$10+1,1))</f>
        <v>675.00969717491046</v>
      </c>
      <c r="AO199" s="62">
        <f t="shared" si="205"/>
        <v>572.99694897193285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0.23425241929137386</v>
      </c>
      <c r="AW199" s="23">
        <f>EXP(-LN(2)/2)*AW198+(1-EXP(-LN(2)/2))/(LN(2)/2)*AQ199*AT199*VLOOKUP('Données projet'!$B$10,Paramètres!$A$1:$I$89,3,0)*0.475*44/12</f>
        <v>1.5335293217981585E-24</v>
      </c>
      <c r="AX199" s="23">
        <f t="shared" si="166"/>
        <v>0.23425241929137386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439.19854273764042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752.99999999999977</v>
      </c>
      <c r="AJ200" s="14">
        <f>AI200*VLOOKUP('Données projet'!$B$10,Paramètres!$A$1:$I$89,3,0)*VLOOKUP('Données projet'!$B$10,Paramètres!$A$1:$I$89,5,0)</f>
        <v>552.09959999999978</v>
      </c>
      <c r="AK200" s="14">
        <f t="shared" si="164"/>
        <v>122.01091055125165</v>
      </c>
      <c r="AL200" s="22">
        <f t="shared" si="165"/>
        <v>1174.0758058767628</v>
      </c>
      <c r="AM200" s="62">
        <f t="shared" si="193"/>
        <v>1467.4091392100961</v>
      </c>
      <c r="AN200" s="62">
        <f ca="1">AVERAGE(OFFSET($AM$3,0,0,'Données projet'!$E$10+1,1))-AVERAGE(OFFSET($H$3,0,0,'Données projet'!$E$10+1,1))</f>
        <v>675.00969717491046</v>
      </c>
      <c r="AO200" s="62">
        <f t="shared" si="205"/>
        <v>572.99694897193285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0.22784677456705191</v>
      </c>
      <c r="AW200" s="23">
        <f>EXP(-LN(2)/2)*AW199+(1-EXP(-LN(2)/2))/(LN(2)/2)*AQ200*AT200*VLOOKUP('Données projet'!$B$10,Paramètres!$A$1:$I$89,3,0)*0.475*44/12</f>
        <v>1.0843689825918851E-24</v>
      </c>
      <c r="AX200" s="23">
        <f t="shared" si="166"/>
        <v>0.22784677456705191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439.19854273764042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752.99999999999977</v>
      </c>
      <c r="AJ201" s="14">
        <f>AI201*VLOOKUP('Données projet'!$B$10,Paramètres!$A$1:$I$89,3,0)*VLOOKUP('Données projet'!$B$10,Paramètres!$A$1:$I$89,5,0)</f>
        <v>552.09959999999978</v>
      </c>
      <c r="AK201" s="14">
        <f t="shared" si="164"/>
        <v>122.01091055125165</v>
      </c>
      <c r="AL201" s="22">
        <f t="shared" si="165"/>
        <v>1174.0758058767628</v>
      </c>
      <c r="AM201" s="62">
        <f t="shared" si="193"/>
        <v>1467.4091392100961</v>
      </c>
      <c r="AN201" s="62">
        <f ca="1">AVERAGE(OFFSET($AM$3,0,0,'Données projet'!$E$10+1,1))-AVERAGE(OFFSET($H$3,0,0,'Données projet'!$E$10+1,1))</f>
        <v>675.00969717491046</v>
      </c>
      <c r="AO201" s="62">
        <f t="shared" si="205"/>
        <v>572.99694897193285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0.22161629253457474</v>
      </c>
      <c r="AW201" s="23">
        <f>EXP(-LN(2)/2)*AW200+(1-EXP(-LN(2)/2))/(LN(2)/2)*AQ201*AT201*VLOOKUP('Données projet'!$B$10,Paramètres!$A$1:$I$89,3,0)*0.475*44/12</f>
        <v>7.6676466089907923E-25</v>
      </c>
      <c r="AX201" s="23">
        <f t="shared" si="166"/>
        <v>0.22161629253457474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439.19854273764042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752.99999999999977</v>
      </c>
      <c r="AJ202" s="14">
        <f>AI202*VLOOKUP('Données projet'!$B$10,Paramètres!$A$1:$I$89,3,0)*VLOOKUP('Données projet'!$B$10,Paramètres!$A$1:$I$89,5,0)</f>
        <v>552.09959999999978</v>
      </c>
      <c r="AK202" s="14">
        <f t="shared" si="164"/>
        <v>122.01091055125165</v>
      </c>
      <c r="AL202" s="22">
        <f t="shared" si="165"/>
        <v>1174.0758058767628</v>
      </c>
      <c r="AM202" s="62">
        <f t="shared" si="193"/>
        <v>1467.4091392100961</v>
      </c>
      <c r="AN202" s="62">
        <f ca="1">AVERAGE(OFFSET($AM$3,0,0,'Données projet'!$E$10+1,1))-AVERAGE(OFFSET($H$3,0,0,'Données projet'!$E$10+1,1))</f>
        <v>675.00969717491046</v>
      </c>
      <c r="AO202" s="62">
        <f t="shared" si="205"/>
        <v>572.99694897193285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0.21555618336092247</v>
      </c>
      <c r="AW202" s="23">
        <f>EXP(-LN(2)/2)*AW201+(1-EXP(-LN(2)/2))/(LN(2)/2)*AQ202*AT202*VLOOKUP('Données projet'!$B$10,Paramètres!$A$1:$I$89,3,0)*0.475*44/12</f>
        <v>5.4218449129594253E-25</v>
      </c>
      <c r="AX202" s="23">
        <f t="shared" si="166"/>
        <v>0.21555618336092247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439.19854273764042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752.99999999999977</v>
      </c>
      <c r="AJ203" s="14">
        <f>AI203*VLOOKUP('Données projet'!$B$10,Paramètres!$A$1:$I$89,3,0)*VLOOKUP('Données projet'!$B$10,Paramètres!$A$1:$I$89,5,0)</f>
        <v>552.09959999999978</v>
      </c>
      <c r="AK203" s="14">
        <f t="shared" si="164"/>
        <v>122.01091055125165</v>
      </c>
      <c r="AL203" s="22">
        <f t="shared" si="165"/>
        <v>1174.0758058767628</v>
      </c>
      <c r="AM203" s="62">
        <f t="shared" si="193"/>
        <v>1467.4091392100961</v>
      </c>
      <c r="AN203" s="62">
        <f ca="1">AVERAGE(OFFSET($AM$3,0,0,'Données projet'!$E$10+1,1))-AVERAGE(OFFSET($H$3,0,0,'Données projet'!$E$10+1,1))</f>
        <v>675.00969717491046</v>
      </c>
      <c r="AO203" s="62">
        <f t="shared" si="205"/>
        <v>572.99694897193285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0.20966178819131101</v>
      </c>
      <c r="AW203" s="23">
        <f>EXP(-LN(2)/2)*AW202+(1-EXP(-LN(2)/2))/(LN(2)/2)*AQ203*AT203*VLOOKUP('Données projet'!$B$10,Paramètres!$A$1:$I$89,3,0)*0.475*44/12</f>
        <v>3.8338233044953962E-25</v>
      </c>
      <c r="AX203" s="23">
        <f t="shared" si="166"/>
        <v>0.20966178819131101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1.3423796509621049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O20" sqref="O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5.6475</v>
      </c>
      <c r="C6" s="156">
        <f ca="1">IF(OR('Données projet'!B9="",'Données projet'!C9="",'Données projet'!C9=0%),0,Calculateur!S3)</f>
        <v>439.19854273764042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1571.2328360602535</v>
      </c>
      <c r="G6" s="156">
        <f ca="1">F6*(100%-'Données projet'!$C$24)*(100%-'Données projet'!$C$25)*(100%-'Données projet'!$C$26)*(100%-'Données projet'!$C$27)</f>
        <v>1414.1095524542282</v>
      </c>
      <c r="H6" s="157">
        <f>IF(OR('Données projet'!B9="",'Données projet'!C9="",'Données projet'!C9=0%),0,AVERAGE(Calculateur!$AC$3:$AC$33)*B6)</f>
        <v>16.050803498803059</v>
      </c>
      <c r="I6" s="158">
        <f>H6*(100%-'Données projet'!$C$24)*(100%-'Données projet'!$C$25)*(100%-'Données projet'!$C$26)*(100%-'Données projet'!$C$27)</f>
        <v>14.445723148922754</v>
      </c>
      <c r="J6" s="159">
        <f>IF(OR('Données projet'!B9="",'Données projet'!C9="",'Données projet'!C9=0%),0,SUM(Calculateur!$V$3:$V$33)*VLOOKUP('Données projet'!$B$9,Paramètres!$A$1:$I$89,9,0)*B6)</f>
        <v>87.536249999999995</v>
      </c>
      <c r="K6" s="160">
        <f>J6*(100%-'Données projet'!$C$24)*(100%-'Données projet'!$C$25)*(100%-'Données projet'!$C$26)*(100%-'Données projet'!$C$27)</f>
        <v>78.782624999999996</v>
      </c>
      <c r="L6" s="161">
        <f ca="1">G6+I6+K6</f>
        <v>1507.337900603151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1.8825000000000001</v>
      </c>
      <c r="C7" s="156">
        <f ca="1">IF(OR('Données projet'!B10="",'Données projet'!C10="",'Données projet'!C10=0%),0,Calculateur!AN3)</f>
        <v>675.00969717491046</v>
      </c>
      <c r="D7" s="156">
        <f>IF(OR('Données projet'!B10="",'Données projet'!C10="",'Données projet'!C10=0%),0,Calculateur!AO3)</f>
        <v>572.99694897193285</v>
      </c>
      <c r="E7" s="156">
        <f t="shared" ref="E7:E15" ca="1" si="0">MIN(C7,D7)</f>
        <v>572.99694897193285</v>
      </c>
      <c r="F7" s="156">
        <f t="shared" ref="F7:F15" ca="1" si="1">E7*B7</f>
        <v>1078.6667564396637</v>
      </c>
      <c r="G7" s="156">
        <f ca="1">F7*(100%-'Données projet'!$C$24)*(100%-'Données projet'!$C$25)*(100%-'Données projet'!$C$26)*(100%-'Données projet'!$C$27)</f>
        <v>970.80008079569734</v>
      </c>
      <c r="H7" s="164">
        <f>IF(OR('Données projet'!B10="",'Données projet'!C10="",'Données projet'!C10=0%),0,AVERAGE(Calculateur!$AX$3:$AX$33)*B7)</f>
        <v>21.533597489615541</v>
      </c>
      <c r="I7" s="158">
        <f>H7*(100%-'Données projet'!$C$24)*(100%-'Données projet'!$C$25)*(100%-'Données projet'!$C$26)*(100%-'Données projet'!$C$27)</f>
        <v>19.380237740653989</v>
      </c>
      <c r="J7" s="159">
        <f>IF(OR('Données projet'!B10="",'Données projet'!C10="",'Données projet'!C10=0%),0,SUM(Calculateur!$AQ$3:$AQ$33)*VLOOKUP('Données projet'!$B$10,Paramètres!$A$1:$I$89,9,0)*B7)</f>
        <v>82.359375</v>
      </c>
      <c r="K7" s="160">
        <f>J7*(100%-'Données projet'!$C$24)*(100%-'Données projet'!$C$25)*(100%-'Données projet'!$C$26)*(100%-'Données projet'!$C$27)</f>
        <v>74.123437500000009</v>
      </c>
      <c r="L7" s="161">
        <f t="shared" ref="L7:L15" ca="1" si="2">G7+I7+K7</f>
        <v>1064.3037560363514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2649.8995924999172</v>
      </c>
      <c r="G16" s="175">
        <f t="shared" ca="1" si="3"/>
        <v>2384.9096332499257</v>
      </c>
      <c r="H16" s="176">
        <f t="shared" si="3"/>
        <v>37.584400988418601</v>
      </c>
      <c r="I16" s="176">
        <f t="shared" si="3"/>
        <v>33.825960889576741</v>
      </c>
      <c r="J16" s="177">
        <f t="shared" si="3"/>
        <v>169.895625</v>
      </c>
      <c r="K16" s="177">
        <f t="shared" si="3"/>
        <v>152.90606250000002</v>
      </c>
      <c r="L16" s="178">
        <f t="shared" ca="1" si="3"/>
        <v>2571.6416566395023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H61" sqref="H6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911.06276042921695</v>
      </c>
      <c r="U10" s="190">
        <f>'Données projet'!D9</f>
        <v>5.6475</v>
      </c>
      <c r="V10" s="189">
        <f>U10*T10</f>
        <v>5145.2269395240028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913.54735790523773</v>
      </c>
      <c r="U11" s="190">
        <f>'Données projet'!D10</f>
        <v>1.8825000000000001</v>
      </c>
      <c r="V11" s="189">
        <f t="shared" ref="V11" si="0">U11*T11</f>
        <v>1719.7529012566101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3365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1205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1205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v>1205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-43416.610572934347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-43416.610572934347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331</v>
      </c>
      <c r="C42" s="292">
        <v>150</v>
      </c>
      <c r="D42" s="194">
        <f t="shared" si="2"/>
        <v>49650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7</v>
      </c>
      <c r="C54" s="292">
        <v>5</v>
      </c>
      <c r="D54" s="191">
        <f>B54*C54</f>
        <v>35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42</v>
      </c>
      <c r="C55" s="292">
        <v>7</v>
      </c>
      <c r="D55" s="191">
        <f t="shared" ref="D55:D73" si="4">B55*C55</f>
        <v>294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42</v>
      </c>
      <c r="C56" s="292">
        <v>9</v>
      </c>
      <c r="D56" s="191">
        <f t="shared" si="4"/>
        <v>378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42</v>
      </c>
      <c r="C57" s="292">
        <v>9</v>
      </c>
      <c r="D57" s="191">
        <f t="shared" si="4"/>
        <v>378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42</v>
      </c>
      <c r="C58" s="292">
        <v>9</v>
      </c>
      <c r="D58" s="191">
        <f t="shared" si="4"/>
        <v>378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42</v>
      </c>
      <c r="C59" s="292">
        <v>14</v>
      </c>
      <c r="D59" s="191">
        <f t="shared" si="4"/>
        <v>588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40</v>
      </c>
      <c r="C60" s="292">
        <v>14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26</v>
      </c>
      <c r="C61" s="292">
        <v>14</v>
      </c>
      <c r="D61" s="191">
        <f t="shared" si="4"/>
        <v>364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21</v>
      </c>
      <c r="C62" s="292">
        <v>20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18</v>
      </c>
      <c r="C63" s="292">
        <v>25</v>
      </c>
      <c r="D63" s="191">
        <f t="shared" si="4"/>
        <v>450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17</v>
      </c>
      <c r="C64" s="292">
        <v>30</v>
      </c>
      <c r="D64" s="191">
        <f t="shared" si="4"/>
        <v>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16</v>
      </c>
      <c r="C65" s="292">
        <v>35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15</v>
      </c>
      <c r="C66" s="204">
        <v>40</v>
      </c>
      <c r="D66" s="191">
        <f t="shared" si="4"/>
        <v>600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14</v>
      </c>
      <c r="C67" s="204">
        <v>50</v>
      </c>
      <c r="D67" s="191">
        <f t="shared" si="4"/>
        <v>700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13</v>
      </c>
      <c r="C68" s="204">
        <v>70</v>
      </c>
      <c r="D68" s="191">
        <f t="shared" si="4"/>
        <v>910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2024-03-27T15:02:16Z</dcterms:modified>
</cp:coreProperties>
</file>